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ThisWorkbook" defaultThemeVersion="124226"/>
  <mc:AlternateContent xmlns:mc="http://schemas.openxmlformats.org/markup-compatibility/2006">
    <mc:Choice Requires="x15">
      <x15ac:absPath xmlns:x15ac="http://schemas.microsoft.com/office/spreadsheetml/2010/11/ac" url="C:\Users\a0132557\Desktop\"/>
    </mc:Choice>
  </mc:AlternateContent>
  <xr:revisionPtr revIDLastSave="0" documentId="13_ncr:1_{914DB22D-E775-4D47-811B-39F2B6A79F8F}" xr6:coauthVersionLast="36" xr6:coauthVersionMax="36" xr10:uidLastSave="{00000000-0000-0000-0000-000000000000}"/>
  <bookViews>
    <workbookView xWindow="1488" yWindow="816" windowWidth="5976" windowHeight="4668" tabRatio="773" activeTab="1" xr2:uid="{00000000-000D-0000-FFFF-FFFF00000000}"/>
  </bookViews>
  <sheets>
    <sheet name="Instructions" sheetId="15" r:id="rId1"/>
    <sheet name="Design Calculator" sheetId="1" r:id="rId2"/>
    <sheet name="Device Parmaters" sheetId="6" r:id="rId3"/>
    <sheet name="Equations" sheetId="3" r:id="rId4"/>
    <sheet name="Start_up" sheetId="13" r:id="rId5"/>
    <sheet name="SOA" sheetId="7" r:id="rId6"/>
    <sheet name="dv_dt_recommendations" sheetId="14"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Calculator'!$F$62</definedName>
    <definedName name="I_Cout_ss">Equations!$F$66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Calculator'!$F$54</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Calculator'!$A$1:$M$207</definedName>
    <definedName name="RDIV1">'Design Calculator'!$F$43</definedName>
    <definedName name="RDIV2">'Design Calculator'!$F$44</definedName>
    <definedName name="RDSON">'Design Calculator'!$AN$55</definedName>
    <definedName name="RPWR">'Design Calculator'!$F$67</definedName>
    <definedName name="Rrflt" localSheetId="5">[1]ILIM_SOA_considerations!$C$46</definedName>
    <definedName name="Rrflt">[2]ILIM_SOA_considerations!$C$46</definedName>
    <definedName name="Rs">'Design Calculator'!$F$40</definedName>
    <definedName name="RsEFF">Equations!$F$23</definedName>
    <definedName name="Rsense" localSheetId="5">[1]ILIM_SOA_considerations!$C$30</definedName>
    <definedName name="Rsense">[2]ILIM_SOA_considerations!$C$30</definedName>
    <definedName name="RsMAX">'Design Calculator'!$F$38</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Calculator'!$F$78</definedName>
    <definedName name="Tfaultmax">'Design Calculator'!#REF!</definedName>
    <definedName name="ThetaJA">'Design Calculator'!$F$53</definedName>
    <definedName name="TINSERT">'Design Calculator'!$F$93</definedName>
    <definedName name="TINSERTMAX">Equations!$F$109</definedName>
    <definedName name="TINSERTMIN">Equations!$F$107</definedName>
    <definedName name="TJ">'Design Calculator'!$F$63</definedName>
    <definedName name="TJMAX">'Design Calculator'!$AN$56</definedName>
    <definedName name="Tsd" localSheetId="5">[1]ILIM_SOA_considerations!$C$67</definedName>
    <definedName name="Tsd">[2]ILIM_SOA_considerations!$C$67</definedName>
    <definedName name="TSTARTMAX">Equations!$F$96</definedName>
    <definedName name="TSTARTMIN">Equations!$F$94</definedName>
    <definedName name="TSTARTNOM">Equations!$F$95</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Calculator'!$AQ$16:$AQ$17</definedName>
  </definedNames>
  <calcPr calcId="191029"/>
</workbook>
</file>

<file path=xl/calcChain.xml><?xml version="1.0" encoding="utf-8"?>
<calcChain xmlns="http://schemas.openxmlformats.org/spreadsheetml/2006/main">
  <c r="F141" i="1" l="1"/>
  <c r="F134" i="1" l="1"/>
  <c r="F133" i="1"/>
  <c r="F128" i="1"/>
  <c r="AN56" i="1" l="1"/>
  <c r="AN57" i="1"/>
  <c r="AN58" i="1"/>
  <c r="AN59" i="1"/>
  <c r="AN60" i="1"/>
  <c r="AN61" i="1"/>
  <c r="AN55" i="1"/>
  <c r="F62" i="1" s="1"/>
  <c r="F63" i="1" s="1"/>
  <c r="F145" i="1" l="1"/>
  <c r="E35" i="14"/>
  <c r="E29" i="14"/>
  <c r="E32" i="14" s="1"/>
  <c r="E27" i="14"/>
  <c r="E26" i="14"/>
  <c r="E25" i="14"/>
  <c r="E21" i="14"/>
  <c r="H24" i="7"/>
  <c r="H25" i="7" s="1"/>
  <c r="H9" i="7"/>
  <c r="C9" i="7"/>
  <c r="E19" i="14" l="1"/>
  <c r="E59" i="14"/>
  <c r="F35" i="14"/>
  <c r="E37" i="14"/>
  <c r="E36" i="14"/>
  <c r="F136" i="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0" i="14"/>
  <c r="E39" i="14"/>
  <c r="F37" i="14"/>
  <c r="F36" i="14"/>
  <c r="G35" i="14"/>
  <c r="E41" i="14"/>
  <c r="E42" i="14" s="1"/>
  <c r="F62" i="3"/>
  <c r="F63" i="3" s="1"/>
  <c r="J25" i="14" l="1"/>
  <c r="E33" i="7"/>
  <c r="L24" i="14" s="1"/>
  <c r="D33" i="7"/>
  <c r="K24" i="14" s="1"/>
  <c r="K25" i="14"/>
  <c r="F33" i="7"/>
  <c r="M24" i="14" s="1"/>
  <c r="H35" i="14"/>
  <c r="G37" i="14"/>
  <c r="G36" i="14"/>
  <c r="E44" i="14"/>
  <c r="F40" i="14"/>
  <c r="F39" i="14"/>
  <c r="F41" i="14"/>
  <c r="F42" i="14" s="1"/>
  <c r="F78" i="3"/>
  <c r="F79" i="3" s="1"/>
  <c r="F76" i="3"/>
  <c r="F2" i="13"/>
  <c r="F44" i="14" l="1"/>
  <c r="G40" i="14"/>
  <c r="G39" i="14"/>
  <c r="G41" i="14"/>
  <c r="G42" i="14" s="1"/>
  <c r="H37" i="14"/>
  <c r="H36" i="14"/>
  <c r="I35" i="14"/>
  <c r="J35" i="14" l="1"/>
  <c r="I37" i="14"/>
  <c r="I36" i="14"/>
  <c r="G44" i="14"/>
  <c r="H39" i="14"/>
  <c r="H40" i="14"/>
  <c r="H41" i="14"/>
  <c r="H42" i="14" s="1"/>
  <c r="D26" i="6"/>
  <c r="H44" i="14" l="1"/>
  <c r="I40" i="14"/>
  <c r="I39" i="14"/>
  <c r="I41" i="14"/>
  <c r="I42" i="14" s="1"/>
  <c r="J37" i="14"/>
  <c r="J36" i="14"/>
  <c r="K35" i="14"/>
  <c r="F91" i="1"/>
  <c r="F77" i="3"/>
  <c r="F89" i="1" s="1"/>
  <c r="I44" i="14" l="1"/>
  <c r="L35" i="14"/>
  <c r="K36" i="14"/>
  <c r="K37" i="14"/>
  <c r="J40" i="14"/>
  <c r="J39" i="14"/>
  <c r="J41" i="14"/>
  <c r="J42" i="14" s="1"/>
  <c r="F64" i="3"/>
  <c r="F65" i="3" s="1"/>
  <c r="F66" i="3" s="1"/>
  <c r="R2" i="13"/>
  <c r="Q2" i="13"/>
  <c r="A114" i="13"/>
  <c r="A113" i="13"/>
  <c r="A112" i="13"/>
  <c r="H2" i="13"/>
  <c r="K40" i="14" l="1"/>
  <c r="K39" i="14"/>
  <c r="K41" i="14"/>
  <c r="K42" i="14" s="1"/>
  <c r="J44" i="14"/>
  <c r="L37" i="14"/>
  <c r="L36" i="14"/>
  <c r="M35" i="14"/>
  <c r="F54" i="3"/>
  <c r="O212" i="3"/>
  <c r="E216" i="3"/>
  <c r="E214" i="3"/>
  <c r="F41" i="3"/>
  <c r="F57" i="3"/>
  <c r="F108" i="3" s="1"/>
  <c r="N35" i="14" l="1"/>
  <c r="M36" i="14"/>
  <c r="M37" i="14"/>
  <c r="L40" i="14"/>
  <c r="L39" i="14"/>
  <c r="L41" i="14"/>
  <c r="L42" i="14" s="1"/>
  <c r="K44" i="14"/>
  <c r="F58" i="3"/>
  <c r="F78" i="1" s="1"/>
  <c r="F93" i="1"/>
  <c r="F109" i="3"/>
  <c r="F107" i="3"/>
  <c r="F84" i="1"/>
  <c r="D2" i="13"/>
  <c r="J2" i="13"/>
  <c r="G2" i="13"/>
  <c r="N17" i="6"/>
  <c r="F39" i="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Y22" i="13"/>
  <c r="Y15" i="13"/>
  <c r="Y18" i="13" s="1"/>
  <c r="N18" i="6"/>
  <c r="L18" i="6"/>
  <c r="M18" i="6" s="1"/>
  <c r="L17" i="6"/>
  <c r="M17" i="6" s="1"/>
  <c r="Q17" i="6" l="1"/>
  <c r="C8" i="7"/>
  <c r="C10" i="7" s="1"/>
  <c r="C12" i="7" s="1"/>
  <c r="C13" i="7" s="1"/>
  <c r="C15" i="7" s="1"/>
  <c r="K133" i="1"/>
  <c r="M40" i="14"/>
  <c r="M39" i="14"/>
  <c r="M41" i="14"/>
  <c r="M42" i="14" s="1"/>
  <c r="L44" i="14"/>
  <c r="N37" i="14"/>
  <c r="N36" i="14"/>
  <c r="O35" i="14"/>
  <c r="F86" i="1"/>
  <c r="C114" i="13"/>
  <c r="C113" i="13"/>
  <c r="C112" i="13"/>
  <c r="C80" i="13"/>
  <c r="C62" i="13"/>
  <c r="C111" i="13"/>
  <c r="C75" i="13"/>
  <c r="C43" i="13"/>
  <c r="C95" i="13"/>
  <c r="C91" i="13"/>
  <c r="C102" i="13"/>
  <c r="C76" i="13"/>
  <c r="C72" i="13"/>
  <c r="C15" i="13"/>
  <c r="C11" i="13"/>
  <c r="C101" i="13"/>
  <c r="C100" i="13"/>
  <c r="C98" i="13"/>
  <c r="C90" i="13"/>
  <c r="C79" i="13"/>
  <c r="C74" i="13"/>
  <c r="C58" i="13"/>
  <c r="C54" i="13"/>
  <c r="C49" i="13"/>
  <c r="C47" i="13"/>
  <c r="C39" i="13"/>
  <c r="C32" i="13"/>
  <c r="C23" i="13"/>
  <c r="C19" i="13"/>
  <c r="C110" i="13"/>
  <c r="C109" i="13"/>
  <c r="C107" i="13"/>
  <c r="C99" i="13"/>
  <c r="C96" i="13"/>
  <c r="C84" i="13"/>
  <c r="C82" i="13"/>
  <c r="C69" i="13"/>
  <c r="C67" i="13"/>
  <c r="C65" i="13"/>
  <c r="C63" i="13"/>
  <c r="C59" i="13"/>
  <c r="C36" i="13"/>
  <c r="C20" i="13"/>
  <c r="C105" i="13"/>
  <c r="C103" i="13"/>
  <c r="C92" i="13"/>
  <c r="C88" i="13"/>
  <c r="C87" i="13"/>
  <c r="C83" i="13"/>
  <c r="C71" i="13"/>
  <c r="C68" i="13"/>
  <c r="C66" i="13"/>
  <c r="C57" i="13"/>
  <c r="C55" i="13"/>
  <c r="C51" i="13"/>
  <c r="C46" i="13"/>
  <c r="C44" i="13"/>
  <c r="C40" i="13"/>
  <c r="C35" i="13"/>
  <c r="C31" i="13"/>
  <c r="C27" i="13"/>
  <c r="C50" i="13"/>
  <c r="C28" i="13"/>
  <c r="C24" i="13"/>
  <c r="C16" i="13"/>
  <c r="C12" i="13"/>
  <c r="C108" i="13"/>
  <c r="C94" i="13"/>
  <c r="C77" i="13"/>
  <c r="C106" i="13"/>
  <c r="C93" i="13"/>
  <c r="C86" i="13"/>
  <c r="C104" i="13"/>
  <c r="C85" i="13"/>
  <c r="C78" i="13"/>
  <c r="C97" i="13"/>
  <c r="C89" i="13"/>
  <c r="C81" i="13"/>
  <c r="C73" i="13"/>
  <c r="C61" i="13"/>
  <c r="C53" i="13"/>
  <c r="C70" i="13"/>
  <c r="C60" i="13"/>
  <c r="C52" i="13"/>
  <c r="C64" i="13"/>
  <c r="C56" i="13"/>
  <c r="C48" i="13"/>
  <c r="C45" i="13"/>
  <c r="C42" i="13"/>
  <c r="C41" i="13"/>
  <c r="C38" i="13"/>
  <c r="C37" i="13"/>
  <c r="C34" i="13"/>
  <c r="C33" i="13"/>
  <c r="C30" i="13"/>
  <c r="C29" i="13"/>
  <c r="C26" i="13"/>
  <c r="C25" i="13"/>
  <c r="C22" i="13"/>
  <c r="C21" i="13"/>
  <c r="C18" i="13"/>
  <c r="C17" i="13"/>
  <c r="C14" i="13"/>
  <c r="C13" i="13"/>
  <c r="Y24" i="13"/>
  <c r="C10" i="13"/>
  <c r="AN43" i="1"/>
  <c r="C11" i="7" l="1"/>
  <c r="C14" i="7" s="1"/>
  <c r="C19" i="7" s="1"/>
  <c r="C18" i="7" s="1"/>
  <c r="C20" i="7" s="1"/>
  <c r="C22" i="7" s="1"/>
  <c r="P35" i="14"/>
  <c r="O37" i="14"/>
  <c r="O36" i="14"/>
  <c r="N40" i="14"/>
  <c r="N39" i="14"/>
  <c r="N41" i="14"/>
  <c r="N42" i="14" s="1"/>
  <c r="M44" i="14"/>
  <c r="F67" i="3"/>
  <c r="E23" i="14" s="1"/>
  <c r="F124" i="1"/>
  <c r="F144" i="1"/>
  <c r="N44" i="14" l="1"/>
  <c r="O40" i="14"/>
  <c r="O39" i="14"/>
  <c r="O41" i="14"/>
  <c r="O42" i="14" s="1"/>
  <c r="P37" i="14"/>
  <c r="P36" i="14"/>
  <c r="Q35" i="14"/>
  <c r="F118" i="3"/>
  <c r="F117" i="3"/>
  <c r="K141" i="1" s="1"/>
  <c r="F116" i="3"/>
  <c r="F115" i="3"/>
  <c r="F113" i="3"/>
  <c r="F114" i="3"/>
  <c r="K139" i="1" l="1"/>
  <c r="F122" i="1"/>
  <c r="R35" i="14"/>
  <c r="Q37" i="14"/>
  <c r="Q36" i="14"/>
  <c r="P39" i="14"/>
  <c r="P40" i="14"/>
  <c r="P41" i="14"/>
  <c r="P42" i="14" s="1"/>
  <c r="O44" i="14"/>
  <c r="F123" i="1"/>
  <c r="F118" i="1"/>
  <c r="F119" i="1" s="1"/>
  <c r="J112" i="3"/>
  <c r="I110" i="3"/>
  <c r="I112" i="3"/>
  <c r="H112" i="3"/>
  <c r="J110" i="3"/>
  <c r="H110" i="3"/>
  <c r="J111" i="3"/>
  <c r="I111" i="3"/>
  <c r="H111" i="3"/>
  <c r="F110" i="3" l="1"/>
  <c r="Q39" i="14"/>
  <c r="Q40" i="14"/>
  <c r="Q41" i="14"/>
  <c r="Q42" i="14" s="1"/>
  <c r="P44" i="14"/>
  <c r="R37" i="14"/>
  <c r="R36" i="14"/>
  <c r="S35" i="14"/>
  <c r="F112" i="3"/>
  <c r="F111" i="3"/>
  <c r="F143" i="1"/>
  <c r="F142" i="1"/>
  <c r="T35" i="14" l="1"/>
  <c r="S36" i="14"/>
  <c r="S37" i="14"/>
  <c r="R40" i="14"/>
  <c r="R39" i="14"/>
  <c r="R41" i="14"/>
  <c r="R42" i="14" s="1"/>
  <c r="Q44" i="14"/>
  <c r="AO53" i="1"/>
  <c r="S40" i="14" l="1"/>
  <c r="S39" i="14"/>
  <c r="S41" i="14"/>
  <c r="S42" i="14" s="1"/>
  <c r="R44" i="14"/>
  <c r="T37" i="14"/>
  <c r="T36" i="14"/>
  <c r="U35" i="14"/>
  <c r="S44" i="14" l="1"/>
  <c r="V35" i="14"/>
  <c r="U36" i="14"/>
  <c r="U37" i="14"/>
  <c r="T40" i="14"/>
  <c r="T39" i="14"/>
  <c r="T41" i="14"/>
  <c r="T42" i="14" s="1"/>
  <c r="F127" i="1"/>
  <c r="U40" i="14" l="1"/>
  <c r="U39" i="14"/>
  <c r="U41" i="14"/>
  <c r="U42" i="14" s="1"/>
  <c r="T44" i="14"/>
  <c r="V37" i="14"/>
  <c r="V36" i="14"/>
  <c r="W35" i="14"/>
  <c r="E17" i="3"/>
  <c r="E16" i="3"/>
  <c r="E15" i="3"/>
  <c r="F20" i="3" s="1"/>
  <c r="F38" i="1" s="1"/>
  <c r="F21" i="3" l="1"/>
  <c r="F41" i="1" s="1"/>
  <c r="F126" i="1"/>
  <c r="F125" i="1"/>
  <c r="X35" i="14"/>
  <c r="W37" i="14"/>
  <c r="W36" i="14"/>
  <c r="V40" i="14"/>
  <c r="V39" i="14"/>
  <c r="V41" i="14"/>
  <c r="V42" i="14" s="1"/>
  <c r="U44" i="14"/>
  <c r="F22" i="3" l="1"/>
  <c r="V44" i="14"/>
  <c r="W40" i="14"/>
  <c r="W39" i="14"/>
  <c r="W41" i="14"/>
  <c r="W42" i="14" s="1"/>
  <c r="X37" i="14"/>
  <c r="X36" i="14"/>
  <c r="F23" i="3"/>
  <c r="E215" i="3" l="1"/>
  <c r="F42" i="3"/>
  <c r="W44" i="14"/>
  <c r="X39" i="14"/>
  <c r="X40" i="14"/>
  <c r="X41" i="14"/>
  <c r="X42" i="14" s="1"/>
  <c r="F38" i="3"/>
  <c r="F64" i="1" s="1"/>
  <c r="F40" i="3"/>
  <c r="F66" i="1" s="1"/>
  <c r="I2" i="13"/>
  <c r="F25" i="3"/>
  <c r="F47" i="1" s="1"/>
  <c r="F45" i="1"/>
  <c r="F26" i="3"/>
  <c r="F24" i="3"/>
  <c r="F42" i="1"/>
  <c r="X44" i="14" l="1"/>
  <c r="C25" i="7"/>
  <c r="F180" i="3"/>
  <c r="F46" i="1"/>
  <c r="F47" i="3"/>
  <c r="F185" i="3" s="1"/>
  <c r="F201" i="3" s="1"/>
  <c r="F68" i="1"/>
  <c r="K128" i="1"/>
  <c r="K130" i="1" s="1"/>
  <c r="C2" i="13"/>
  <c r="E114" i="13" s="1"/>
  <c r="F48" i="1"/>
  <c r="F27" i="3"/>
  <c r="F49" i="1" s="1"/>
  <c r="AN53" i="1"/>
  <c r="B2" i="13" l="1"/>
  <c r="K129" i="1"/>
  <c r="C26" i="7"/>
  <c r="F209" i="3"/>
  <c r="B209" i="3" s="1"/>
  <c r="F208" i="3"/>
  <c r="E208" i="3" s="1"/>
  <c r="F48" i="3"/>
  <c r="F186" i="3" s="1"/>
  <c r="F194" i="3"/>
  <c r="E194" i="3" s="1"/>
  <c r="F207" i="3"/>
  <c r="E207" i="3" s="1"/>
  <c r="F203" i="3"/>
  <c r="E203" i="3" s="1"/>
  <c r="F197" i="3"/>
  <c r="G197" i="3" s="1"/>
  <c r="F206" i="3"/>
  <c r="E206" i="3" s="1"/>
  <c r="F210" i="3"/>
  <c r="G210" i="3" s="1"/>
  <c r="F204" i="3"/>
  <c r="B204" i="3" s="1"/>
  <c r="F199" i="3"/>
  <c r="E199" i="3" s="1"/>
  <c r="F202" i="3"/>
  <c r="B202" i="3" s="1"/>
  <c r="F205" i="3"/>
  <c r="E205" i="3" s="1"/>
  <c r="F196" i="3"/>
  <c r="B196" i="3" s="1"/>
  <c r="F46" i="3"/>
  <c r="F184" i="3" s="1"/>
  <c r="F200" i="3"/>
  <c r="B200" i="3" s="1"/>
  <c r="F195" i="3"/>
  <c r="G195" i="3" s="1"/>
  <c r="F198" i="3"/>
  <c r="B198" i="3" s="1"/>
  <c r="M114" i="13"/>
  <c r="E112" i="13"/>
  <c r="E111" i="13"/>
  <c r="E113" i="13"/>
  <c r="B201" i="3"/>
  <c r="G201" i="3"/>
  <c r="E201" i="3"/>
  <c r="D10" i="13" l="1"/>
  <c r="E10" i="13" s="1"/>
  <c r="D14" i="13"/>
  <c r="E14" i="13" s="1"/>
  <c r="D18" i="13"/>
  <c r="E18" i="13" s="1"/>
  <c r="D22" i="13"/>
  <c r="E22" i="13" s="1"/>
  <c r="D26" i="13"/>
  <c r="E26" i="13" s="1"/>
  <c r="D30" i="13"/>
  <c r="E30" i="13" s="1"/>
  <c r="D34" i="13"/>
  <c r="E34" i="13" s="1"/>
  <c r="D38" i="13"/>
  <c r="E38" i="13" s="1"/>
  <c r="D42" i="13"/>
  <c r="E42" i="13" s="1"/>
  <c r="D46" i="13"/>
  <c r="E46" i="13" s="1"/>
  <c r="D50" i="13"/>
  <c r="E50" i="13" s="1"/>
  <c r="D54" i="13"/>
  <c r="E54" i="13" s="1"/>
  <c r="D58" i="13"/>
  <c r="E58" i="13" s="1"/>
  <c r="D62" i="13"/>
  <c r="E62" i="13" s="1"/>
  <c r="D66" i="13"/>
  <c r="E66" i="13" s="1"/>
  <c r="D70" i="13"/>
  <c r="E70" i="13" s="1"/>
  <c r="D74" i="13"/>
  <c r="E74" i="13" s="1"/>
  <c r="D78" i="13"/>
  <c r="E78" i="13" s="1"/>
  <c r="D82" i="13"/>
  <c r="E82" i="13" s="1"/>
  <c r="D86" i="13"/>
  <c r="E86" i="13" s="1"/>
  <c r="D90" i="13"/>
  <c r="E90" i="13" s="1"/>
  <c r="D94" i="13"/>
  <c r="E94" i="13" s="1"/>
  <c r="D98" i="13"/>
  <c r="E98" i="13" s="1"/>
  <c r="D102" i="13"/>
  <c r="E102" i="13" s="1"/>
  <c r="D106" i="13"/>
  <c r="E106" i="13" s="1"/>
  <c r="D110" i="13"/>
  <c r="E110" i="13" s="1"/>
  <c r="D114" i="13"/>
  <c r="D11" i="13"/>
  <c r="E11" i="13" s="1"/>
  <c r="D15" i="13"/>
  <c r="E15" i="13" s="1"/>
  <c r="M15" i="13" s="1"/>
  <c r="D19" i="13"/>
  <c r="E19" i="13" s="1"/>
  <c r="D23" i="13"/>
  <c r="E23" i="13" s="1"/>
  <c r="M23" i="13" s="1"/>
  <c r="D27" i="13"/>
  <c r="E27" i="13" s="1"/>
  <c r="D31" i="13"/>
  <c r="D35" i="13"/>
  <c r="E35" i="13" s="1"/>
  <c r="D39" i="13"/>
  <c r="E39" i="13" s="1"/>
  <c r="D43" i="13"/>
  <c r="E43" i="13" s="1"/>
  <c r="D47" i="13"/>
  <c r="E47" i="13" s="1"/>
  <c r="M47" i="13" s="1"/>
  <c r="D51" i="13"/>
  <c r="E51" i="13" s="1"/>
  <c r="D55" i="13"/>
  <c r="E55" i="13" s="1"/>
  <c r="D59" i="13"/>
  <c r="E59" i="13" s="1"/>
  <c r="D63" i="13"/>
  <c r="E63" i="13" s="1"/>
  <c r="D67" i="13"/>
  <c r="E67" i="13" s="1"/>
  <c r="D71" i="13"/>
  <c r="E71" i="13" s="1"/>
  <c r="D75" i="13"/>
  <c r="E75" i="13" s="1"/>
  <c r="D79" i="13"/>
  <c r="E79" i="13" s="1"/>
  <c r="D83" i="13"/>
  <c r="E83" i="13" s="1"/>
  <c r="D87" i="13"/>
  <c r="E87" i="13" s="1"/>
  <c r="D91" i="13"/>
  <c r="E91" i="13" s="1"/>
  <c r="D95" i="13"/>
  <c r="E95" i="13" s="1"/>
  <c r="D99" i="13"/>
  <c r="E99" i="13" s="1"/>
  <c r="D103" i="13"/>
  <c r="E103" i="13" s="1"/>
  <c r="D107" i="13"/>
  <c r="E107" i="13" s="1"/>
  <c r="D111" i="13"/>
  <c r="D12" i="13"/>
  <c r="E12" i="13" s="1"/>
  <c r="D16" i="13"/>
  <c r="E16" i="13" s="1"/>
  <c r="D20" i="13"/>
  <c r="E20" i="13" s="1"/>
  <c r="D24" i="13"/>
  <c r="D28" i="13"/>
  <c r="E28" i="13" s="1"/>
  <c r="D32" i="13"/>
  <c r="E32" i="13" s="1"/>
  <c r="D36" i="13"/>
  <c r="E36" i="13" s="1"/>
  <c r="D40" i="13"/>
  <c r="E40" i="13" s="1"/>
  <c r="D44" i="13"/>
  <c r="E44" i="13" s="1"/>
  <c r="D48" i="13"/>
  <c r="E48" i="13" s="1"/>
  <c r="D52" i="13"/>
  <c r="E52" i="13" s="1"/>
  <c r="D56" i="13"/>
  <c r="E56" i="13" s="1"/>
  <c r="D60" i="13"/>
  <c r="E60" i="13" s="1"/>
  <c r="D64" i="13"/>
  <c r="E64" i="13" s="1"/>
  <c r="D68" i="13"/>
  <c r="E68" i="13" s="1"/>
  <c r="D72" i="13"/>
  <c r="E72" i="13" s="1"/>
  <c r="D76" i="13"/>
  <c r="E76" i="13" s="1"/>
  <c r="D80" i="13"/>
  <c r="E80" i="13" s="1"/>
  <c r="D84" i="13"/>
  <c r="E84" i="13" s="1"/>
  <c r="D88" i="13"/>
  <c r="E88" i="13" s="1"/>
  <c r="D92" i="13"/>
  <c r="E92" i="13" s="1"/>
  <c r="D96" i="13"/>
  <c r="E96" i="13" s="1"/>
  <c r="D100" i="13"/>
  <c r="E100" i="13" s="1"/>
  <c r="D104" i="13"/>
  <c r="E104" i="13" s="1"/>
  <c r="D108" i="13"/>
  <c r="E108" i="13" s="1"/>
  <c r="D112" i="13"/>
  <c r="D13" i="13"/>
  <c r="E13" i="13" s="1"/>
  <c r="D17" i="13"/>
  <c r="E17" i="13" s="1"/>
  <c r="D21" i="13"/>
  <c r="E21" i="13" s="1"/>
  <c r="D25" i="13"/>
  <c r="E25" i="13" s="1"/>
  <c r="D29" i="13"/>
  <c r="E29" i="13" s="1"/>
  <c r="D33" i="13"/>
  <c r="E33" i="13" s="1"/>
  <c r="D37" i="13"/>
  <c r="E37" i="13" s="1"/>
  <c r="M37" i="13" s="1"/>
  <c r="D53" i="13"/>
  <c r="E53" i="13" s="1"/>
  <c r="D69" i="13"/>
  <c r="E69" i="13" s="1"/>
  <c r="D85" i="13"/>
  <c r="E85" i="13" s="1"/>
  <c r="D101" i="13"/>
  <c r="E101" i="13" s="1"/>
  <c r="D41" i="13"/>
  <c r="E41" i="13" s="1"/>
  <c r="D57" i="13"/>
  <c r="E57" i="13" s="1"/>
  <c r="D73" i="13"/>
  <c r="E73" i="13" s="1"/>
  <c r="D89" i="13"/>
  <c r="E89" i="13" s="1"/>
  <c r="D105" i="13"/>
  <c r="E105" i="13" s="1"/>
  <c r="D61" i="13"/>
  <c r="E61" i="13" s="1"/>
  <c r="D77" i="13"/>
  <c r="E77" i="13" s="1"/>
  <c r="D93" i="13"/>
  <c r="E93" i="13" s="1"/>
  <c r="D109" i="13"/>
  <c r="E109" i="13" s="1"/>
  <c r="D65" i="13"/>
  <c r="E65" i="13" s="1"/>
  <c r="D81" i="13"/>
  <c r="E81" i="13" s="1"/>
  <c r="D97" i="13"/>
  <c r="E97" i="13" s="1"/>
  <c r="D45" i="13"/>
  <c r="E45" i="13" s="1"/>
  <c r="D49" i="13"/>
  <c r="E49" i="13" s="1"/>
  <c r="D113" i="13"/>
  <c r="E31" i="13"/>
  <c r="E24" i="13"/>
  <c r="F59" i="3"/>
  <c r="C40" i="7"/>
  <c r="C39" i="7"/>
  <c r="C41" i="7"/>
  <c r="X194" i="3"/>
  <c r="F80" i="3"/>
  <c r="F81" i="3" s="1"/>
  <c r="F92" i="1" s="1"/>
  <c r="B210" i="3"/>
  <c r="B199" i="3"/>
  <c r="E197" i="3"/>
  <c r="E209" i="3"/>
  <c r="G209" i="3"/>
  <c r="B208" i="3"/>
  <c r="B206" i="3"/>
  <c r="G194" i="3"/>
  <c r="B194" i="3"/>
  <c r="G208" i="3"/>
  <c r="B207" i="3"/>
  <c r="B197" i="3"/>
  <c r="G207" i="3"/>
  <c r="E204" i="3"/>
  <c r="G196" i="3"/>
  <c r="G198" i="3"/>
  <c r="G203" i="3"/>
  <c r="G204" i="3"/>
  <c r="G206" i="3"/>
  <c r="B203" i="3"/>
  <c r="E196" i="3"/>
  <c r="E198" i="3"/>
  <c r="E210" i="3"/>
  <c r="B205" i="3"/>
  <c r="B195" i="3"/>
  <c r="E202" i="3"/>
  <c r="G200" i="3"/>
  <c r="G199" i="3"/>
  <c r="G205" i="3"/>
  <c r="G202" i="3"/>
  <c r="E195" i="3"/>
  <c r="E200" i="3"/>
  <c r="M112" i="13"/>
  <c r="M113" i="13"/>
  <c r="M111" i="13"/>
  <c r="M51" i="13" l="1"/>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F36" i="3"/>
  <c r="F35" i="3"/>
  <c r="F34" i="3"/>
  <c r="F33" i="3"/>
  <c r="N4" i="13" l="1"/>
  <c r="G71" i="1" l="1"/>
  <c r="F153" i="3" l="1"/>
  <c r="F152" i="3"/>
  <c r="O217" i="3"/>
  <c r="H35" i="3" l="1"/>
  <c r="H33" i="3"/>
  <c r="H36" i="3"/>
  <c r="H34" i="3"/>
  <c r="F154" i="3"/>
  <c r="O216" i="3"/>
  <c r="O213" i="3"/>
  <c r="O215" i="3"/>
  <c r="O214" i="3"/>
  <c r="F178" i="3"/>
  <c r="U213" i="3" s="1"/>
  <c r="F177" i="3"/>
  <c r="F176" i="3"/>
  <c r="G144" i="3"/>
  <c r="F144" i="3"/>
  <c r="G143" i="3"/>
  <c r="F143" i="3"/>
  <c r="G142" i="3"/>
  <c r="F142" i="3"/>
  <c r="G141" i="3"/>
  <c r="F141" i="3"/>
  <c r="G140" i="3"/>
  <c r="F140" i="3"/>
  <c r="G139" i="3"/>
  <c r="F139" i="3"/>
  <c r="G138" i="3"/>
  <c r="F138" i="3"/>
  <c r="G137" i="3"/>
  <c r="F137" i="3"/>
  <c r="G136" i="3"/>
  <c r="G135" i="3"/>
  <c r="F135" i="3"/>
  <c r="G134" i="3"/>
  <c r="F134" i="3"/>
  <c r="G133" i="3"/>
  <c r="F133" i="3"/>
  <c r="G131" i="3"/>
  <c r="G132" i="3" s="1"/>
  <c r="F103" i="1" s="1"/>
  <c r="G129" i="3"/>
  <c r="F129" i="3"/>
  <c r="K132" i="1"/>
  <c r="F182" i="3"/>
  <c r="F132" i="1"/>
  <c r="F135" i="1"/>
  <c r="F131" i="1"/>
  <c r="F130" i="1"/>
  <c r="F129" i="1"/>
  <c r="F94" i="1"/>
  <c r="K134" i="1" s="1"/>
  <c r="D112" i="1" l="1"/>
  <c r="G130" i="3"/>
  <c r="F100" i="1"/>
  <c r="F131" i="3"/>
  <c r="F102" i="1" s="1"/>
  <c r="E113" i="1"/>
  <c r="K138" i="1" s="1"/>
  <c r="E112" i="1"/>
  <c r="K137" i="1" s="1"/>
  <c r="E110" i="1"/>
  <c r="K135" i="1" s="1"/>
  <c r="E111" i="1"/>
  <c r="K136" i="1" s="1"/>
  <c r="D113" i="1"/>
  <c r="F113" i="1"/>
  <c r="F181" i="3"/>
  <c r="T211" i="3"/>
  <c r="T212" i="3"/>
  <c r="T213" i="3"/>
  <c r="S211" i="3"/>
  <c r="U211" i="3"/>
  <c r="S212" i="3"/>
  <c r="U212" i="3"/>
  <c r="S213" i="3"/>
  <c r="D110" i="1"/>
  <c r="D111" i="1"/>
  <c r="F110" i="1"/>
  <c r="F111" i="1"/>
  <c r="F112" i="1"/>
  <c r="F130" i="3" l="1"/>
  <c r="F101" i="1" s="1"/>
  <c r="K194" i="3"/>
  <c r="T194" i="3" s="1"/>
  <c r="K196" i="3"/>
  <c r="T196" i="3" s="1"/>
  <c r="K198" i="3"/>
  <c r="T198" i="3" s="1"/>
  <c r="K200" i="3"/>
  <c r="T200" i="3" s="1"/>
  <c r="K202" i="3"/>
  <c r="T202" i="3" s="1"/>
  <c r="K204" i="3"/>
  <c r="T204" i="3" s="1"/>
  <c r="K206" i="3"/>
  <c r="T206" i="3" s="1"/>
  <c r="K208" i="3"/>
  <c r="T208" i="3" s="1"/>
  <c r="K210" i="3"/>
  <c r="T210" i="3" s="1"/>
  <c r="K195" i="3"/>
  <c r="T195" i="3" s="1"/>
  <c r="K197" i="3"/>
  <c r="T197" i="3" s="1"/>
  <c r="K199" i="3"/>
  <c r="T199" i="3" s="1"/>
  <c r="K201" i="3"/>
  <c r="T201" i="3" s="1"/>
  <c r="K203" i="3"/>
  <c r="T203" i="3" s="1"/>
  <c r="K205" i="3"/>
  <c r="T205" i="3" s="1"/>
  <c r="K207" i="3"/>
  <c r="T207" i="3" s="1"/>
  <c r="K209" i="3"/>
  <c r="T209" i="3" s="1"/>
  <c r="L200" i="3" l="1"/>
  <c r="U200" i="3" s="1"/>
  <c r="L204" i="3"/>
  <c r="U204" i="3" s="1"/>
  <c r="L208" i="3"/>
  <c r="U208" i="3" s="1"/>
  <c r="L201" i="3"/>
  <c r="U201" i="3" s="1"/>
  <c r="L205" i="3"/>
  <c r="U205" i="3" s="1"/>
  <c r="L209" i="3"/>
  <c r="U209" i="3" s="1"/>
  <c r="L198" i="3"/>
  <c r="U198" i="3" s="1"/>
  <c r="L202" i="3"/>
  <c r="U202" i="3" s="1"/>
  <c r="L206" i="3"/>
  <c r="U206" i="3" s="1"/>
  <c r="L195" i="3"/>
  <c r="U195" i="3" s="1"/>
  <c r="L199" i="3"/>
  <c r="U199" i="3" s="1"/>
  <c r="J194" i="3"/>
  <c r="S194" i="3" s="1"/>
  <c r="J202" i="3"/>
  <c r="S202" i="3" s="1"/>
  <c r="J210" i="3"/>
  <c r="S210" i="3" s="1"/>
  <c r="J199" i="3"/>
  <c r="S199" i="3" s="1"/>
  <c r="J207" i="3"/>
  <c r="S207" i="3" s="1"/>
  <c r="J196" i="3"/>
  <c r="S196" i="3" s="1"/>
  <c r="J200" i="3"/>
  <c r="S200" i="3" s="1"/>
  <c r="J208" i="3"/>
  <c r="S208" i="3" s="1"/>
  <c r="J201" i="3"/>
  <c r="S201" i="3" s="1"/>
  <c r="J209" i="3"/>
  <c r="S209" i="3" s="1"/>
  <c r="J198" i="3"/>
  <c r="S198" i="3" s="1"/>
  <c r="L194" i="3"/>
  <c r="U194" i="3" s="1"/>
  <c r="L210" i="3"/>
  <c r="U210" i="3" s="1"/>
  <c r="J197" i="3"/>
  <c r="S197" i="3" s="1"/>
  <c r="L203" i="3"/>
  <c r="U203" i="3" s="1"/>
  <c r="L207" i="3"/>
  <c r="U207" i="3" s="1"/>
  <c r="L196" i="3"/>
  <c r="U196" i="3" s="1"/>
  <c r="L197" i="3"/>
  <c r="U197" i="3" s="1"/>
  <c r="J195" i="3"/>
  <c r="S195" i="3" s="1"/>
  <c r="J205" i="3"/>
  <c r="S205" i="3" s="1"/>
  <c r="J204" i="3"/>
  <c r="S204" i="3" s="1"/>
  <c r="J203" i="3"/>
  <c r="S203" i="3" s="1"/>
  <c r="J206" i="3"/>
  <c r="S206" i="3" s="1"/>
  <c r="F79" i="1" l="1"/>
  <c r="V210" i="3" l="1"/>
  <c r="V212" i="3"/>
  <c r="V206" i="3"/>
  <c r="V213" i="3"/>
  <c r="V199" i="3"/>
  <c r="V211" i="3"/>
  <c r="V204" i="3"/>
  <c r="V198" i="3"/>
  <c r="V205" i="3"/>
  <c r="V201" i="3"/>
  <c r="V195" i="3"/>
  <c r="V207" i="3"/>
  <c r="V209" i="3"/>
  <c r="V197" i="3"/>
  <c r="V200" i="3"/>
  <c r="V196" i="3"/>
  <c r="V208" i="3"/>
  <c r="V202" i="3"/>
  <c r="V194" i="3"/>
  <c r="V203" i="3"/>
  <c r="P67" i="13" l="1"/>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F44" i="13"/>
  <c r="G44" i="13" s="1"/>
  <c r="H44" i="13" s="1"/>
  <c r="I44" i="13" s="1"/>
  <c r="F86" i="13"/>
  <c r="G86" i="13" s="1"/>
  <c r="O86" i="13" s="1"/>
  <c r="F51" i="13"/>
  <c r="G51" i="13" s="1"/>
  <c r="O51" i="13" s="1"/>
  <c r="F113" i="13"/>
  <c r="G113" i="13" s="1"/>
  <c r="O113" i="13" s="1"/>
  <c r="F112" i="13"/>
  <c r="G112" i="13" s="1"/>
  <c r="H112" i="13" s="1"/>
  <c r="I112" i="13" s="1"/>
  <c r="F78" i="13"/>
  <c r="G78" i="13" s="1"/>
  <c r="H78" i="13" s="1"/>
  <c r="I78" i="13" s="1"/>
  <c r="F93" i="13"/>
  <c r="G93" i="13" s="1"/>
  <c r="H93" i="13" s="1"/>
  <c r="I93" i="13" s="1"/>
  <c r="F30" i="13"/>
  <c r="G30" i="13" s="1"/>
  <c r="H30" i="13" s="1"/>
  <c r="I30" i="13" s="1"/>
  <c r="F81" i="13"/>
  <c r="G81" i="13" s="1"/>
  <c r="H81" i="13" s="1"/>
  <c r="I81" i="13" s="1"/>
  <c r="F91" i="13"/>
  <c r="G91" i="13" s="1"/>
  <c r="O91" i="13" s="1"/>
  <c r="F31" i="13"/>
  <c r="G31" i="13" s="1"/>
  <c r="O31" i="13" s="1"/>
  <c r="F12" i="13"/>
  <c r="G12" i="13" s="1"/>
  <c r="O12" i="13" s="1"/>
  <c r="F68" i="13"/>
  <c r="G68" i="13" s="1"/>
  <c r="O68" i="13" s="1"/>
  <c r="F26" i="13"/>
  <c r="G26" i="13" s="1"/>
  <c r="H26" i="13" s="1"/>
  <c r="I26" i="13" s="1"/>
  <c r="F25" i="13"/>
  <c r="G25" i="13" s="1"/>
  <c r="F24" i="13"/>
  <c r="G24" i="13" s="1"/>
  <c r="F40" i="13"/>
  <c r="G40" i="13" s="1"/>
  <c r="O40" i="13" s="1"/>
  <c r="F36" i="13"/>
  <c r="G36" i="13" s="1"/>
  <c r="F67" i="13"/>
  <c r="G67" i="13" s="1"/>
  <c r="F62" i="13"/>
  <c r="G62" i="13" s="1"/>
  <c r="O62" i="13" s="1"/>
  <c r="F73" i="13"/>
  <c r="G73" i="13" s="1"/>
  <c r="O73" i="13" s="1"/>
  <c r="F22" i="13"/>
  <c r="G22" i="13" s="1"/>
  <c r="O22" i="13" s="1"/>
  <c r="F60" i="13"/>
  <c r="G60" i="13" s="1"/>
  <c r="H60" i="13" s="1"/>
  <c r="I60" i="13" s="1"/>
  <c r="F46" i="13"/>
  <c r="G46" i="13" s="1"/>
  <c r="H46" i="13" s="1"/>
  <c r="I46" i="13" s="1"/>
  <c r="F101" i="13"/>
  <c r="G101" i="13" s="1"/>
  <c r="F43" i="13"/>
  <c r="G43" i="13" s="1"/>
  <c r="F82" i="13"/>
  <c r="G82" i="13" s="1"/>
  <c r="F111" i="13"/>
  <c r="G111" i="13" s="1"/>
  <c r="F69" i="13"/>
  <c r="G69" i="13" s="1"/>
  <c r="F95" i="13"/>
  <c r="G95" i="13" s="1"/>
  <c r="F21" i="13"/>
  <c r="G21" i="13" s="1"/>
  <c r="F66" i="13"/>
  <c r="G66" i="13" s="1"/>
  <c r="F49" i="13"/>
  <c r="G49" i="13" s="1"/>
  <c r="O49" i="13" s="1"/>
  <c r="F90" i="13"/>
  <c r="G90" i="13" s="1"/>
  <c r="F77" i="13"/>
  <c r="G77" i="13" s="1"/>
  <c r="F100" i="13"/>
  <c r="G100" i="13" s="1"/>
  <c r="F38" i="13"/>
  <c r="G38" i="13" s="1"/>
  <c r="H38" i="13" s="1"/>
  <c r="I38" i="13" s="1"/>
  <c r="F64" i="13"/>
  <c r="G64" i="13" s="1"/>
  <c r="F56" i="13"/>
  <c r="G56" i="13" s="1"/>
  <c r="H56" i="13" s="1"/>
  <c r="I56" i="13" s="1"/>
  <c r="F87" i="13"/>
  <c r="G87" i="13" s="1"/>
  <c r="O87" i="13" s="1"/>
  <c r="Q10" i="13"/>
  <c r="F110" i="13"/>
  <c r="G110" i="13" s="1"/>
  <c r="F28" i="13"/>
  <c r="G28" i="13" s="1"/>
  <c r="F92" i="13"/>
  <c r="G92" i="13" s="1"/>
  <c r="F105" i="13"/>
  <c r="G105" i="13" s="1"/>
  <c r="O105" i="13" s="1"/>
  <c r="F103" i="13"/>
  <c r="G103" i="13" s="1"/>
  <c r="O103" i="13" s="1"/>
  <c r="F71" i="13"/>
  <c r="G71" i="13" s="1"/>
  <c r="F57" i="13"/>
  <c r="G57" i="13" s="1"/>
  <c r="F50" i="13"/>
  <c r="G50" i="13" s="1"/>
  <c r="F98" i="13"/>
  <c r="G98" i="13" s="1"/>
  <c r="H98" i="13" s="1"/>
  <c r="I98" i="13" s="1"/>
  <c r="F70" i="13"/>
  <c r="G70" i="13" s="1"/>
  <c r="O70" i="13" s="1"/>
  <c r="F114" i="13"/>
  <c r="G114" i="13" s="1"/>
  <c r="F47" i="13"/>
  <c r="G47" i="13" s="1"/>
  <c r="H47" i="13" s="1"/>
  <c r="I47" i="13" s="1"/>
  <c r="F15" i="13"/>
  <c r="G15" i="13" s="1"/>
  <c r="O15" i="13" s="1"/>
  <c r="F23" i="13"/>
  <c r="G23" i="13" s="1"/>
  <c r="H23" i="13" s="1"/>
  <c r="I23" i="13" s="1"/>
  <c r="F108" i="13"/>
  <c r="G108" i="13" s="1"/>
  <c r="F94" i="13"/>
  <c r="G94" i="13" s="1"/>
  <c r="F107" i="13"/>
  <c r="G107" i="13" s="1"/>
  <c r="F32" i="13"/>
  <c r="G32" i="13" s="1"/>
  <c r="F104" i="13"/>
  <c r="G104" i="13" s="1"/>
  <c r="F29" i="13"/>
  <c r="G29" i="13" s="1"/>
  <c r="O29" i="13" s="1"/>
  <c r="F54" i="13"/>
  <c r="G54" i="13" s="1"/>
  <c r="H54" i="13" s="1"/>
  <c r="I54" i="13" s="1"/>
  <c r="F109" i="13"/>
  <c r="G109" i="13" s="1"/>
  <c r="F13" i="13"/>
  <c r="G13" i="13" s="1"/>
  <c r="F35" i="13"/>
  <c r="G35" i="13" s="1"/>
  <c r="H35" i="13" s="1"/>
  <c r="I35" i="13" s="1"/>
  <c r="F14" i="13"/>
  <c r="G14" i="13" s="1"/>
  <c r="O14" i="13" s="1"/>
  <c r="F65" i="13"/>
  <c r="G65" i="13" s="1"/>
  <c r="F55" i="13"/>
  <c r="G55" i="13" s="1"/>
  <c r="O55" i="13" s="1"/>
  <c r="F106" i="13"/>
  <c r="G106" i="13" s="1"/>
  <c r="O106" i="13" s="1"/>
  <c r="F19" i="13"/>
  <c r="G19" i="13" s="1"/>
  <c r="F58" i="13"/>
  <c r="G58" i="13" s="1"/>
  <c r="O58" i="13" s="1"/>
  <c r="F83" i="13"/>
  <c r="G83" i="13" s="1"/>
  <c r="O83" i="13" s="1"/>
  <c r="F63" i="13"/>
  <c r="G63" i="13" s="1"/>
  <c r="O63" i="13" s="1"/>
  <c r="F45" i="13"/>
  <c r="G45" i="13" s="1"/>
  <c r="F76" i="13"/>
  <c r="G76" i="13" s="1"/>
  <c r="H76" i="13" s="1"/>
  <c r="I76" i="13" s="1"/>
  <c r="F97" i="13"/>
  <c r="G97" i="13" s="1"/>
  <c r="F18" i="13"/>
  <c r="G18" i="13" s="1"/>
  <c r="O18" i="13" s="1"/>
  <c r="F74" i="13"/>
  <c r="G74" i="13" s="1"/>
  <c r="H74" i="13" s="1"/>
  <c r="I74" i="13" s="1"/>
  <c r="F80" i="13"/>
  <c r="G80" i="13" s="1"/>
  <c r="F41" i="13"/>
  <c r="G41" i="13" s="1"/>
  <c r="O41" i="13" s="1"/>
  <c r="F27" i="13"/>
  <c r="G27" i="13" s="1"/>
  <c r="F61" i="13"/>
  <c r="G61" i="13" s="1"/>
  <c r="F42" i="13"/>
  <c r="G42" i="13" s="1"/>
  <c r="O42" i="13" s="1"/>
  <c r="F53" i="13"/>
  <c r="G53" i="13" s="1"/>
  <c r="H53" i="13" s="1"/>
  <c r="I53" i="13" s="1"/>
  <c r="F102" i="13"/>
  <c r="G102" i="13" s="1"/>
  <c r="F48" i="13"/>
  <c r="G48" i="13" s="1"/>
  <c r="O48" i="13" s="1"/>
  <c r="F88" i="13"/>
  <c r="G88" i="13" s="1"/>
  <c r="H88" i="13" s="1"/>
  <c r="I88" i="13" s="1"/>
  <c r="F33" i="13"/>
  <c r="G33" i="13" s="1"/>
  <c r="F20" i="13"/>
  <c r="G20" i="13" s="1"/>
  <c r="F89" i="13"/>
  <c r="G89" i="13" s="1"/>
  <c r="F96" i="13"/>
  <c r="G96" i="13" s="1"/>
  <c r="O96" i="13" s="1"/>
  <c r="F85" i="13"/>
  <c r="G85" i="13" s="1"/>
  <c r="F39" i="13"/>
  <c r="G39" i="13" s="1"/>
  <c r="F99" i="13"/>
  <c r="G99" i="13" s="1"/>
  <c r="F11" i="13"/>
  <c r="G11" i="13" s="1"/>
  <c r="O11" i="13" s="1"/>
  <c r="F34" i="13"/>
  <c r="G34" i="13" s="1"/>
  <c r="H34" i="13" s="1"/>
  <c r="I34" i="13" s="1"/>
  <c r="F59" i="13"/>
  <c r="G59" i="13" s="1"/>
  <c r="F72" i="13"/>
  <c r="G72" i="13" s="1"/>
  <c r="F16" i="13"/>
  <c r="G16" i="13" s="1"/>
  <c r="O16" i="13" s="1"/>
  <c r="F79" i="13"/>
  <c r="G79" i="13" s="1"/>
  <c r="F52" i="13"/>
  <c r="G52" i="13" s="1"/>
  <c r="F75" i="13"/>
  <c r="G75" i="13" s="1"/>
  <c r="F17" i="13"/>
  <c r="G17" i="13" s="1"/>
  <c r="F84" i="13"/>
  <c r="G84" i="13" s="1"/>
  <c r="F10" i="13"/>
  <c r="G10" i="13" s="1"/>
  <c r="O10" i="13" s="1"/>
  <c r="N54" i="13" l="1"/>
  <c r="L38" i="13"/>
  <c r="L44" i="13"/>
  <c r="L74" i="13"/>
  <c r="N47" i="13"/>
  <c r="H42" i="13"/>
  <c r="I42" i="13" s="1"/>
  <c r="O114" i="13"/>
  <c r="H114" i="13"/>
  <c r="H11" i="13"/>
  <c r="I11" i="13" s="1"/>
  <c r="L34" i="13"/>
  <c r="H10" i="13"/>
  <c r="H62" i="13"/>
  <c r="I62" i="13" s="1"/>
  <c r="O38" i="13"/>
  <c r="H63" i="13"/>
  <c r="I63" i="13" s="1"/>
  <c r="H55" i="13"/>
  <c r="I55" i="13" s="1"/>
  <c r="H49" i="13"/>
  <c r="I49" i="13" s="1"/>
  <c r="H68" i="13"/>
  <c r="I68" i="13" s="1"/>
  <c r="H89" i="13"/>
  <c r="I89" i="13" s="1"/>
  <c r="O89" i="13"/>
  <c r="N93" i="13"/>
  <c r="L93"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L76" i="13"/>
  <c r="H100" i="13"/>
  <c r="I100" i="13" s="1"/>
  <c r="O100" i="13"/>
  <c r="O84" i="13"/>
  <c r="H84" i="13"/>
  <c r="I84" i="13" s="1"/>
  <c r="H45" i="13"/>
  <c r="O45" i="13"/>
  <c r="O19" i="13"/>
  <c r="H19" i="13"/>
  <c r="I19" i="13" s="1"/>
  <c r="O65" i="13"/>
  <c r="H65" i="13"/>
  <c r="I65" i="13" s="1"/>
  <c r="O64" i="13"/>
  <c r="H64" i="13"/>
  <c r="I64" i="13" s="1"/>
  <c r="O102" i="13"/>
  <c r="H102" i="13"/>
  <c r="I102" i="13" s="1"/>
  <c r="L98" i="13"/>
  <c r="L23" i="13"/>
  <c r="O66" i="13"/>
  <c r="H66" i="13"/>
  <c r="I66" i="13" s="1"/>
  <c r="O104" i="13"/>
  <c r="H104" i="13"/>
  <c r="I104" i="13" s="1"/>
  <c r="L53" i="13"/>
  <c r="H107" i="13"/>
  <c r="I107" i="13" s="1"/>
  <c r="O107" i="13"/>
  <c r="O76" i="13"/>
  <c r="L56" i="13"/>
  <c r="O82" i="13"/>
  <c r="H82" i="13"/>
  <c r="I82" i="13" s="1"/>
  <c r="O25" i="13"/>
  <c r="H25" i="13"/>
  <c r="I25" i="13" s="1"/>
  <c r="H87" i="13"/>
  <c r="L112" i="13"/>
  <c r="N112" i="13"/>
  <c r="O112" i="13"/>
  <c r="O79" i="13"/>
  <c r="H79" i="13"/>
  <c r="I79" i="13" s="1"/>
  <c r="H32" i="13"/>
  <c r="I32" i="13" s="1"/>
  <c r="O32" i="13"/>
  <c r="H58" i="13"/>
  <c r="I58" i="13" s="1"/>
  <c r="L47" i="13"/>
  <c r="H71" i="13"/>
  <c r="I71" i="13" s="1"/>
  <c r="O71" i="13"/>
  <c r="O98" i="13"/>
  <c r="O54" i="13"/>
  <c r="N38" i="13"/>
  <c r="Q5" i="13"/>
  <c r="O61" i="13"/>
  <c r="H61" i="13"/>
  <c r="I61" i="13" s="1"/>
  <c r="N35" i="13"/>
  <c r="L35" i="13"/>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L54" i="13"/>
  <c r="O23" i="13"/>
  <c r="O88" i="13"/>
  <c r="O75" i="13"/>
  <c r="H75" i="13"/>
  <c r="O97" i="13"/>
  <c r="H97" i="13"/>
  <c r="O50" i="13"/>
  <c r="H50" i="13"/>
  <c r="I50" i="13" s="1"/>
  <c r="O92" i="13"/>
  <c r="H92" i="13"/>
  <c r="I92" i="13" s="1"/>
  <c r="N60" i="13"/>
  <c r="L60" i="13"/>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L88" i="13"/>
  <c r="O35" i="13"/>
  <c r="H101" i="13"/>
  <c r="I101" i="13" s="1"/>
  <c r="O101" i="13"/>
  <c r="L78" i="13"/>
  <c r="H51" i="13"/>
  <c r="I51" i="13" s="1"/>
  <c r="O78" i="13"/>
  <c r="O93" i="13"/>
  <c r="N98" i="13" l="1"/>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13" i="13"/>
  <c r="N20" i="13"/>
  <c r="N21" i="13"/>
  <c r="N55" i="13"/>
  <c r="N56" i="13"/>
  <c r="L18" i="13"/>
  <c r="N19" i="13"/>
  <c r="L31" i="13"/>
  <c r="L63" i="13"/>
  <c r="L29" i="13"/>
  <c r="N30" i="13"/>
  <c r="L16" i="13"/>
  <c r="N17" i="13"/>
  <c r="N90" i="13"/>
  <c r="N39" i="13"/>
  <c r="N40" i="13"/>
  <c r="N68" i="13"/>
  <c r="N42" i="13"/>
  <c r="Q4" i="13"/>
  <c r="F69"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N5" i="13" l="1"/>
  <c r="F68" i="3" s="1"/>
  <c r="E22" i="14" s="1"/>
  <c r="O2" i="13"/>
  <c r="F74" i="1" s="1"/>
  <c r="J10" i="13"/>
  <c r="E38" i="14" l="1"/>
  <c r="E45" i="14" s="1"/>
  <c r="F38" i="14"/>
  <c r="F45" i="14" s="1"/>
  <c r="G38" i="14"/>
  <c r="G45" i="14" s="1"/>
  <c r="H38" i="14"/>
  <c r="H45" i="14" s="1"/>
  <c r="I38" i="14"/>
  <c r="I45" i="14" s="1"/>
  <c r="J38" i="14"/>
  <c r="J45" i="14" s="1"/>
  <c r="K38" i="14"/>
  <c r="K45" i="14" s="1"/>
  <c r="L38" i="14"/>
  <c r="L45" i="14" s="1"/>
  <c r="M38" i="14"/>
  <c r="M45" i="14" s="1"/>
  <c r="N38" i="14"/>
  <c r="N45" i="14" s="1"/>
  <c r="O38" i="14"/>
  <c r="O45" i="14" s="1"/>
  <c r="P38" i="14"/>
  <c r="P45" i="14" s="1"/>
  <c r="Q38" i="14"/>
  <c r="Q45" i="14" s="1"/>
  <c r="R38" i="14"/>
  <c r="R45" i="14" s="1"/>
  <c r="S38" i="14"/>
  <c r="S45" i="14" s="1"/>
  <c r="T38" i="14"/>
  <c r="T45" i="14" s="1"/>
  <c r="U38" i="14"/>
  <c r="U45" i="14" s="1"/>
  <c r="V38" i="14"/>
  <c r="V45" i="14" s="1"/>
  <c r="W38" i="14"/>
  <c r="W45" i="14" s="1"/>
  <c r="X38" i="14"/>
  <c r="X45" i="14" s="1"/>
  <c r="F70" i="3"/>
  <c r="H8" i="7" s="1"/>
  <c r="J11" i="13"/>
  <c r="K10" i="13"/>
  <c r="H10" i="7" l="1"/>
  <c r="H12" i="7" s="1"/>
  <c r="H13" i="7" s="1"/>
  <c r="H15" i="7" s="1"/>
  <c r="V48" i="14"/>
  <c r="V47" i="14"/>
  <c r="R48" i="14"/>
  <c r="R47" i="14"/>
  <c r="N48" i="14"/>
  <c r="N47" i="14"/>
  <c r="J48" i="14"/>
  <c r="J47" i="14"/>
  <c r="F48" i="14"/>
  <c r="F47" i="14"/>
  <c r="U47" i="14"/>
  <c r="U48" i="14"/>
  <c r="Q48" i="14"/>
  <c r="Q47" i="14"/>
  <c r="M47" i="14"/>
  <c r="M48" i="14"/>
  <c r="I47" i="14"/>
  <c r="I48" i="14"/>
  <c r="E48" i="14"/>
  <c r="E47" i="14"/>
  <c r="X47" i="14"/>
  <c r="X48" i="14"/>
  <c r="T48" i="14"/>
  <c r="T47" i="14"/>
  <c r="P47" i="14"/>
  <c r="P48" i="14"/>
  <c r="L48" i="14"/>
  <c r="L47" i="14"/>
  <c r="H47" i="14"/>
  <c r="H48" i="14"/>
  <c r="W47" i="14"/>
  <c r="W48" i="14"/>
  <c r="S48" i="14"/>
  <c r="S47" i="14"/>
  <c r="O48" i="14"/>
  <c r="O47" i="14"/>
  <c r="K48" i="14"/>
  <c r="K47" i="14"/>
  <c r="G47" i="14"/>
  <c r="G48" i="14"/>
  <c r="J12" i="13"/>
  <c r="K11" i="13"/>
  <c r="H11" i="7" l="1"/>
  <c r="H14" i="7" s="1"/>
  <c r="H19" i="7" s="1"/>
  <c r="H18" i="7" s="1"/>
  <c r="H20" i="7" s="1"/>
  <c r="H22" i="7" s="1"/>
  <c r="G50" i="14"/>
  <c r="G51" i="14" s="1"/>
  <c r="G52" i="14" s="1"/>
  <c r="G54" i="14" s="1"/>
  <c r="W50" i="14"/>
  <c r="W51" i="14" s="1"/>
  <c r="W52" i="14" s="1"/>
  <c r="W54" i="14" s="1"/>
  <c r="M50" i="14"/>
  <c r="M51" i="14" s="1"/>
  <c r="M52" i="14" s="1"/>
  <c r="M54" i="14" s="1"/>
  <c r="U50" i="14"/>
  <c r="U51" i="14" s="1"/>
  <c r="U52" i="14" s="1"/>
  <c r="U54" i="14" s="1"/>
  <c r="K50" i="14"/>
  <c r="K51" i="14" s="1"/>
  <c r="K52" i="14" s="1"/>
  <c r="K54" i="14" s="1"/>
  <c r="S50" i="14"/>
  <c r="S51" i="14" s="1"/>
  <c r="S52" i="14" s="1"/>
  <c r="S54" i="14" s="1"/>
  <c r="H50" i="14"/>
  <c r="H51" i="14" s="1"/>
  <c r="H52" i="14" s="1"/>
  <c r="H54" i="14" s="1"/>
  <c r="Q50" i="14"/>
  <c r="Q51" i="14" s="1"/>
  <c r="Q52" i="14" s="1"/>
  <c r="Q54" i="14" s="1"/>
  <c r="J50" i="14"/>
  <c r="J51" i="14" s="1"/>
  <c r="J52" i="14" s="1"/>
  <c r="J54" i="14" s="1"/>
  <c r="R50" i="14"/>
  <c r="R51" i="14" s="1"/>
  <c r="R52" i="14" s="1"/>
  <c r="R54" i="14" s="1"/>
  <c r="P50" i="14"/>
  <c r="P51" i="14" s="1"/>
  <c r="P52" i="14" s="1"/>
  <c r="P54" i="14" s="1"/>
  <c r="X50" i="14"/>
  <c r="X51" i="14" s="1"/>
  <c r="X52" i="14" s="1"/>
  <c r="X54" i="14" s="1"/>
  <c r="I50" i="14"/>
  <c r="I51" i="14" s="1"/>
  <c r="I52" i="14" s="1"/>
  <c r="I54" i="14" s="1"/>
  <c r="O50" i="14"/>
  <c r="O51" i="14" s="1"/>
  <c r="O52" i="14" s="1"/>
  <c r="O54" i="14" s="1"/>
  <c r="L50" i="14"/>
  <c r="L51" i="14" s="1"/>
  <c r="L52" i="14" s="1"/>
  <c r="L54" i="14" s="1"/>
  <c r="T50" i="14"/>
  <c r="T51" i="14" s="1"/>
  <c r="T52" i="14" s="1"/>
  <c r="T54" i="14" s="1"/>
  <c r="E50" i="14"/>
  <c r="E51" i="14" s="1"/>
  <c r="E52" i="14" s="1"/>
  <c r="E54" i="14" s="1"/>
  <c r="E55" i="14" s="1"/>
  <c r="E58" i="14" s="1"/>
  <c r="F50" i="14"/>
  <c r="F51" i="14" s="1"/>
  <c r="F52" i="14" s="1"/>
  <c r="F54" i="14" s="1"/>
  <c r="N50" i="14"/>
  <c r="N51" i="14" s="1"/>
  <c r="N52" i="14" s="1"/>
  <c r="N54" i="14" s="1"/>
  <c r="V50" i="14"/>
  <c r="V51" i="14" s="1"/>
  <c r="V52" i="14" s="1"/>
  <c r="V54" i="14" s="1"/>
  <c r="J13" i="13"/>
  <c r="K12" i="13"/>
  <c r="R56" i="14" l="1"/>
  <c r="R59" i="14" s="1"/>
  <c r="H28" i="7"/>
  <c r="F71" i="3" s="1"/>
  <c r="F72" i="3" s="1"/>
  <c r="H55" i="14"/>
  <c r="H58" i="14" s="1"/>
  <c r="S55" i="14"/>
  <c r="S58" i="14" s="1"/>
  <c r="V55" i="14"/>
  <c r="V58" i="14" s="1"/>
  <c r="Q55" i="14"/>
  <c r="Q58" i="14" s="1"/>
  <c r="R55" i="14"/>
  <c r="R58" i="14" s="1"/>
  <c r="S56" i="14"/>
  <c r="S59" i="14" s="1"/>
  <c r="Q56" i="14"/>
  <c r="Q59" i="14" s="1"/>
  <c r="J56" i="14"/>
  <c r="J59" i="14" s="1"/>
  <c r="K55" i="14"/>
  <c r="K58" i="14" s="1"/>
  <c r="G56" i="14"/>
  <c r="G59" i="14" s="1"/>
  <c r="K56" i="14"/>
  <c r="K59" i="14" s="1"/>
  <c r="M55" i="14"/>
  <c r="M58" i="14" s="1"/>
  <c r="O55" i="14"/>
  <c r="O58" i="14" s="1"/>
  <c r="U56" i="14"/>
  <c r="U59" i="14" s="1"/>
  <c r="F55" i="14"/>
  <c r="F58" i="14" s="1"/>
  <c r="F56" i="14"/>
  <c r="F59" i="14" s="1"/>
  <c r="H56" i="14"/>
  <c r="H59" i="14" s="1"/>
  <c r="I55" i="14"/>
  <c r="I58" i="14" s="1"/>
  <c r="W55" i="14"/>
  <c r="W58" i="14" s="1"/>
  <c r="G55" i="14"/>
  <c r="G58" i="14" s="1"/>
  <c r="T55" i="14"/>
  <c r="T58" i="14" s="1"/>
  <c r="T56" i="14"/>
  <c r="T59" i="14" s="1"/>
  <c r="W56" i="14"/>
  <c r="W59" i="14" s="1"/>
  <c r="X56" i="14"/>
  <c r="X59" i="14" s="1"/>
  <c r="X55" i="14"/>
  <c r="X58" i="14" s="1"/>
  <c r="J55" i="14"/>
  <c r="J58" i="14" s="1"/>
  <c r="V56" i="14"/>
  <c r="V59" i="14" s="1"/>
  <c r="N55" i="14"/>
  <c r="N58" i="14" s="1"/>
  <c r="N56" i="14"/>
  <c r="N59" i="14" s="1"/>
  <c r="L55" i="14"/>
  <c r="L58" i="14" s="1"/>
  <c r="L56" i="14"/>
  <c r="L59" i="14" s="1"/>
  <c r="O56" i="14"/>
  <c r="O59" i="14" s="1"/>
  <c r="P55" i="14"/>
  <c r="P58" i="14" s="1"/>
  <c r="P56" i="14"/>
  <c r="P59" i="14" s="1"/>
  <c r="I56" i="14"/>
  <c r="I59" i="14" s="1"/>
  <c r="U55" i="14"/>
  <c r="U58" i="14" s="1"/>
  <c r="M56" i="14"/>
  <c r="M59" i="14" s="1"/>
  <c r="J14" i="13"/>
  <c r="K13" i="13"/>
  <c r="F87" i="1" l="1"/>
  <c r="O207" i="3"/>
  <c r="O208" i="3" s="1"/>
  <c r="O198" i="3"/>
  <c r="O202" i="3"/>
  <c r="I29" i="14"/>
  <c r="J29" i="14" s="1"/>
  <c r="I28" i="14"/>
  <c r="J28" i="14" s="1"/>
  <c r="J15" i="13"/>
  <c r="K14" i="13"/>
  <c r="O201" i="3" l="1"/>
  <c r="O205" i="3"/>
  <c r="O199" i="3"/>
  <c r="O200" i="3"/>
  <c r="O204" i="3"/>
  <c r="O209" i="3"/>
  <c r="O210" i="3"/>
  <c r="O206" i="3"/>
  <c r="O203" i="3"/>
  <c r="O211" i="3"/>
  <c r="F81" i="1"/>
  <c r="F82" i="1"/>
  <c r="J16" i="13"/>
  <c r="K15" i="13"/>
  <c r="J17" i="13" l="1"/>
  <c r="K16" i="13"/>
  <c r="J18" i="13" l="1"/>
  <c r="K17" i="13"/>
  <c r="J19" i="13" l="1"/>
  <c r="K18" i="13"/>
  <c r="J20" i="13" l="1"/>
  <c r="K19" i="13"/>
  <c r="J21" i="13" l="1"/>
  <c r="K20" i="13"/>
  <c r="J22" i="13" l="1"/>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31" i="1" s="1"/>
  <c r="K114" i="13"/>
  <c r="K115" i="13" s="1"/>
  <c r="F73" i="1" l="1"/>
  <c r="F53" i="3"/>
  <c r="F55" i="3" s="1"/>
  <c r="F75" i="1" l="1"/>
  <c r="F56" i="3"/>
  <c r="F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bdemsc</author>
    <author>a0272042</author>
    <author>Alex Triano</author>
    <author>TI User</author>
  </authors>
  <commentList>
    <comment ref="F27" authorId="0" shapeId="0" xr:uid="{00000000-0006-0000-0100-000001000000}">
      <text>
        <r>
          <rPr>
            <b/>
            <sz val="8"/>
            <color indexed="81"/>
            <rFont val="Tahoma"/>
            <family val="2"/>
          </rPr>
          <t>The minimum system voltage must be no less than 2.9V.</t>
        </r>
      </text>
    </comment>
    <comment ref="F29" authorId="0" shapeId="0" xr:uid="{00000000-0006-0000-0100-000002000000}">
      <text>
        <r>
          <rPr>
            <b/>
            <sz val="8"/>
            <color indexed="81"/>
            <rFont val="Tahoma"/>
            <family val="2"/>
          </rPr>
          <t>The maximum system voltage must be no greater than 17V.</t>
        </r>
      </text>
    </comment>
    <comment ref="F31"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7" authorId="1" shapeId="0" xr:uid="{00000000-0006-0000-0100-000004000000}">
      <text>
        <r>
          <rPr>
            <b/>
            <sz val="8"/>
            <color indexed="81"/>
            <rFont val="Tahoma"/>
            <family val="2"/>
          </rPr>
          <t>Select either 25mV or 46mV current limit.
25mV will result in less power loss in the Rs resistor.</t>
        </r>
      </text>
    </comment>
    <comment ref="F39" authorId="2" shapeId="0" xr:uid="{00000000-0006-0000-0100-000005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40" authorId="0" shapeId="0" xr:uid="{00000000-0006-0000-0100-000006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1" authorId="2" shapeId="0" xr:uid="{00000000-0006-0000-0100-000007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6" authorId="2" shapeId="0" xr:uid="{00000000-0006-0000-0100-000008000000}">
      <text>
        <r>
          <rPr>
            <b/>
            <sz val="9"/>
            <color indexed="81"/>
            <rFont val="Tahoma"/>
            <family val="2"/>
          </rPr>
          <t xml:space="preserve">Ensure that the minimum current limit is above maximum load. </t>
        </r>
      </text>
    </comment>
    <comment ref="F47" authorId="2" shapeId="0" xr:uid="{00000000-0006-0000-0100-000009000000}">
      <text>
        <r>
          <rPr>
            <b/>
            <sz val="9"/>
            <color indexed="81"/>
            <rFont val="Tahoma"/>
            <family val="2"/>
          </rPr>
          <t xml:space="preserve">Ensure that the minimum current limit is above maximum load. </t>
        </r>
        <r>
          <rPr>
            <sz val="9"/>
            <color indexed="81"/>
            <rFont val="Tahoma"/>
            <family val="2"/>
          </rPr>
          <t xml:space="preserve">
</t>
        </r>
      </text>
    </comment>
    <comment ref="F48" authorId="2" shapeId="0" xr:uid="{00000000-0006-0000-0100-00000A000000}">
      <text>
        <r>
          <rPr>
            <b/>
            <sz val="9"/>
            <color indexed="81"/>
            <rFont val="Tahoma"/>
            <family val="2"/>
          </rPr>
          <t xml:space="preserve">Ensure that the minimum current limit is above maximum load. </t>
        </r>
        <r>
          <rPr>
            <sz val="9"/>
            <color indexed="81"/>
            <rFont val="Tahoma"/>
            <family val="2"/>
          </rPr>
          <t xml:space="preserve">
</t>
        </r>
      </text>
    </comment>
    <comment ref="F49" authorId="0" shapeId="0" xr:uid="{00000000-0006-0000-0100-00000B000000}">
      <text>
        <r>
          <rPr>
            <b/>
            <sz val="8"/>
            <color indexed="81"/>
            <rFont val="Tahoma"/>
            <family val="2"/>
          </rPr>
          <t>The power dissipation is calculated using the maximum normal load current.
Ensure the selected resistor is rated for this power dissipation.</t>
        </r>
      </text>
    </comment>
    <comment ref="F53" authorId="3" shapeId="0" xr:uid="{00000000-0006-0000-0100-00000C00000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55" authorId="2" shapeId="0" xr:uid="{00000000-0006-0000-0100-00000D000000}">
      <text>
        <r>
          <rPr>
            <b/>
            <sz val="9"/>
            <color indexed="81"/>
            <rFont val="Tahoma"/>
            <family val="2"/>
          </rPr>
          <t>This number may need to be adjusted iteratively based on the result of cell C44.</t>
        </r>
        <r>
          <rPr>
            <sz val="9"/>
            <color indexed="81"/>
            <rFont val="Tahoma"/>
            <family val="2"/>
          </rPr>
          <t xml:space="preserve">
</t>
        </r>
      </text>
    </comment>
    <comment ref="F63" authorId="2" shapeId="0" xr:uid="{00000000-0006-0000-0100-00000E000000}">
      <text>
        <r>
          <rPr>
            <sz val="9"/>
            <color indexed="81"/>
            <rFont val="Tahoma"/>
            <family val="2"/>
          </rPr>
          <t xml:space="preserve">If FET temperature is too high, increase the # of FETs, reduce the load, or reduce the RθJA by adding more heat sinking to MOSFETs. 
</t>
        </r>
      </text>
    </comment>
    <comment ref="F65" authorId="2" shapeId="0" xr:uid="{00000000-0006-0000-0100-00000F00000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F68" authorId="2" shapeId="0" xr:uid="{00000000-0006-0000-0100-000010000000}">
      <text>
        <r>
          <rPr>
            <sz val="9"/>
            <color indexed="81"/>
            <rFont val="Tahoma"/>
            <family val="2"/>
          </rPr>
          <t xml:space="preserve">Cell turns Red if the actual power limit is below Minimum Power Limit (cell F46)
</t>
        </r>
      </text>
    </comment>
    <comment ref="I68" authorId="4" shapeId="0" xr:uid="{00000000-0006-0000-0100-000011000000}">
      <text>
        <r>
          <rPr>
            <sz val="8"/>
            <color indexed="81"/>
            <rFont val="Tahoma"/>
            <family val="2"/>
          </rPr>
          <t xml:space="preserve">3 Parameters:
Step 1: Max Ambrient Operating Temperature 
Step 3: Estimated MOSFET RQJA
Step 3: FET Power Dissipation at full load 
**This includes air flow
</t>
        </r>
      </text>
    </comment>
    <comment ref="F70" authorId="1" shapeId="0" xr:uid="{00000000-0006-0000-0100-000012000000}">
      <text>
        <r>
          <rPr>
            <b/>
            <sz val="8"/>
            <color indexed="81"/>
            <rFont val="Tahoma"/>
            <family val="2"/>
          </rPr>
          <t>Select if the load will draw current during start-up. 
For no Load, choose constant current and set to zero</t>
        </r>
      </text>
    </comment>
    <comment ref="F72" authorId="1" shapeId="0" xr:uid="{00000000-0006-0000-0100-000013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4" authorId="2" shapeId="0" xr:uid="{00000000-0006-0000-0100-000014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5" authorId="0" shapeId="0" xr:uid="{00000000-0006-0000-0100-00001500000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77" authorId="2" shapeId="0" xr:uid="{00000000-0006-0000-0100-000016000000}">
      <text>
        <r>
          <rPr>
            <b/>
            <sz val="9"/>
            <color indexed="81"/>
            <rFont val="Tahoma"/>
            <family val="2"/>
          </rPr>
          <t>Pick closest capacitor that is larger than the Target capacitance</t>
        </r>
        <r>
          <rPr>
            <sz val="9"/>
            <color indexed="81"/>
            <rFont val="Tahoma"/>
            <family val="2"/>
          </rPr>
          <t xml:space="preserve">
</t>
        </r>
      </text>
    </comment>
    <comment ref="F79" authorId="2" shapeId="0" xr:uid="{00000000-0006-0000-0100-000017000000}">
      <text>
        <r>
          <rPr>
            <sz val="9"/>
            <color indexed="81"/>
            <rFont val="Tahoma"/>
            <family val="2"/>
          </rPr>
          <t>A ratio over 1.1 is required and over 1.3 is preferred.  This will account for variation in Power limit and timer
If the margin is poor with a PLIM based start-up,  reduce timer, reduce power limit, use more FETs in parallel or switch to soft start (cell F55)</t>
        </r>
      </text>
    </comment>
    <comment ref="F80" authorId="1" shapeId="0" xr:uid="{00000000-0006-0000-0100-000018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1" authorId="2" shapeId="0" xr:uid="{00000000-0006-0000-0100-000019000000}">
      <text>
        <r>
          <rPr>
            <b/>
            <sz val="9"/>
            <color indexed="81"/>
            <rFont val="Tahoma"/>
            <family val="2"/>
          </rPr>
          <t xml:space="preserve">If these cells are red, there is no suitable slew rate for keeping FET whithin SOA. 
Reduce load at start-up or pick FET with better SOA. </t>
        </r>
      </text>
    </comment>
    <comment ref="F82" authorId="2" shapeId="0" xr:uid="{00000000-0006-0000-0100-00001A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3" authorId="2" shapeId="0" xr:uid="{00000000-0006-0000-0100-00001B000000}">
      <text>
        <r>
          <rPr>
            <b/>
            <sz val="9"/>
            <color indexed="81"/>
            <rFont val="Tahoma"/>
            <family val="2"/>
          </rPr>
          <t>Ensure that this is lower than max ss slew rate in the cell above</t>
        </r>
        <r>
          <rPr>
            <sz val="9"/>
            <color indexed="81"/>
            <rFont val="Tahoma"/>
            <family val="2"/>
          </rPr>
          <t xml:space="preserve">
</t>
        </r>
      </text>
    </comment>
    <comment ref="F86" authorId="2" shapeId="0" xr:uid="{00000000-0006-0000-0100-00001C000000}">
      <text>
        <r>
          <rPr>
            <b/>
            <sz val="9"/>
            <color indexed="81"/>
            <rFont val="Tahoma"/>
            <family val="2"/>
          </rPr>
          <t>Ensure that this is lower than max ss slew rate.</t>
        </r>
      </text>
    </comment>
    <comment ref="F87" authorId="2" shapeId="0" xr:uid="{00000000-0006-0000-0100-00001D000000}">
      <text>
        <r>
          <rPr>
            <sz val="9"/>
            <color indexed="81"/>
            <rFont val="Tahoma"/>
            <family val="2"/>
          </rPr>
          <t>A margin of &gt;1.1 is required and a margin of &gt;1.3 is recommended to accout for the variation in the gate current. 
Reduce dv/dt rate to reduce inrush current and increase SOA margin</t>
        </r>
      </text>
    </comment>
    <comment ref="F92" authorId="2" shapeId="0" xr:uid="{00000000-0006-0000-0100-00001E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4" authorId="0" shapeId="0" xr:uid="{00000000-0006-0000-0100-00001F000000}">
      <text>
        <r>
          <rPr>
            <b/>
            <sz val="8"/>
            <color indexed="81"/>
            <rFont val="Tahoma"/>
            <family val="2"/>
          </rPr>
          <t>This calculation applies only when the RETRY option is selected.</t>
        </r>
      </text>
    </comment>
    <comment ref="F95" authorId="1" shapeId="0" xr:uid="{00000000-0006-0000-0100-000020000000}">
      <text>
        <r>
          <rPr>
            <b/>
            <sz val="8"/>
            <color indexed="81"/>
            <rFont val="Tahoma"/>
            <family val="2"/>
          </rPr>
          <t>See the schematics above to select the appropriate option for setting the input voltage UVLO and OVLO thresholds.</t>
        </r>
      </text>
    </comment>
    <comment ref="F96" authorId="0" shapeId="0" xr:uid="{00000000-0006-0000-0100-000021000000}">
      <text>
        <r>
          <rPr>
            <b/>
            <sz val="8"/>
            <color indexed="81"/>
            <rFont val="Tahoma"/>
            <family val="2"/>
          </rPr>
          <t>This threshold must be between 2.9V and 17V.</t>
        </r>
      </text>
    </comment>
    <comment ref="F97" authorId="0" shapeId="0" xr:uid="{00000000-0006-0000-0100-000022000000}">
      <text>
        <r>
          <rPr>
            <b/>
            <sz val="8"/>
            <color indexed="81"/>
            <rFont val="Tahoma"/>
            <family val="2"/>
          </rPr>
          <t>This threshold must be greater than 2.65V, and less than the upper UVLO threshold.</t>
        </r>
      </text>
    </comment>
    <comment ref="F98" authorId="0" shapeId="0" xr:uid="{00000000-0006-0000-0100-000023000000}">
      <text>
        <r>
          <rPr>
            <b/>
            <sz val="8"/>
            <color indexed="81"/>
            <rFont val="Tahoma"/>
            <family val="2"/>
          </rPr>
          <t>This threshold must be greater than the upper UVLO Threshold, and less than 17V.</t>
        </r>
      </text>
    </comment>
    <comment ref="F146" authorId="3" shapeId="0" xr:uid="{00000000-0006-0000-0100-000024000000}">
      <text>
        <r>
          <rPr>
            <sz val="9"/>
            <color indexed="81"/>
            <rFont val="Tahoma"/>
            <family val="2"/>
          </rPr>
          <t xml:space="preserve">TI recommended. Same as EVM
</t>
        </r>
      </text>
    </comment>
    <comment ref="F148" authorId="3" shapeId="0" xr:uid="{00000000-0006-0000-0100-000025000000}">
      <text>
        <r>
          <rPr>
            <sz val="9"/>
            <color indexed="81"/>
            <rFont val="Tahoma"/>
            <family val="2"/>
          </rPr>
          <t xml:space="preserve">TI recomends the SMDJxx TVS, which are used on the EVM. 
Pick the proper value based on the input voltage.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bdemsc</author>
  </authors>
  <commentList>
    <comment ref="C39" authorId="0" shapeId="0" xr:uid="{00000000-0006-0000-0500-000001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shapeId="0" xr:uid="{00000000-0006-0000-0500-000002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shapeId="0" xr:uid="{00000000-0006-0000-0500-000003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<sst xmlns="http://schemas.openxmlformats.org/spreadsheetml/2006/main" count="769" uniqueCount="524">
  <si>
    <t>Max Rs =</t>
  </si>
  <si>
    <t>Min. Current limit =</t>
  </si>
  <si>
    <t>Typ. Current limit =</t>
  </si>
  <si>
    <t>Max. Current limit =</t>
  </si>
  <si>
    <t>Rs Power Diss. =</t>
  </si>
  <si>
    <t>Resulting Typical Power Limit =</t>
  </si>
  <si>
    <t>Resulting Minimum Power Limit =</t>
  </si>
  <si>
    <t>Resulting Maximum Power Limit =</t>
  </si>
  <si>
    <t>ms</t>
  </si>
  <si>
    <t>(V)</t>
  </si>
  <si>
    <t>(A)</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</si>
  <si>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</si>
  <si>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</si>
  <si>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</si>
  <si>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</si>
  <si>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</si>
  <si>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</si>
  <si>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</si>
  <si>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</si>
  <si>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</si>
  <si>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r>
      <t>C</t>
    </r>
    <r>
      <rPr>
        <vertAlign val="subscript"/>
        <sz val="10"/>
        <rFont val="Arial"/>
        <family val="2"/>
      </rPr>
      <t>T</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</si>
  <si>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</si>
  <si>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</si>
  <si>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</si>
  <si>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</si>
  <si>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</si>
  <si>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</si>
  <si>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</si>
  <si>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</si>
  <si>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</si>
  <si>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</si>
  <si>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</si>
  <si>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</si>
  <si>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</si>
  <si>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</si>
  <si>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</si>
  <si>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</si>
  <si>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</si>
  <si>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</si>
  <si>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</si>
  <si>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</si>
  <si>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</si>
  <si>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</si>
  <si>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</si>
  <si>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</si>
  <si>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</si>
  <si>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</si>
  <si>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</si>
  <si>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</si>
  <si>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</si>
  <si>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</si>
  <si>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</si>
  <si>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</si>
  <si>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</si>
  <si>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</si>
  <si>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</si>
  <si>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</si>
  <si>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</si>
  <si>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</si>
  <si>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r>
      <t>R</t>
    </r>
    <r>
      <rPr>
        <vertAlign val="subscript"/>
        <sz val="10"/>
        <rFont val="Arial"/>
        <family val="2"/>
      </rPr>
      <t>PG</t>
    </r>
    <r>
      <rPr>
        <sz val="10"/>
        <rFont val="Arial"/>
        <family val="2"/>
      </rPr>
      <t xml:space="preserve"> =</t>
    </r>
  </si>
  <si>
    <r>
      <t>V</t>
    </r>
    <r>
      <rPr>
        <b/>
        <vertAlign val="subscript"/>
        <sz val="10"/>
        <rFont val="Arial"/>
        <family val="2"/>
      </rPr>
      <t>DS</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</si>
  <si>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</si>
  <si>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</si>
  <si>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</si>
  <si>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</si>
  <si>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</si>
  <si>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</si>
  <si>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</si>
  <si>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</si>
  <si>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</si>
  <si>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</si>
  <si>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</si>
  <si>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</si>
  <si>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</si>
  <si>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</si>
  <si>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</si>
  <si>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</si>
  <si>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</si>
  <si>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</si>
  <si>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</si>
  <si>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</si>
  <si>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</si>
  <si>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</si>
  <si>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</si>
  <si>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</si>
  <si>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</si>
  <si>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</si>
  <si>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</si>
  <si>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25 mV</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</si>
  <si>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</si>
  <si>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</si>
  <si>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</si>
  <si>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</si>
  <si>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</si>
  <si>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</si>
  <si>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</si>
  <si>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</si>
  <si>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Typical Restart Time</t>
  </si>
  <si>
    <t>Desired Upper UVLO Threshold</t>
  </si>
  <si>
    <t>Desired Lower UVLO Threshold</t>
  </si>
  <si>
    <t>Desired Lower OVLO Threshold</t>
  </si>
  <si>
    <t xml:space="preserve">Resulting Upper UVLO Threshold = </t>
  </si>
  <si>
    <t xml:space="preserve">Resulting Lower UVLO Threshold = </t>
  </si>
  <si>
    <t xml:space="preserve">Resulting Upper OVLO Threshold = </t>
  </si>
  <si>
    <t xml:space="preserve">Resulting Lower OVLO Threshold = </t>
  </si>
  <si>
    <t>Resulting Minimum Current Limit</t>
  </si>
  <si>
    <t>Resulting Typical Current Limit</t>
  </si>
  <si>
    <t>Resulting Maximum Current Limit</t>
  </si>
  <si>
    <t>Desired Upper OVLO Threshold</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</si>
  <si>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</si>
  <si>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</si>
  <si>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</si>
  <si>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</si>
  <si>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</si>
  <si>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</si>
  <si>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</si>
  <si>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r>
      <t>R</t>
    </r>
    <r>
      <rPr>
        <vertAlign val="subscript"/>
        <sz val="10"/>
        <rFont val="Arial"/>
        <family val="2"/>
      </rPr>
      <t>FB2</t>
    </r>
  </si>
  <si>
    <r>
      <t>R</t>
    </r>
    <r>
      <rPr>
        <vertAlign val="subscript"/>
        <sz val="10"/>
        <rFont val="Arial"/>
        <family val="2"/>
      </rPr>
      <t>FB1</t>
    </r>
    <r>
      <rPr>
        <sz val="10"/>
        <rFont val="Arial"/>
        <family val="2"/>
      </rPr>
      <t xml:space="preserve"> =</t>
    </r>
  </si>
  <si>
    <r>
      <t>R</t>
    </r>
    <r>
      <rPr>
        <vertAlign val="subscript"/>
        <sz val="10"/>
        <rFont val="Arial"/>
        <family val="2"/>
      </rPr>
      <t>FB2</t>
    </r>
    <r>
      <rPr>
        <sz val="10"/>
        <rFont val="Arial"/>
        <family val="2"/>
      </rPr>
      <t xml:space="preserve"> =</t>
    </r>
  </si>
  <si>
    <t>2. A TVS clamp from VIN to GND is absolutely mandatory to clamp the voltage overshoot upon MOSFET turn-off, e.g. during circuit breaker</t>
  </si>
  <si>
    <r>
      <rPr>
        <sz val="11"/>
        <color theme="1"/>
        <rFont val="Arial"/>
        <family val="2"/>
      </rPr>
      <t>R</t>
    </r>
    <r>
      <rPr>
        <vertAlign val="subscript"/>
        <sz val="11"/>
        <color theme="1"/>
        <rFont val="Arial"/>
        <family val="2"/>
      </rPr>
      <t>S</t>
    </r>
    <r>
      <rPr>
        <sz val="11"/>
        <color theme="1"/>
        <rFont val="Arial"/>
        <family val="2"/>
      </rPr>
      <t xml:space="preserve"> =</t>
    </r>
  </si>
  <si>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</si>
  <si>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</si>
  <si>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</si>
  <si>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I</t>
    </r>
    <r>
      <rPr>
        <b/>
        <vertAlign val="subscript"/>
        <sz val="10"/>
        <rFont val="Arial"/>
        <family val="2"/>
      </rPr>
      <t>D</t>
    </r>
  </si>
  <si>
    <r>
      <t>Enter the Resistance for R</t>
    </r>
    <r>
      <rPr>
        <vertAlign val="subscript"/>
        <sz val="10"/>
        <rFont val="Arial"/>
        <family val="2"/>
      </rPr>
      <t>PG</t>
    </r>
  </si>
  <si>
    <t>Desired PGD Rising Threshold</t>
  </si>
  <si>
    <t>Desired PGD Hysteresis</t>
  </si>
  <si>
    <t>Ramp time for output voltage</t>
  </si>
  <si>
    <t>Nominal output voltage</t>
  </si>
  <si>
    <t>Required soft-start capacitance</t>
  </si>
  <si>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</si>
  <si>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</si>
  <si>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</si>
  <si>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</si>
  <si>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</si>
  <si>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</si>
  <si>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</si>
  <si>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</si>
  <si>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</si>
  <si>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</si>
  <si>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</si>
  <si>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</si>
  <si>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</si>
  <si>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</si>
  <si>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</si>
  <si>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</si>
  <si>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</si>
  <si>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</si>
  <si>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</si>
  <si>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</si>
  <si>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</si>
  <si>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</si>
  <si>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</si>
  <si>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</si>
  <si>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</si>
  <si>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</si>
  <si>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</si>
  <si>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</si>
  <si>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</si>
  <si>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</si>
  <si>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</si>
  <si>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</si>
  <si>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</si>
  <si>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</si>
  <si>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</si>
  <si>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</si>
  <si>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</si>
  <si>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</si>
  <si>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</si>
  <si>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GND</t>
  </si>
  <si>
    <t>Threshold Voltage CL = VDD</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</si>
  <si>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</si>
  <si>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</si>
  <si>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</si>
  <si>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</si>
  <si>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</si>
  <si>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</si>
  <si>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</si>
  <si>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</si>
  <si>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</si>
  <si>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</si>
  <si>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</si>
  <si>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</si>
  <si>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</si>
  <si>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</si>
  <si>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</si>
  <si>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</si>
  <si>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</si>
  <si>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</si>
  <si>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</si>
  <si>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</si>
  <si>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</si>
  <si>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</si>
  <si>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</si>
  <si>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</si>
  <si>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</si>
  <si>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</si>
  <si>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</si>
  <si>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</si>
  <si>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</si>
  <si>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</si>
  <si>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</si>
  <si>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</si>
  <si>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</si>
  <si>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</si>
  <si>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</si>
  <si>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</si>
  <si>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</si>
  <si>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</si>
  <si>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</si>
  <si>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</si>
  <si>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</si>
  <si>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</si>
  <si>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</si>
  <si>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</si>
  <si>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</si>
  <si>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</si>
  <si>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</si>
  <si>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</si>
  <si>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</si>
  <si>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</si>
  <si>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</si>
  <si>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</si>
  <si>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If any of the above cells is red, see the  Instrunctions Worksheet</t>
  </si>
  <si>
    <t>RCL1 Recommended  =</t>
  </si>
  <si>
    <t>RCL2 Recommmended =</t>
  </si>
  <si>
    <t>Effective Rs =</t>
  </si>
  <si>
    <t>Step 5: UVLO, OVLO &amp; PGD Thresholds</t>
  </si>
  <si>
    <r>
      <t>C</t>
    </r>
    <r>
      <rPr>
        <vertAlign val="subscript"/>
        <sz val="10"/>
        <rFont val="Arial"/>
        <family val="2"/>
      </rPr>
      <t>VDD</t>
    </r>
    <r>
      <rPr>
        <sz val="10"/>
        <rFont val="Arial"/>
        <family val="2"/>
      </rPr>
      <t xml:space="preserve"> =</t>
    </r>
  </si>
  <si>
    <r>
      <t>C</t>
    </r>
    <r>
      <rPr>
        <vertAlign val="subscript"/>
        <sz val="10"/>
        <rFont val="Arial"/>
        <family val="2"/>
      </rPr>
      <t>VREF</t>
    </r>
    <r>
      <rPr>
        <sz val="10"/>
        <rFont val="Arial"/>
        <family val="2"/>
      </rPr>
      <t xml:space="preserve"> =</t>
    </r>
  </si>
  <si>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</si>
  <si>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</si>
  <si>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</si>
  <si>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</si>
  <si>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Startup Time</t>
  </si>
  <si>
    <t>Insertion Delay</t>
  </si>
  <si>
    <t>Fault Timeout</t>
  </si>
  <si>
    <t>Restart Time During Fault</t>
  </si>
  <si>
    <t>Upper UVLO Threshold</t>
  </si>
  <si>
    <t>Lower OVLO Threshold</t>
  </si>
  <si>
    <t>Lower UVLO Threshold</t>
  </si>
  <si>
    <t>Upper OVLO Threshold</t>
  </si>
  <si>
    <t>PGD Hystersis</t>
  </si>
  <si>
    <t>Circuit Breaker Current</t>
  </si>
  <si>
    <t>PGD Threshold</t>
  </si>
  <si>
    <t>100us</t>
  </si>
  <si>
    <t>Step 2: Current Limit and Circuit Breaker</t>
  </si>
  <si>
    <t>Circuit Breaker to Current Limit Raitio</t>
  </si>
  <si>
    <r>
      <t>Enter Resistance for: R</t>
    </r>
    <r>
      <rPr>
        <vertAlign val="subscript"/>
        <sz val="10"/>
        <rFont val="Arial"/>
        <family val="2"/>
      </rPr>
      <t>FB1</t>
    </r>
  </si>
  <si>
    <t>3.6 x Current Limit</t>
  </si>
  <si>
    <t>1.8 x Current Limit</t>
  </si>
  <si>
    <t>1.8 x Threshold</t>
  </si>
  <si>
    <t>1.8x CB:CL Ratio</t>
  </si>
  <si>
    <t>3.6 x Threshold</t>
  </si>
  <si>
    <t>3.6x CB:CL Ratio</t>
  </si>
  <si>
    <r>
      <t>Maximum Output Load Capacitance: C</t>
    </r>
    <r>
      <rPr>
        <vertAlign val="subscript"/>
        <sz val="10"/>
        <rFont val="Arial"/>
        <family val="2"/>
      </rPr>
      <t>LOAD</t>
    </r>
  </si>
  <si>
    <t>Connect CB Pin to</t>
  </si>
  <si>
    <t>Connect CL Pin to</t>
  </si>
  <si>
    <t>Nominal PGD Rising Threhold</t>
  </si>
  <si>
    <t>Nominal PGD Hysteresis</t>
  </si>
  <si>
    <t>Connect /Retry to</t>
  </si>
  <si>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</si>
  <si>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</si>
  <si>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</si>
  <si>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</si>
  <si>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</si>
  <si>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</si>
  <si>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</si>
  <si>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</si>
  <si>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</si>
  <si>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</si>
  <si>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</si>
  <si>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</si>
  <si>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</si>
  <si>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</si>
  <si>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</si>
  <si>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</si>
  <si>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</si>
  <si>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</si>
  <si>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</si>
  <si>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</si>
  <si>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</si>
  <si>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</si>
  <si>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</si>
  <si>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</si>
  <si>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</si>
  <si>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</si>
  <si>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</si>
  <si>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Recommended Resistance for:  R1</t>
  </si>
  <si>
    <r>
      <t>Recommended Resistance for:  R</t>
    </r>
    <r>
      <rPr>
        <vertAlign val="subscript"/>
        <sz val="10"/>
        <rFont val="Arial"/>
        <family val="2"/>
      </rPr>
      <t>FB1</t>
    </r>
  </si>
  <si>
    <r>
      <t>Estimated MOSFET R</t>
    </r>
    <r>
      <rPr>
        <sz val="10"/>
        <rFont val="Symbol"/>
        <family val="1"/>
        <charset val="2"/>
      </rPr>
      <t>Q</t>
    </r>
    <r>
      <rPr>
        <vertAlign val="subscript"/>
        <sz val="10"/>
        <rFont val="Arial"/>
        <family val="2"/>
      </rPr>
      <t>JA</t>
    </r>
  </si>
  <si>
    <t>Values Used</t>
  </si>
  <si>
    <t xml:space="preserve"> </t>
  </si>
  <si>
    <t>Current Limit Range (CL)</t>
  </si>
  <si>
    <r>
      <t>Effective Sense Resistance (R</t>
    </r>
    <r>
      <rPr>
        <vertAlign val="subscript"/>
        <sz val="10"/>
        <rFont val="Arial"/>
        <family val="2"/>
      </rPr>
      <t>S,EFF</t>
    </r>
    <r>
      <rPr>
        <sz val="10"/>
        <rFont val="Arial"/>
        <family val="2"/>
      </rPr>
      <t>)</t>
    </r>
  </si>
  <si>
    <t>Maximum Recommended Value for Effective Sense Resistance</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</si>
  <si>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</si>
  <si>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</si>
  <si>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</si>
  <si>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</si>
  <si>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</si>
  <si>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</si>
  <si>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</si>
  <si>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Plim (Vds) = 1/Rs * [ Rpwr/A + Vds * Vos, syst]</t>
  </si>
  <si>
    <t xml:space="preserve">Example: </t>
  </si>
  <si>
    <t>Rpwr</t>
  </si>
  <si>
    <t>Plim</t>
  </si>
  <si>
    <t>Rsns (m-ohm)</t>
  </si>
  <si>
    <t>Vsns (mV)</t>
  </si>
  <si>
    <t>Rpwr =  A * [PLIM(Vds) * Rs - Vds*Vos,syst]</t>
  </si>
  <si>
    <t xml:space="preserve">Key Equations: </t>
  </si>
  <si>
    <t>How Plim varries vs Vds:</t>
  </si>
  <si>
    <t>Plim (Vds) = Plim (Vin,max) + (Vds - Vin,max)*Vos,syst/Rs</t>
  </si>
  <si>
    <t>Ex: Plim @ 13V = 100W, Rs = 0.5; Plim @ (Vds = 5V) = 100W - 7V * 1mV/0.5mili-ohm = 100W - 14W = 86W</t>
  </si>
  <si>
    <t>Target Power Limit</t>
  </si>
  <si>
    <t>Target PLIM</t>
  </si>
  <si>
    <t>k-ohm</t>
  </si>
  <si>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</si>
  <si>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</si>
  <si>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</si>
  <si>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</si>
  <si>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</si>
  <si>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</si>
  <si>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</si>
  <si>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</si>
  <si>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</si>
  <si>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</si>
  <si>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</si>
  <si>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</si>
  <si>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</si>
  <si>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</si>
  <si>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</si>
  <si>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</si>
  <si>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</si>
  <si>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</si>
  <si>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</si>
  <si>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</si>
  <si>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</si>
  <si>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</si>
  <si>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</si>
  <si>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</si>
  <si>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</si>
  <si>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</si>
  <si>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</si>
  <si>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</si>
  <si>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</si>
  <si>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</si>
  <si>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</si>
  <si>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</si>
  <si>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</si>
  <si>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</si>
  <si>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</si>
  <si>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</si>
  <si>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</si>
  <si>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</si>
  <si>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</si>
  <si>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</si>
  <si>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</si>
  <si>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</si>
  <si>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</si>
  <si>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</si>
  <si>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46 mV</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</si>
  <si>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</si>
  <si>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</si>
  <si>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</si>
  <si>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</si>
  <si>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</si>
  <si>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</si>
  <si>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</si>
  <si>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</si>
  <si>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</si>
  <si>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</si>
  <si>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</si>
  <si>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</si>
  <si>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</si>
  <si>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</si>
  <si>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</si>
  <si>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</si>
  <si>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</si>
  <si>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</si>
  <si>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</si>
  <si>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</si>
  <si>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</si>
  <si>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</si>
  <si>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</si>
  <si>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</si>
  <si>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</si>
  <si>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</si>
  <si>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</si>
  <si>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</si>
  <si>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</si>
  <si>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</si>
  <si>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</si>
  <si>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</si>
  <si>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</si>
  <si>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</si>
  <si>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</si>
  <si>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</si>
  <si>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</si>
  <si>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</si>
  <si>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</si>
  <si>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</si>
  <si>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</si>
  <si>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</si>
  <si>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</si>
  <si>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</si>
  <si>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</si>
  <si>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</si>
  <si>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</si>
  <si>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</si>
  <si>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</si>
  <si>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</si>
  <si>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</si>
  <si>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</si>
  <si>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</si>
  <si>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</si>
  <si>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</si>
  <si>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</si>
  <si>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</si>
  <si>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</si>
  <si>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</si>
  <si>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</si>
  <si>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</si>
  <si>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</si>
  <si>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</si>
  <si>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</si>
  <si>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</si>
  <si>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</si>
  <si>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</si>
  <si>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</si>
  <si>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</si>
  <si>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</si>
  <si>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</si>
  <si>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</si>
  <si>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</si>
  <si>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</si>
  <si>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</si>
  <si>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</si>
  <si>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</si>
  <si>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</si>
  <si>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</si>
  <si>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</si>
  <si>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</si>
  <si>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</si>
  <si>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</si>
  <si>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</si>
  <si>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</si>
  <si>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</si>
  <si>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</si>
  <si>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</si>
  <si>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</si>
  <si>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</si>
  <si>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</si>
  <si>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</si>
  <si>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</si>
  <si>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</si>
  <si>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</si>
  <si>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</si>
  <si>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</si>
  <si>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</si>
  <si>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</si>
  <si>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</si>
  <si>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</si>
  <si>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</si>
  <si>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</si>
  <si>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</si>
  <si>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</si>
  <si>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</si>
  <si>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</si>
  <si>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</si>
  <si>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</si>
  <si>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</si>
  <si>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</si>
  <si>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</si>
  <si>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LM25066 Datasheet (See "Design-In Procedure")</t>
  </si>
  <si>
    <t>Note: TI recommends choosing a FET with SOA current specified for 100ms and/or 1s or DC. If choosing a FET without these parameters, this calculator will estimate the values via extrapolation, which leaves an inherent associated risk.</t>
  </si>
  <si>
    <t>Q1 FET Name</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</si>
  <si>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</si>
  <si>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</si>
  <si>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</si>
  <si>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</si>
  <si>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</si>
  <si>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</si>
  <si>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</si>
  <si>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</si>
  <si>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</si>
  <si>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MMBT3904</t>
  </si>
  <si>
    <t>MOSFET's SOA</t>
  </si>
  <si>
    <r>
      <t xml:space="preserve">                       </t>
    </r>
    <r>
      <rPr>
        <sz val="22"/>
        <color theme="0"/>
        <rFont val="Arial"/>
        <family val="2"/>
      </rPr>
      <t>LM25066/I/A/IA PMBus Hot Swap Design Tool</t>
    </r>
  </si>
  <si>
    <t>Note: This is the typical dv/dt rate, but max value can be larger. This is because the gate source current can vary from 16uA to 28uA. Thus TI recommends keeping the overall SOA margin during start-up &gt;1.5 in order to compensate for this.</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</si>
  <si>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</si>
  <si>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5.0SMDJXXX</t>
  </si>
  <si>
    <r>
      <t>C</t>
    </r>
    <r>
      <rPr>
        <vertAlign val="subscript"/>
        <sz val="10"/>
        <rFont val="Arial"/>
        <family val="2"/>
      </rPr>
      <t>dv/dt</t>
    </r>
    <r>
      <rPr>
        <sz val="10"/>
        <rFont val="Arial"/>
        <family val="2"/>
      </rPr>
      <t xml:space="preserve"> =</t>
    </r>
  </si>
  <si>
    <t>1N4148W-7-F</t>
  </si>
  <si>
    <t>MMBT3906</t>
  </si>
  <si>
    <t>Robust Hot Swap Design</t>
  </si>
  <si>
    <t>© 2015</t>
  </si>
  <si>
    <t>D2 =</t>
  </si>
  <si>
    <t>SK153-TP</t>
  </si>
  <si>
    <t>Q1 =</t>
  </si>
  <si>
    <t>Q2 =</t>
  </si>
  <si>
    <t>Q3 =</t>
  </si>
  <si>
    <t>Z1 =</t>
  </si>
  <si>
    <t>D1, D3 =</t>
  </si>
  <si>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</si>
  <si>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</si>
  <si>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</si>
  <si>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</si>
  <si>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</si>
  <si>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</si>
  <si>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</si>
  <si>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</si>
  <si>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</si>
  <si>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LM25066 Datasheet</t>
  </si>
  <si>
    <t>Steps 1 &amp; 2: Operating Conditions, Current Limit, &amp; Circuit Breaker</t>
  </si>
  <si>
    <t>LM25066/A/I/AI Design Tool- Rev. D</t>
  </si>
  <si>
    <t>PPJQ5462A-AU</t>
  </si>
  <si>
    <r>
      <t>Actual Timer Capacitance (pick one smaller than C</t>
    </r>
    <r>
      <rPr>
        <vertAlign val="subscript"/>
        <sz val="10"/>
        <color theme="0"/>
        <rFont val="Arial"/>
        <family val="2"/>
      </rPr>
      <t>T,CALC</t>
    </r>
    <r>
      <rPr>
        <sz val="10"/>
        <color theme="0"/>
        <rFont val="Arial"/>
        <family val="2"/>
      </rPr>
      <t xml:space="preserve">) </t>
    </r>
  </si>
  <si>
    <r>
      <t>Calculated R</t>
    </r>
    <r>
      <rPr>
        <vertAlign val="subscript"/>
        <sz val="10"/>
        <color theme="0"/>
        <rFont val="Arial"/>
        <family val="2"/>
      </rPr>
      <t>PWR</t>
    </r>
  </si>
  <si>
    <r>
      <t>k</t>
    </r>
    <r>
      <rPr>
        <sz val="10"/>
        <color theme="0"/>
        <rFont val="Symbol"/>
        <family val="1"/>
        <charset val="2"/>
      </rPr>
      <t>W</t>
    </r>
  </si>
  <si>
    <r>
      <t>Actual R</t>
    </r>
    <r>
      <rPr>
        <vertAlign val="subscript"/>
        <sz val="10"/>
        <color theme="0"/>
        <rFont val="Arial"/>
        <family val="2"/>
      </rPr>
      <t>PWR</t>
    </r>
  </si>
  <si>
    <r>
      <rPr>
        <b/>
        <u/>
        <sz val="9"/>
        <color theme="0"/>
        <rFont val="Arial"/>
        <family val="2"/>
      </rPr>
      <t>Note:</t>
    </r>
    <r>
      <rPr>
        <b/>
        <sz val="9"/>
        <color theme="0"/>
        <rFont val="Arial"/>
        <family val="2"/>
      </rPr>
      <t xml:space="preserve"> Hover here to see the 3 values affecting this curve, consult a thermal expert if you are unsure! </t>
    </r>
  </si>
  <si>
    <r>
      <t>Minimum Power Limit to Ensure Vsns &gt; 4mV (P</t>
    </r>
    <r>
      <rPr>
        <vertAlign val="subscript"/>
        <sz val="10"/>
        <color theme="0"/>
        <rFont val="Arial"/>
        <family val="2"/>
      </rPr>
      <t>LIM,MIN</t>
    </r>
    <r>
      <rPr>
        <sz val="10"/>
        <color theme="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</si>
</sst>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E+0"/>
    <numFmt numFmtId="167" formatCode="0.0000"/>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sz val="8"/>
      <color indexed="81"/>
      <name val="Tahoma"/>
      <family val="2"/>
    </font>
    <font>
      <sz val="10"/>
      <color theme="0"/>
      <name val="Arial"/>
      <family val="2"/>
    </font>
    <font>
      <sz val="10"/>
      <color theme="0"/>
      <name val="Symbol"/>
      <family val="1"/>
      <charset val="2"/>
    </font>
    <font>
      <vertAlign val="subscript"/>
      <sz val="10"/>
      <color theme="0"/>
      <name val="Arial"/>
      <family val="2"/>
    </font>
    <font>
      <b/>
      <sz val="9"/>
      <color theme="0"/>
      <name val="Arial"/>
      <family val="2"/>
    </font>
    <font>
      <b/>
      <u/>
      <sz val="9"/>
      <color theme="0"/>
      <name val="Arial"/>
      <family val="2"/>
    </font>
  </fonts>
  <fills count="14">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indexed="64"/>
      </left>
      <right style="medium">
        <color indexed="64"/>
      </right>
      <top style="medium">
        <color indexed="64"/>
      </top>
      <bottom style="medium">
        <color indexed="64"/>
      </bottom>
      <diagonal/>
    </border>
  </borders>
  <cellStyleXfs count="16">
    <xf numFmtId="0" fontId="0" fillId="0" borderId="0"/>
    <xf numFmtId="0" fontId="17" fillId="0" borderId="0" applyNumberFormat="0" applyFill="0" applyBorder="0" applyAlignment="0" applyProtection="0">
      <alignment vertical="top"/>
      <protection locked="0"/>
    </xf>
    <xf numFmtId="0" fontId="4" fillId="0" borderId="0"/>
    <xf numFmtId="0" fontId="4" fillId="2" borderId="0">
      <alignment horizontal="center"/>
    </xf>
    <xf numFmtId="0" fontId="4" fillId="5" borderId="1">
      <alignment horizontal="center" vertical="center"/>
      <protection locked="0"/>
    </xf>
    <xf numFmtId="0" fontId="4" fillId="10" borderId="1">
      <alignment horizontal="center" vertical="center"/>
      <protection locked="0"/>
    </xf>
    <xf numFmtId="0" fontId="4" fillId="0" borderId="13"/>
    <xf numFmtId="0" fontId="4" fillId="10" borderId="1">
      <alignment horizontal="center" vertical="center"/>
      <protection locked="0"/>
    </xf>
    <xf numFmtId="0" fontId="4" fillId="10" borderId="1">
      <alignment horizontal="center" vertical="center"/>
      <protection locked="0"/>
    </xf>
    <xf numFmtId="0" fontId="4" fillId="10" borderId="1">
      <alignment horizontal="center" vertical="center"/>
      <protection locked="0"/>
    </xf>
    <xf numFmtId="0" fontId="3" fillId="0" borderId="0"/>
    <xf numFmtId="0" fontId="2" fillId="0" borderId="0"/>
    <xf numFmtId="0" fontId="1" fillId="0" borderId="0"/>
    <xf numFmtId="0" fontId="4" fillId="0" borderId="0"/>
    <xf numFmtId="0" fontId="1" fillId="0" borderId="0"/>
    <xf numFmtId="0" fontId="1" fillId="0" borderId="0"/>
  </cellStyleXfs>
  <cellXfs count="391">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11" fillId="2" borderId="0" xfId="0" applyFont="1" applyFill="1" applyAlignment="1">
      <alignment horizontal="left"/>
    </xf>
    <xf numFmtId="14" fontId="11" fillId="2" borderId="0" xfId="0" applyNumberFormat="1" applyFont="1" applyFill="1" applyAlignment="1">
      <alignment horizontal="left"/>
    </xf>
    <xf numFmtId="0" fontId="0" fillId="0" borderId="1" xfId="0" applyFill="1" applyBorder="1" applyAlignment="1">
      <alignment horizontal="center"/>
    </xf>
    <xf numFmtId="0" fontId="5"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protection locked="0"/>
    </xf>
    <xf numFmtId="0" fontId="0" fillId="2" borderId="0" xfId="0" applyFill="1" applyProtection="1"/>
    <xf numFmtId="0" fontId="4" fillId="0" borderId="0" xfId="0" applyFont="1"/>
    <xf numFmtId="0" fontId="4" fillId="0" borderId="0" xfId="0" applyFont="1" applyAlignment="1">
      <alignment horizontal="right"/>
    </xf>
    <xf numFmtId="0" fontId="4" fillId="2" borderId="0" xfId="0" applyFont="1" applyFill="1" applyBorder="1" applyAlignment="1">
      <alignment horizontal="left"/>
    </xf>
    <xf numFmtId="0" fontId="0" fillId="3" borderId="0" xfId="0" applyFill="1"/>
    <xf numFmtId="0" fontId="4" fillId="2" borderId="0" xfId="0" applyFont="1" applyFill="1" applyBorder="1" applyAlignment="1">
      <alignment horizontal="right"/>
    </xf>
    <xf numFmtId="0" fontId="18" fillId="2" borderId="0" xfId="1" applyFont="1" applyFill="1" applyAlignment="1" applyProtection="1"/>
    <xf numFmtId="0" fontId="19" fillId="3" borderId="0" xfId="0" applyFont="1" applyFill="1" applyProtection="1"/>
    <xf numFmtId="0" fontId="22" fillId="3" borderId="0" xfId="0" applyFont="1" applyFill="1" applyBorder="1" applyProtection="1"/>
    <xf numFmtId="0" fontId="22" fillId="3" borderId="0" xfId="0" applyFont="1" applyFill="1" applyProtection="1"/>
    <xf numFmtId="0" fontId="21" fillId="3" borderId="24" xfId="0" applyFont="1" applyFill="1" applyBorder="1" applyAlignment="1" applyProtection="1">
      <alignment horizontal="center" vertical="center"/>
    </xf>
    <xf numFmtId="0" fontId="23" fillId="2" borderId="0" xfId="0" applyFont="1" applyFill="1"/>
    <xf numFmtId="0" fontId="26" fillId="2" borderId="0" xfId="0" applyFont="1" applyFill="1"/>
    <xf numFmtId="0" fontId="0" fillId="2" borderId="1" xfId="0" applyFill="1" applyBorder="1" applyAlignment="1">
      <alignment horizontal="center" vertical="center"/>
    </xf>
    <xf numFmtId="0" fontId="0" fillId="2" borderId="1" xfId="0" applyNumberFormat="1" applyFill="1" applyBorder="1" applyAlignment="1">
      <alignment horizontal="center" vertical="center"/>
    </xf>
    <xf numFmtId="0" fontId="0" fillId="2" borderId="11" xfId="0" applyNumberFormat="1" applyFill="1" applyBorder="1" applyAlignment="1">
      <alignment horizontal="center" vertical="center"/>
    </xf>
    <xf numFmtId="165"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0" fontId="0" fillId="2" borderId="11" xfId="0" applyFill="1" applyBorder="1" applyAlignment="1">
      <alignment horizontal="center" vertical="center"/>
    </xf>
    <xf numFmtId="1"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2" borderId="12" xfId="0" applyNumberFormat="1" applyFill="1" applyBorder="1" applyAlignment="1">
      <alignment horizontal="center" vertical="center"/>
    </xf>
    <xf numFmtId="2" fontId="0" fillId="0" borderId="1" xfId="0" applyNumberFormat="1" applyBorder="1" applyAlignment="1">
      <alignment horizontal="center" vertical="center"/>
    </xf>
    <xf numFmtId="2" fontId="0" fillId="3" borderId="1" xfId="0" applyNumberFormat="1" applyFill="1" applyBorder="1" applyAlignment="1" applyProtection="1">
      <alignment horizontal="center"/>
    </xf>
    <xf numFmtId="165" fontId="0" fillId="2" borderId="1" xfId="0" applyNumberFormat="1" applyFill="1" applyBorder="1" applyAlignment="1">
      <alignment horizontal="center" vertical="center"/>
    </xf>
    <xf numFmtId="0" fontId="0" fillId="2" borderId="0" xfId="0"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Alignment="1">
      <alignment horizontal="right"/>
    </xf>
    <xf numFmtId="0" fontId="0" fillId="0" borderId="1" xfId="0" applyFill="1" applyBorder="1" applyAlignment="1" applyProtection="1">
      <alignment horizontal="center" vertical="center"/>
      <protection locked="0"/>
    </xf>
    <xf numFmtId="0" fontId="4" fillId="0" borderId="0" xfId="2" applyAlignment="1" applyProtection="1">
      <alignment horizontal="center"/>
    </xf>
    <xf numFmtId="0" fontId="4" fillId="0" borderId="0" xfId="2"/>
    <xf numFmtId="164" fontId="4" fillId="0" borderId="0" xfId="2" applyNumberFormat="1" applyAlignment="1" applyProtection="1">
      <alignment horizontal="center"/>
    </xf>
    <xf numFmtId="166" fontId="4" fillId="0" borderId="0" xfId="2" applyNumberFormat="1" applyAlignment="1" applyProtection="1">
      <alignment horizontal="center"/>
    </xf>
    <xf numFmtId="2" fontId="4" fillId="0" borderId="25" xfId="2" applyNumberFormat="1" applyBorder="1" applyAlignment="1" applyProtection="1">
      <alignment horizontal="center"/>
    </xf>
    <xf numFmtId="0" fontId="4" fillId="0" borderId="1" xfId="2" applyFont="1" applyBorder="1"/>
    <xf numFmtId="0" fontId="4" fillId="0" borderId="1" xfId="2" applyBorder="1"/>
    <xf numFmtId="0" fontId="4" fillId="0" borderId="0" xfId="0" applyFont="1" applyFill="1" applyBorder="1"/>
    <xf numFmtId="0" fontId="0" fillId="0" borderId="0" xfId="0" applyFill="1" applyBorder="1" applyAlignment="1" applyProtection="1">
      <alignment horizontal="center" vertical="center"/>
      <protection locked="0"/>
    </xf>
    <xf numFmtId="0" fontId="4" fillId="0" borderId="0" xfId="0" applyFont="1" applyFill="1" applyAlignment="1">
      <alignment horizontal="right"/>
    </xf>
    <xf numFmtId="166" fontId="4" fillId="0" borderId="0" xfId="2" applyNumberFormat="1" applyAlignment="1">
      <alignment horizontal="center"/>
    </xf>
    <xf numFmtId="2" fontId="4" fillId="0" borderId="0" xfId="2" applyNumberFormat="1" applyAlignment="1">
      <alignment horizontal="center"/>
    </xf>
    <xf numFmtId="0" fontId="4" fillId="0" borderId="0" xfId="0" applyFont="1" applyAlignment="1">
      <alignment horizontal="center"/>
    </xf>
    <xf numFmtId="0" fontId="0" fillId="2" borderId="24" xfId="0" applyFill="1" applyBorder="1"/>
    <xf numFmtId="0" fontId="4" fillId="2" borderId="24" xfId="0" applyFont="1" applyFill="1" applyBorder="1" applyAlignment="1">
      <alignment horizontal="right" vertical="center"/>
    </xf>
    <xf numFmtId="0" fontId="23"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4" fillId="2" borderId="26" xfId="0" applyFont="1" applyFill="1" applyBorder="1" applyAlignment="1">
      <alignment horizontal="right" vertical="center"/>
    </xf>
    <xf numFmtId="0" fontId="5" fillId="2" borderId="25" xfId="0" applyFont="1" applyFill="1" applyBorder="1"/>
    <xf numFmtId="0" fontId="4" fillId="2" borderId="24" xfId="0" applyFont="1" applyFill="1" applyBorder="1" applyAlignment="1">
      <alignment horizontal="right"/>
    </xf>
    <xf numFmtId="0" fontId="0" fillId="0" borderId="25" xfId="0" applyBorder="1"/>
    <xf numFmtId="0" fontId="0" fillId="0" borderId="0" xfId="0" applyAlignment="1">
      <alignment horizontal="left"/>
    </xf>
    <xf numFmtId="2"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0" fillId="2" borderId="16" xfId="0" applyFill="1" applyBorder="1" applyAlignment="1">
      <alignment horizontal="center" vertical="center"/>
    </xf>
    <xf numFmtId="0" fontId="0" fillId="2" borderId="29" xfId="0" applyFill="1" applyBorder="1"/>
    <xf numFmtId="0" fontId="5" fillId="2" borderId="0" xfId="0" applyFont="1" applyFill="1" applyBorder="1" applyAlignment="1">
      <alignment horizontal="right"/>
    </xf>
    <xf numFmtId="0" fontId="5" fillId="2" borderId="0" xfId="0" applyFont="1" applyFill="1" applyBorder="1" applyAlignment="1">
      <alignment horizontal="center"/>
    </xf>
    <xf numFmtId="0" fontId="10" fillId="2" borderId="0" xfId="0" applyFont="1" applyFill="1" applyBorder="1"/>
    <xf numFmtId="0" fontId="0" fillId="2" borderId="30" xfId="0" applyFill="1" applyBorder="1"/>
    <xf numFmtId="0" fontId="4" fillId="2" borderId="29" xfId="0" applyFont="1" applyFill="1" applyBorder="1"/>
    <xf numFmtId="0" fontId="24" fillId="2" borderId="0" xfId="0" applyFont="1" applyFill="1" applyBorder="1" applyAlignment="1">
      <alignment horizontal="right" vertical="center"/>
    </xf>
    <xf numFmtId="0" fontId="0" fillId="2" borderId="14" xfId="0" applyFill="1" applyBorder="1" applyAlignment="1">
      <alignment horizontal="center" vertical="center"/>
    </xf>
    <xf numFmtId="0" fontId="0" fillId="2" borderId="7" xfId="0" applyFill="1" applyBorder="1" applyAlignment="1">
      <alignment horizontal="right" vertical="center"/>
    </xf>
    <xf numFmtId="0" fontId="4" fillId="2" borderId="13" xfId="0" applyFont="1" applyFill="1" applyBorder="1" applyAlignment="1">
      <alignment horizontal="right" vertical="center"/>
    </xf>
    <xf numFmtId="0" fontId="4" fillId="2" borderId="7" xfId="0" applyFont="1"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0" fontId="4" fillId="2" borderId="7" xfId="0" applyFont="1" applyFill="1" applyBorder="1" applyAlignment="1">
      <alignment horizontal="right"/>
    </xf>
    <xf numFmtId="0" fontId="0" fillId="5" borderId="0" xfId="0" applyFill="1" applyBorder="1"/>
    <xf numFmtId="0" fontId="4" fillId="5" borderId="0" xfId="0" applyFont="1" applyFill="1" applyBorder="1" applyAlignment="1">
      <alignment horizontal="right" vertical="center"/>
    </xf>
    <xf numFmtId="0" fontId="0" fillId="6" borderId="0" xfId="0" applyFill="1" applyBorder="1"/>
    <xf numFmtId="0" fontId="4" fillId="6" borderId="0" xfId="0" applyFont="1" applyFill="1" applyBorder="1" applyAlignment="1">
      <alignment horizontal="right" vertical="center"/>
    </xf>
    <xf numFmtId="1" fontId="4" fillId="2" borderId="1" xfId="0" applyNumberFormat="1" applyFont="1" applyFill="1" applyBorder="1" applyAlignment="1">
      <alignment horizontal="center" vertical="center"/>
    </xf>
    <xf numFmtId="0" fontId="19" fillId="0" borderId="0" xfId="0" applyFont="1" applyFill="1" applyBorder="1" applyProtection="1"/>
    <xf numFmtId="0" fontId="0" fillId="2" borderId="28" xfId="0" applyFill="1" applyBorder="1"/>
    <xf numFmtId="0" fontId="4" fillId="2" borderId="0" xfId="0" applyFont="1" applyFill="1" applyBorder="1"/>
    <xf numFmtId="0" fontId="24" fillId="2" borderId="24" xfId="0" applyFont="1" applyFill="1" applyBorder="1" applyAlignment="1">
      <alignment horizontal="right" vertical="center"/>
    </xf>
    <xf numFmtId="14" fontId="4" fillId="2" borderId="0" xfId="0" applyNumberFormat="1" applyFont="1" applyFill="1" applyBorder="1" applyAlignment="1">
      <alignment horizontal="center"/>
    </xf>
    <xf numFmtId="0" fontId="4" fillId="2" borderId="26" xfId="0" applyFont="1" applyFill="1" applyBorder="1" applyAlignment="1">
      <alignment horizontal="left"/>
    </xf>
    <xf numFmtId="0" fontId="5" fillId="2" borderId="0" xfId="0" applyFont="1" applyFill="1" applyBorder="1"/>
    <xf numFmtId="0" fontId="0" fillId="2" borderId="21" xfId="0" applyFill="1" applyBorder="1" applyAlignment="1">
      <alignment horizontal="center"/>
    </xf>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0" fontId="33" fillId="0" borderId="0" xfId="0" applyFont="1"/>
    <xf numFmtId="0" fontId="4" fillId="2" borderId="32" xfId="0" applyFont="1" applyFill="1" applyBorder="1" applyAlignment="1">
      <alignment horizontal="right" vertical="center"/>
    </xf>
    <xf numFmtId="2" fontId="0" fillId="3" borderId="11" xfId="0" applyNumberFormat="1" applyFill="1" applyBorder="1" applyAlignment="1" applyProtection="1">
      <alignment horizontal="center"/>
    </xf>
    <xf numFmtId="165" fontId="0" fillId="2" borderId="1" xfId="0" applyNumberFormat="1" applyFill="1" applyBorder="1" applyAlignment="1">
      <alignment horizontal="center"/>
    </xf>
    <xf numFmtId="0" fontId="0" fillId="7" borderId="24" xfId="0" applyFill="1" applyBorder="1"/>
    <xf numFmtId="2" fontId="0" fillId="2" borderId="1" xfId="0" applyNumberFormat="1" applyFill="1" applyBorder="1" applyAlignment="1">
      <alignment horizontal="center"/>
    </xf>
    <xf numFmtId="0" fontId="0" fillId="3" borderId="1" xfId="0" applyFill="1" applyBorder="1" applyAlignment="1" applyProtection="1">
      <alignment horizontal="center"/>
    </xf>
    <xf numFmtId="1" fontId="4" fillId="2" borderId="0" xfId="0" applyNumberFormat="1" applyFont="1" applyFill="1" applyBorder="1" applyAlignment="1">
      <alignment horizontal="center" vertical="center"/>
    </xf>
    <xf numFmtId="0" fontId="5" fillId="0" borderId="0" xfId="0" applyFont="1" applyFill="1" applyAlignment="1" applyProtection="1">
      <alignment horizontal="left"/>
      <protection locked="0"/>
    </xf>
    <xf numFmtId="0" fontId="0" fillId="0" borderId="0" xfId="0" applyFill="1"/>
    <xf numFmtId="0" fontId="5" fillId="0" borderId="15" xfId="0" applyFont="1" applyFill="1" applyBorder="1" applyAlignment="1">
      <alignment horizontal="center"/>
    </xf>
    <xf numFmtId="0" fontId="5" fillId="0" borderId="17" xfId="0" applyFont="1" applyFill="1" applyBorder="1" applyAlignment="1">
      <alignment horizontal="center"/>
    </xf>
    <xf numFmtId="0" fontId="5" fillId="0" borderId="18" xfId="0" applyFont="1" applyFill="1" applyBorder="1" applyAlignment="1">
      <alignment horizontal="center"/>
    </xf>
    <xf numFmtId="0" fontId="5" fillId="0" borderId="19" xfId="0" applyFont="1" applyFill="1" applyBorder="1" applyAlignment="1">
      <alignment horizontal="center"/>
    </xf>
    <xf numFmtId="0" fontId="0" fillId="0" borderId="18"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0" fillId="0" borderId="22" xfId="0" applyFill="1" applyBorder="1" applyAlignment="1" applyProtection="1">
      <alignment horizontal="center"/>
      <protection locked="0"/>
    </xf>
    <xf numFmtId="0" fontId="0" fillId="8" borderId="0" xfId="0" applyFill="1" applyBorder="1"/>
    <xf numFmtId="0" fontId="4" fillId="8" borderId="0" xfId="0" applyFont="1" applyFill="1" applyBorder="1" applyAlignment="1">
      <alignment horizontal="right" vertical="center"/>
    </xf>
    <xf numFmtId="0" fontId="0" fillId="9" borderId="1" xfId="0" applyNumberFormat="1" applyFill="1" applyBorder="1" applyAlignment="1" applyProtection="1">
      <alignment horizontal="center" vertical="center"/>
      <protection locked="0"/>
    </xf>
    <xf numFmtId="0" fontId="26" fillId="7" borderId="23" xfId="0" applyFont="1" applyFill="1" applyBorder="1"/>
    <xf numFmtId="0" fontId="0" fillId="3" borderId="29" xfId="0" applyFill="1" applyBorder="1"/>
    <xf numFmtId="0" fontId="0" fillId="0" borderId="0" xfId="0" applyAlignment="1">
      <alignment horizontal="center"/>
    </xf>
    <xf numFmtId="0" fontId="4" fillId="0" borderId="0" xfId="0" applyFont="1" applyAlignment="1">
      <alignment horizontal="center"/>
    </xf>
    <xf numFmtId="0" fontId="0" fillId="0" borderId="0" xfId="0" applyAlignment="1">
      <alignment horizontal="center"/>
    </xf>
    <xf numFmtId="0" fontId="4" fillId="0" borderId="1" xfId="0" applyFont="1" applyBorder="1" applyAlignment="1">
      <alignment horizontal="center"/>
    </xf>
    <xf numFmtId="0" fontId="4"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4" fillId="0" borderId="0" xfId="2" applyNumberFormat="1"/>
    <xf numFmtId="0" fontId="30" fillId="0" borderId="0" xfId="2" applyFont="1"/>
    <xf numFmtId="0" fontId="30" fillId="0" borderId="0" xfId="2" applyFont="1" applyAlignment="1" applyProtection="1">
      <alignment horizontal="center"/>
    </xf>
    <xf numFmtId="0" fontId="30" fillId="0" borderId="0" xfId="2" applyFont="1" applyAlignment="1">
      <alignment horizontal="center"/>
    </xf>
    <xf numFmtId="10" fontId="4" fillId="0" borderId="0" xfId="2" applyNumberFormat="1"/>
    <xf numFmtId="0" fontId="4" fillId="0" borderId="0" xfId="0" applyFont="1" applyAlignment="1">
      <alignment horizontal="center"/>
    </xf>
    <xf numFmtId="0" fontId="0" fillId="0" borderId="0" xfId="0" applyAlignment="1">
      <alignment horizontal="center"/>
    </xf>
    <xf numFmtId="9" fontId="0" fillId="2" borderId="1" xfId="0" applyNumberFormat="1" applyFill="1" applyBorder="1" applyAlignment="1">
      <alignment horizontal="center" vertical="center"/>
    </xf>
    <xf numFmtId="0" fontId="4" fillId="0" borderId="1" xfId="0" applyFont="1" applyFill="1" applyBorder="1" applyAlignment="1">
      <alignment horizontal="center"/>
    </xf>
    <xf numFmtId="0" fontId="4" fillId="0" borderId="6" xfId="0" applyFont="1" applyFill="1" applyBorder="1" applyAlignment="1">
      <alignment horizontal="center"/>
    </xf>
    <xf numFmtId="0" fontId="31" fillId="0" borderId="0" xfId="2" applyFont="1"/>
    <xf numFmtId="165" fontId="0" fillId="0" borderId="1" xfId="0" applyNumberFormat="1" applyFill="1" applyBorder="1" applyAlignment="1" applyProtection="1">
      <alignment horizontal="center" vertical="center"/>
    </xf>
    <xf numFmtId="0" fontId="30" fillId="0" borderId="0" xfId="0" applyFont="1" applyAlignment="1">
      <alignment horizontal="center"/>
    </xf>
    <xf numFmtId="0" fontId="5" fillId="0" borderId="0" xfId="0" applyFont="1" applyAlignment="1">
      <alignment horizontal="center"/>
    </xf>
    <xf numFmtId="0" fontId="4" fillId="3" borderId="0" xfId="0" applyFont="1" applyFill="1" applyBorder="1" applyAlignment="1">
      <alignment horizontal="right" vertical="center"/>
    </xf>
    <xf numFmtId="0" fontId="4" fillId="3" borderId="0" xfId="0" applyFont="1" applyFill="1" applyAlignment="1">
      <alignment horizontal="right"/>
    </xf>
    <xf numFmtId="0" fontId="4" fillId="0" borderId="13" xfId="0" applyFont="1" applyBorder="1" applyAlignment="1">
      <alignment horizontal="center"/>
    </xf>
    <xf numFmtId="0" fontId="4" fillId="2" borderId="33" xfId="0" applyFont="1" applyFill="1" applyBorder="1" applyAlignment="1">
      <alignment horizontal="center" vertical="center"/>
    </xf>
    <xf numFmtId="0" fontId="4" fillId="2" borderId="13" xfId="0" applyFont="1" applyFill="1" applyBorder="1" applyAlignment="1">
      <alignment horizontal="center" vertical="center"/>
    </xf>
    <xf numFmtId="0" fontId="0" fillId="2" borderId="13" xfId="0" applyFill="1" applyBorder="1" applyAlignment="1">
      <alignment horizontal="center" vertical="center"/>
    </xf>
    <xf numFmtId="0" fontId="4" fillId="2" borderId="31" xfId="0" applyFont="1" applyFill="1" applyBorder="1" applyAlignment="1">
      <alignment horizontal="center" vertical="center"/>
    </xf>
    <xf numFmtId="0" fontId="0" fillId="0" borderId="33" xfId="0" applyBorder="1" applyAlignment="1">
      <alignment horizontal="center" vertical="center"/>
    </xf>
    <xf numFmtId="0" fontId="13" fillId="2" borderId="13" xfId="0" applyFont="1" applyFill="1" applyBorder="1" applyAlignment="1">
      <alignment horizontal="center" vertical="center"/>
    </xf>
    <xf numFmtId="0" fontId="0" fillId="2" borderId="34" xfId="0" applyFill="1" applyBorder="1" applyAlignment="1">
      <alignment horizontal="center" vertical="center"/>
    </xf>
    <xf numFmtId="0" fontId="4" fillId="2" borderId="7" xfId="0" applyFont="1" applyFill="1" applyBorder="1" applyAlignment="1">
      <alignment horizontal="center" vertical="center"/>
    </xf>
    <xf numFmtId="0" fontId="9" fillId="2" borderId="7" xfId="0" applyFont="1" applyFill="1" applyBorder="1" applyAlignment="1">
      <alignment horizontal="center" vertical="center"/>
    </xf>
    <xf numFmtId="0" fontId="0" fillId="2" borderId="7" xfId="0" applyFill="1" applyBorder="1" applyAlignment="1">
      <alignment horizontal="center"/>
    </xf>
    <xf numFmtId="0" fontId="9" fillId="2" borderId="7" xfId="0" applyFont="1" applyFill="1" applyBorder="1" applyAlignment="1">
      <alignment horizontal="center"/>
    </xf>
    <xf numFmtId="0" fontId="4" fillId="2" borderId="7" xfId="0" applyFont="1" applyFill="1" applyBorder="1" applyAlignment="1">
      <alignment horizontal="center"/>
    </xf>
    <xf numFmtId="0" fontId="9" fillId="2" borderId="24" xfId="0" applyFont="1" applyFill="1" applyBorder="1" applyAlignment="1">
      <alignment horizontal="center" vertical="center"/>
    </xf>
    <xf numFmtId="0" fontId="13"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0" fillId="2" borderId="0" xfId="0" applyFill="1" applyBorder="1" applyAlignment="1">
      <alignment horizontal="center"/>
    </xf>
    <xf numFmtId="0" fontId="0" fillId="2" borderId="26" xfId="0" applyFill="1" applyBorder="1" applyAlignment="1">
      <alignment horizontal="center"/>
    </xf>
    <xf numFmtId="0" fontId="0" fillId="3" borderId="0" xfId="0" applyFill="1" applyAlignment="1">
      <alignment horizontal="center"/>
    </xf>
    <xf numFmtId="0" fontId="4" fillId="0" borderId="0" xfId="0" applyFont="1" applyFill="1" applyBorder="1" applyAlignment="1">
      <alignment horizontal="right"/>
    </xf>
    <xf numFmtId="2" fontId="4" fillId="0" borderId="0" xfId="0" applyNumberFormat="1" applyFont="1"/>
    <xf numFmtId="0" fontId="0" fillId="0" borderId="0" xfId="0" applyAlignment="1">
      <alignment horizontal="center"/>
    </xf>
    <xf numFmtId="0" fontId="0" fillId="10" borderId="16" xfId="0" applyFill="1"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0" fontId="0" fillId="10" borderId="21" xfId="0" applyFill="1" applyBorder="1" applyAlignment="1" applyProtection="1">
      <alignment horizontal="center" vertical="center"/>
      <protection locked="0"/>
    </xf>
    <xf numFmtId="0" fontId="4" fillId="2" borderId="0" xfId="0" applyFont="1" applyFill="1"/>
    <xf numFmtId="0" fontId="4" fillId="6" borderId="16"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0" fontId="0" fillId="6" borderId="1" xfId="0" applyFill="1" applyBorder="1" applyAlignment="1" applyProtection="1">
      <alignment horizontal="center"/>
    </xf>
    <xf numFmtId="0" fontId="0" fillId="2" borderId="6" xfId="0" applyFill="1" applyBorder="1"/>
    <xf numFmtId="165" fontId="4" fillId="0" borderId="0" xfId="2" applyNumberFormat="1" applyAlignment="1">
      <alignment horizontal="center"/>
    </xf>
    <xf numFmtId="165" fontId="4" fillId="0" borderId="0" xfId="2" applyNumberFormat="1"/>
    <xf numFmtId="0" fontId="33" fillId="4" borderId="1" xfId="0" applyFont="1" applyFill="1" applyBorder="1" applyAlignment="1">
      <alignment horizontal="center"/>
    </xf>
    <xf numFmtId="0" fontId="0" fillId="5" borderId="1" xfId="0" applyFill="1" applyBorder="1" applyAlignment="1">
      <alignment horizontal="center"/>
    </xf>
    <xf numFmtId="0" fontId="4" fillId="0" borderId="0" xfId="2"/>
    <xf numFmtId="0" fontId="4" fillId="12" borderId="35" xfId="2" applyFill="1" applyBorder="1" applyProtection="1"/>
    <xf numFmtId="0" fontId="4" fillId="12" borderId="36" xfId="2" applyFill="1" applyBorder="1" applyProtection="1"/>
    <xf numFmtId="0" fontId="4" fillId="12" borderId="37" xfId="2" applyFill="1" applyBorder="1" applyProtection="1"/>
    <xf numFmtId="0" fontId="4" fillId="12" borderId="38" xfId="2" applyFill="1" applyBorder="1" applyProtection="1"/>
    <xf numFmtId="0" fontId="4" fillId="12" borderId="0" xfId="2" applyFill="1" applyBorder="1" applyProtection="1"/>
    <xf numFmtId="0" fontId="4" fillId="12" borderId="39" xfId="2" applyFill="1" applyBorder="1" applyProtection="1"/>
    <xf numFmtId="0" fontId="36" fillId="12" borderId="0" xfId="2" applyFont="1" applyFill="1" applyBorder="1" applyProtection="1"/>
    <xf numFmtId="0" fontId="37" fillId="12" borderId="0" xfId="2" applyFont="1" applyFill="1" applyBorder="1" applyProtection="1"/>
    <xf numFmtId="0" fontId="38" fillId="12" borderId="0" xfId="2" applyFont="1" applyFill="1" applyBorder="1" applyProtection="1"/>
    <xf numFmtId="0" fontId="39" fillId="12" borderId="0" xfId="2" applyFont="1" applyFill="1" applyProtection="1"/>
    <xf numFmtId="0" fontId="4" fillId="12" borderId="0" xfId="2" applyFill="1" applyProtection="1"/>
    <xf numFmtId="0" fontId="40" fillId="12" borderId="0" xfId="2" applyFont="1" applyFill="1" applyAlignment="1" applyProtection="1"/>
    <xf numFmtId="0" fontId="40" fillId="12" borderId="0" xfId="2" applyFont="1" applyFill="1" applyAlignment="1" applyProtection="1">
      <alignment wrapText="1"/>
    </xf>
    <xf numFmtId="0" fontId="41" fillId="12" borderId="0" xfId="2" applyFont="1" applyFill="1" applyAlignment="1" applyProtection="1">
      <alignment vertical="center"/>
    </xf>
    <xf numFmtId="0" fontId="41" fillId="12" borderId="0" xfId="2" applyFont="1" applyFill="1" applyProtection="1"/>
    <xf numFmtId="0" fontId="4" fillId="12" borderId="40" xfId="2" applyFill="1" applyBorder="1" applyProtection="1"/>
    <xf numFmtId="0" fontId="4" fillId="12" borderId="41" xfId="2" applyFill="1" applyBorder="1" applyProtection="1"/>
    <xf numFmtId="0" fontId="4" fillId="12" borderId="42" xfId="2" applyFill="1" applyBorder="1" applyProtection="1"/>
    <xf numFmtId="0" fontId="4" fillId="12" borderId="0" xfId="2" applyFont="1" applyFill="1" applyBorder="1" applyProtection="1"/>
    <xf numFmtId="165" fontId="0" fillId="2" borderId="0" xfId="0" applyNumberFormat="1" applyFill="1" applyBorder="1" applyAlignment="1">
      <alignment horizontal="center"/>
    </xf>
    <xf numFmtId="1" fontId="0" fillId="2" borderId="0" xfId="0" applyNumberFormat="1" applyFill="1" applyBorder="1" applyAlignment="1">
      <alignment horizontal="center"/>
    </xf>
    <xf numFmtId="2" fontId="0" fillId="2" borderId="0" xfId="0" applyNumberFormat="1" applyFill="1" applyBorder="1" applyAlignment="1">
      <alignment horizontal="center"/>
    </xf>
    <xf numFmtId="164" fontId="0" fillId="2" borderId="0" xfId="0" applyNumberFormat="1" applyFill="1" applyBorder="1" applyAlignment="1">
      <alignment horizontal="center"/>
    </xf>
    <xf numFmtId="2" fontId="4" fillId="0" borderId="0" xfId="2" applyNumberFormat="1" applyAlignment="1">
      <alignment horizontal="center"/>
    </xf>
    <xf numFmtId="0" fontId="4" fillId="0" borderId="0" xfId="2"/>
    <xf numFmtId="0" fontId="4" fillId="0" borderId="0" xfId="2" applyAlignment="1">
      <alignment horizontal="center"/>
    </xf>
    <xf numFmtId="2" fontId="4" fillId="0" borderId="0" xfId="2" applyNumberFormat="1"/>
    <xf numFmtId="0" fontId="4" fillId="0" borderId="0" xfId="2" applyFont="1"/>
    <xf numFmtId="0" fontId="4" fillId="0" borderId="0" xfId="2" applyFont="1" applyAlignment="1">
      <alignment horizontal="center"/>
    </xf>
    <xf numFmtId="0" fontId="4" fillId="0" borderId="0" xfId="2" applyBorder="1" applyAlignment="1">
      <alignment horizontal="center"/>
    </xf>
    <xf numFmtId="2" fontId="4" fillId="0" borderId="0" xfId="2" applyNumberFormat="1" applyBorder="1" applyAlignment="1">
      <alignment horizontal="center"/>
    </xf>
    <xf numFmtId="0" fontId="31" fillId="0" borderId="0" xfId="2" applyFont="1"/>
    <xf numFmtId="0" fontId="4" fillId="0" borderId="0" xfId="2" applyFont="1" applyBorder="1" applyAlignment="1">
      <alignment horizontal="center"/>
    </xf>
    <xf numFmtId="0" fontId="31" fillId="0" borderId="0" xfId="2" applyFont="1" applyAlignment="1">
      <alignment horizontal="center"/>
    </xf>
    <xf numFmtId="0" fontId="31" fillId="11" borderId="0" xfId="2" applyFont="1" applyFill="1"/>
    <xf numFmtId="2" fontId="31" fillId="0" borderId="0" xfId="2" applyNumberFormat="1" applyFont="1" applyBorder="1" applyAlignment="1">
      <alignment horizontal="center"/>
    </xf>
    <xf numFmtId="0" fontId="4" fillId="0" borderId="0" xfId="2"/>
    <xf numFmtId="0" fontId="4" fillId="0" borderId="0" xfId="2" applyAlignment="1">
      <alignment horizontal="center"/>
    </xf>
    <xf numFmtId="0" fontId="4" fillId="0" borderId="0" xfId="2" applyBorder="1"/>
    <xf numFmtId="2" fontId="4" fillId="0" borderId="0" xfId="2" applyNumberFormat="1" applyAlignment="1">
      <alignment horizontal="center"/>
    </xf>
    <xf numFmtId="0" fontId="4" fillId="0" borderId="0" xfId="2" applyFont="1"/>
    <xf numFmtId="0" fontId="4" fillId="0" borderId="0" xfId="2" applyFont="1" applyAlignment="1">
      <alignment horizontal="right"/>
    </xf>
    <xf numFmtId="0" fontId="4" fillId="0" borderId="0" xfId="2" applyFont="1" applyAlignment="1">
      <alignment horizontal="center"/>
    </xf>
    <xf numFmtId="0" fontId="4" fillId="0" borderId="1" xfId="2" applyBorder="1"/>
    <xf numFmtId="0" fontId="4" fillId="0" borderId="0" xfId="2" applyFill="1" applyBorder="1" applyAlignment="1">
      <alignment horizontal="center"/>
    </xf>
    <xf numFmtId="0" fontId="4" fillId="0" borderId="1" xfId="2" applyFont="1" applyBorder="1"/>
    <xf numFmtId="0" fontId="4" fillId="0" borderId="0" xfId="2" applyBorder="1" applyAlignment="1">
      <alignment horizontal="center"/>
    </xf>
    <xf numFmtId="2" fontId="4" fillId="0" borderId="0" xfId="2" applyNumberFormat="1" applyBorder="1" applyAlignment="1">
      <alignment horizontal="center"/>
    </xf>
    <xf numFmtId="2" fontId="4" fillId="0" borderId="1" xfId="2" applyNumberFormat="1" applyBorder="1"/>
    <xf numFmtId="0" fontId="4" fillId="0" borderId="0" xfId="2" applyFont="1" applyBorder="1"/>
    <xf numFmtId="0" fontId="31" fillId="0" borderId="0" xfId="2" applyFont="1"/>
    <xf numFmtId="0" fontId="32" fillId="0" borderId="0" xfId="2" applyFont="1" applyBorder="1" applyAlignment="1">
      <alignment horizontal="center"/>
    </xf>
    <xf numFmtId="2" fontId="4" fillId="0" borderId="0" xfId="2" applyNumberFormat="1" applyBorder="1"/>
    <xf numFmtId="0" fontId="4" fillId="0" borderId="0" xfId="2" applyFont="1" applyBorder="1" applyAlignment="1">
      <alignment horizontal="right"/>
    </xf>
    <xf numFmtId="2" fontId="4" fillId="0" borderId="0" xfId="2" applyNumberFormat="1" applyFont="1" applyBorder="1" applyAlignment="1">
      <alignment horizontal="left"/>
    </xf>
    <xf numFmtId="0" fontId="4" fillId="0" borderId="0" xfId="2" applyFont="1" applyBorder="1" applyAlignment="1">
      <alignment horizontal="center"/>
    </xf>
    <xf numFmtId="0" fontId="31" fillId="0" borderId="0" xfId="2" applyFont="1" applyBorder="1" applyAlignment="1">
      <alignment horizontal="center"/>
    </xf>
    <xf numFmtId="0" fontId="31" fillId="0" borderId="0" xfId="2" applyFont="1" applyBorder="1" applyAlignment="1">
      <alignment horizontal="left"/>
    </xf>
    <xf numFmtId="0" fontId="4" fillId="0" borderId="11" xfId="2" applyBorder="1"/>
    <xf numFmtId="0" fontId="4" fillId="0" borderId="1" xfId="2" applyFont="1" applyFill="1" applyBorder="1"/>
    <xf numFmtId="2" fontId="31" fillId="0" borderId="0" xfId="2" applyNumberFormat="1" applyFont="1" applyBorder="1" applyAlignment="1">
      <alignment horizontal="center"/>
    </xf>
    <xf numFmtId="0" fontId="4" fillId="0" borderId="0" xfId="2" applyBorder="1" applyAlignment="1"/>
    <xf numFmtId="0" fontId="4" fillId="2" borderId="25" xfId="0" applyFont="1" applyFill="1" applyBorder="1" applyAlignment="1">
      <alignment horizontal="right"/>
    </xf>
    <xf numFmtId="0" fontId="4" fillId="2" borderId="0" xfId="2" applyFont="1" applyFill="1" applyBorder="1" applyAlignment="1">
      <alignment horizontal="right" vertical="center"/>
    </xf>
    <xf numFmtId="0" fontId="4" fillId="2" borderId="0" xfId="2" applyFont="1" applyFill="1" applyBorder="1" applyAlignment="1">
      <alignment horizontal="right" vertical="center"/>
    </xf>
    <xf numFmtId="0" fontId="4" fillId="2" borderId="0" xfId="2" applyFont="1" applyFill="1" applyBorder="1" applyAlignment="1">
      <alignment horizontal="right" vertical="center"/>
    </xf>
    <xf numFmtId="1" fontId="4" fillId="2" borderId="1" xfId="2" applyNumberFormat="1" applyFont="1" applyFill="1" applyBorder="1" applyAlignment="1">
      <alignment horizontal="center" vertical="center"/>
    </xf>
    <xf numFmtId="0" fontId="4" fillId="2" borderId="1" xfId="0" applyFont="1" applyFill="1" applyBorder="1" applyAlignment="1">
      <alignment horizontal="right"/>
    </xf>
    <xf numFmtId="0" fontId="4" fillId="0" borderId="1" xfId="0" applyFont="1" applyBorder="1" applyAlignment="1">
      <alignment horizontal="right"/>
    </xf>
    <xf numFmtId="164" fontId="4" fillId="2" borderId="1" xfId="0" applyNumberFormat="1" applyFont="1" applyFill="1" applyBorder="1" applyAlignment="1">
      <alignment horizontal="right"/>
    </xf>
    <xf numFmtId="0" fontId="0" fillId="13" borderId="23" xfId="0" applyFill="1" applyBorder="1"/>
    <xf numFmtId="0" fontId="4" fillId="13" borderId="24" xfId="0" applyFont="1" applyFill="1" applyBorder="1" applyAlignment="1">
      <alignment horizontal="center"/>
    </xf>
    <xf numFmtId="0" fontId="5" fillId="13" borderId="24" xfId="0" applyFont="1" applyFill="1" applyBorder="1" applyAlignment="1">
      <alignment horizontal="center"/>
    </xf>
    <xf numFmtId="0" fontId="5" fillId="13" borderId="28" xfId="0" applyFont="1" applyFill="1" applyBorder="1" applyAlignment="1">
      <alignment horizontal="left"/>
    </xf>
    <xf numFmtId="0" fontId="0" fillId="2" borderId="18" xfId="0" applyFill="1" applyBorder="1"/>
    <xf numFmtId="0" fontId="4" fillId="2" borderId="19" xfId="0" applyFont="1" applyFill="1" applyBorder="1"/>
    <xf numFmtId="0" fontId="0" fillId="2" borderId="20" xfId="0" applyFill="1" applyBorder="1"/>
    <xf numFmtId="164" fontId="4" fillId="2" borderId="21" xfId="0" applyNumberFormat="1" applyFont="1" applyFill="1" applyBorder="1" applyAlignment="1">
      <alignment horizontal="right"/>
    </xf>
    <xf numFmtId="0" fontId="4" fillId="2" borderId="22" xfId="0" applyFont="1" applyFill="1" applyBorder="1"/>
    <xf numFmtId="0" fontId="4" fillId="6" borderId="11" xfId="0" applyFont="1" applyFill="1" applyBorder="1" applyAlignment="1" applyProtection="1">
      <alignment horizontal="center" vertical="center"/>
      <protection locked="0"/>
    </xf>
    <xf numFmtId="0" fontId="4" fillId="6" borderId="21" xfId="0" applyFont="1" applyFill="1" applyBorder="1" applyAlignment="1" applyProtection="1">
      <alignment horizontal="center" vertical="center"/>
      <protection locked="0"/>
    </xf>
    <xf numFmtId="11" fontId="0" fillId="0" borderId="0" xfId="0" applyNumberFormat="1" applyFill="1" applyBorder="1" applyAlignment="1" applyProtection="1">
      <alignment horizontal="center" vertical="center"/>
      <protection locked="0"/>
    </xf>
    <xf numFmtId="0" fontId="0" fillId="2" borderId="43" xfId="0" applyFill="1" applyBorder="1"/>
    <xf numFmtId="164" fontId="4" fillId="2" borderId="11" xfId="0" applyNumberFormat="1" applyFont="1" applyFill="1" applyBorder="1" applyAlignment="1">
      <alignment horizontal="right"/>
    </xf>
    <xf numFmtId="0" fontId="0" fillId="2" borderId="11" xfId="0" applyFill="1" applyBorder="1" applyAlignment="1">
      <alignment horizontal="center"/>
    </xf>
    <xf numFmtId="0" fontId="4" fillId="2" borderId="44" xfId="0" applyFont="1" applyFill="1" applyBorder="1"/>
    <xf numFmtId="0" fontId="4" fillId="2" borderId="0" xfId="2" applyFill="1" applyBorder="1"/>
    <xf numFmtId="0" fontId="4" fillId="2" borderId="0" xfId="2" applyFont="1" applyFill="1" applyBorder="1" applyAlignment="1">
      <alignment horizontal="right" vertical="center"/>
    </xf>
    <xf numFmtId="0" fontId="4" fillId="2" borderId="24" xfId="2" applyFill="1" applyBorder="1"/>
    <xf numFmtId="0" fontId="4" fillId="2" borderId="25" xfId="2" applyFill="1" applyBorder="1"/>
    <xf numFmtId="0" fontId="4" fillId="2" borderId="27" xfId="2" applyFill="1" applyBorder="1"/>
    <xf numFmtId="0" fontId="4" fillId="2" borderId="26" xfId="2" applyFill="1" applyBorder="1"/>
    <xf numFmtId="0" fontId="4" fillId="2" borderId="29" xfId="2" applyFill="1" applyBorder="1"/>
    <xf numFmtId="0" fontId="4" fillId="2" borderId="30" xfId="2" applyFill="1" applyBorder="1"/>
    <xf numFmtId="0" fontId="4" fillId="2" borderId="28" xfId="2" applyFill="1" applyBorder="1"/>
    <xf numFmtId="0" fontId="4" fillId="2" borderId="0" xfId="2" applyFont="1" applyFill="1" applyBorder="1"/>
    <xf numFmtId="0" fontId="26" fillId="7" borderId="23" xfId="2" applyFont="1" applyFill="1" applyBorder="1"/>
    <xf numFmtId="0" fontId="26" fillId="3" borderId="25" xfId="2" applyFont="1" applyFill="1" applyBorder="1"/>
    <xf numFmtId="0" fontId="48" fillId="2" borderId="0" xfId="2" applyFont="1" applyFill="1" applyBorder="1"/>
    <xf numFmtId="0" fontId="4" fillId="2" borderId="26" xfId="2" applyFont="1" applyFill="1" applyBorder="1" applyAlignment="1">
      <alignment horizontal="center" vertical="center"/>
    </xf>
    <xf numFmtId="0" fontId="4" fillId="2" borderId="26" xfId="2" applyFont="1" applyFill="1" applyBorder="1"/>
    <xf numFmtId="0" fontId="49" fillId="2" borderId="0" xfId="1" applyFont="1" applyFill="1" applyBorder="1" applyAlignment="1" applyProtection="1">
      <alignment horizontal="left"/>
    </xf>
    <xf numFmtId="0" fontId="45" fillId="2" borderId="25" xfId="2" applyFont="1" applyFill="1" applyBorder="1" applyAlignment="1">
      <alignment vertical="top" wrapText="1"/>
    </xf>
    <xf numFmtId="0" fontId="4" fillId="2" borderId="0" xfId="2" applyFont="1" applyFill="1" applyBorder="1" applyAlignment="1">
      <alignment horizontal="center" vertical="center"/>
    </xf>
    <xf numFmtId="0" fontId="49" fillId="2" borderId="24" xfId="1" applyFont="1" applyFill="1" applyBorder="1" applyAlignment="1" applyProtection="1">
      <alignment wrapText="1"/>
    </xf>
    <xf numFmtId="0" fontId="49" fillId="2" borderId="0" xfId="1" applyFont="1" applyFill="1" applyBorder="1" applyAlignment="1" applyProtection="1">
      <alignment horizontal="left" wrapText="1"/>
    </xf>
    <xf numFmtId="0" fontId="48" fillId="3" borderId="0" xfId="2" applyFont="1" applyFill="1" applyBorder="1"/>
    <xf numFmtId="0" fontId="48" fillId="3" borderId="24" xfId="2" applyFont="1" applyFill="1" applyBorder="1"/>
    <xf numFmtId="0" fontId="4" fillId="2" borderId="26" xfId="2" applyFont="1" applyFill="1" applyBorder="1" applyAlignment="1">
      <alignment vertical="top" wrapText="1"/>
    </xf>
    <xf numFmtId="0" fontId="40" fillId="6" borderId="47" xfId="2" applyFont="1" applyFill="1" applyBorder="1" applyAlignment="1" applyProtection="1">
      <alignment horizontal="center" vertical="top"/>
      <protection locked="0"/>
    </xf>
    <xf numFmtId="0" fontId="40" fillId="6" borderId="49" xfId="2" applyFont="1" applyFill="1" applyBorder="1" applyAlignment="1" applyProtection="1">
      <alignment horizontal="center" vertical="top"/>
      <protection locked="0"/>
    </xf>
    <xf numFmtId="0" fontId="0" fillId="10" borderId="11" xfId="0" applyFill="1" applyBorder="1" applyAlignment="1" applyProtection="1">
      <alignment horizontal="center" vertical="center"/>
      <protection locked="0"/>
    </xf>
    <xf numFmtId="0" fontId="42" fillId="2" borderId="25" xfId="2" applyFont="1" applyFill="1" applyBorder="1" applyAlignment="1">
      <alignment vertical="top" wrapText="1"/>
    </xf>
    <xf numFmtId="0" fontId="17" fillId="2" borderId="25" xfId="1" applyFill="1" applyBorder="1" applyAlignment="1" applyProtection="1"/>
    <xf numFmtId="0" fontId="17" fillId="3" borderId="25" xfId="1" applyFill="1" applyBorder="1" applyAlignment="1" applyProtection="1"/>
    <xf numFmtId="0" fontId="17" fillId="3" borderId="25" xfId="1" applyFill="1" applyBorder="1" applyAlignment="1" applyProtection="1">
      <alignment horizontal="left"/>
    </xf>
    <xf numFmtId="0" fontId="48" fillId="2" borderId="0" xfId="2" applyFont="1" applyFill="1" applyBorder="1" applyAlignment="1">
      <alignment horizontal="right" vertical="center"/>
    </xf>
    <xf numFmtId="0" fontId="48" fillId="2" borderId="0" xfId="2" applyFont="1" applyFill="1" applyBorder="1"/>
    <xf numFmtId="0" fontId="49" fillId="2" borderId="0" xfId="1" applyFont="1" applyFill="1" applyBorder="1" applyAlignment="1" applyProtection="1"/>
    <xf numFmtId="0" fontId="17" fillId="5" borderId="0" xfId="1" applyFill="1" applyAlignment="1" applyProtection="1"/>
    <xf numFmtId="0" fontId="44" fillId="0" borderId="2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27"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30" xfId="0" applyFont="1" applyBorder="1" applyAlignment="1">
      <alignment horizontal="center" vertical="center" wrapText="1"/>
    </xf>
    <xf numFmtId="0" fontId="17" fillId="12" borderId="0" xfId="1" applyFill="1" applyAlignment="1" applyProtection="1">
      <alignment horizontal="left"/>
    </xf>
    <xf numFmtId="0" fontId="43" fillId="2" borderId="25" xfId="0" applyFont="1" applyFill="1" applyBorder="1" applyAlignment="1">
      <alignment horizontal="left" vertical="top" wrapText="1"/>
    </xf>
    <xf numFmtId="0" fontId="43" fillId="2" borderId="0" xfId="0" applyFont="1" applyFill="1" applyBorder="1" applyAlignment="1">
      <alignment horizontal="left" vertical="top" wrapText="1"/>
    </xf>
    <xf numFmtId="0" fontId="26" fillId="5" borderId="50" xfId="2" applyFont="1" applyFill="1" applyBorder="1" applyAlignment="1">
      <alignment horizontal="left" wrapText="1"/>
    </xf>
    <xf numFmtId="0" fontId="4" fillId="5" borderId="51" xfId="2" applyFill="1" applyBorder="1" applyAlignment="1">
      <alignment horizontal="left" wrapText="1"/>
    </xf>
    <xf numFmtId="0" fontId="4" fillId="5" borderId="47" xfId="2" applyFill="1" applyBorder="1" applyAlignment="1">
      <alignment horizontal="left" wrapText="1"/>
    </xf>
    <xf numFmtId="0" fontId="47" fillId="2" borderId="25" xfId="2" applyFont="1" applyFill="1" applyBorder="1" applyAlignment="1">
      <alignment horizontal="left" vertical="top" wrapText="1"/>
    </xf>
    <xf numFmtId="0" fontId="50" fillId="5" borderId="45" xfId="2" applyFont="1" applyFill="1" applyBorder="1" applyAlignment="1">
      <alignment horizontal="left" vertical="top" wrapText="1"/>
    </xf>
    <xf numFmtId="0" fontId="50" fillId="5" borderId="46" xfId="2" applyFont="1" applyFill="1" applyBorder="1" applyAlignment="1">
      <alignment horizontal="left" vertical="top" wrapText="1"/>
    </xf>
    <xf numFmtId="0" fontId="50" fillId="5" borderId="48" xfId="2" applyFont="1" applyFill="1" applyBorder="1" applyAlignment="1">
      <alignment horizontal="left" vertical="top" wrapText="1"/>
    </xf>
    <xf numFmtId="0" fontId="17" fillId="2" borderId="0" xfId="1" applyFill="1" applyBorder="1" applyAlignment="1" applyProtection="1">
      <alignment horizontal="left" wrapText="1"/>
    </xf>
    <xf numFmtId="0" fontId="17" fillId="3" borderId="25" xfId="1" applyFill="1" applyBorder="1" applyAlignment="1" applyProtection="1">
      <alignment horizontal="left" wrapText="1"/>
    </xf>
    <xf numFmtId="0" fontId="17" fillId="3" borderId="25" xfId="1" applyFill="1" applyBorder="1" applyAlignment="1" applyProtection="1">
      <alignment horizontal="left" vertical="top" wrapText="1"/>
    </xf>
    <xf numFmtId="0" fontId="42" fillId="2" borderId="25" xfId="2" applyFont="1" applyFill="1" applyBorder="1" applyAlignment="1">
      <alignment horizontal="left" vertical="top" wrapText="1"/>
    </xf>
    <xf numFmtId="0" fontId="16" fillId="3" borderId="0" xfId="0" applyFont="1" applyFill="1" applyBorder="1" applyAlignment="1" applyProtection="1">
      <alignment horizontal="center" vertical="center"/>
    </xf>
    <xf numFmtId="0" fontId="20" fillId="4" borderId="23" xfId="0" applyFont="1" applyFill="1" applyBorder="1" applyAlignment="1" applyProtection="1">
      <alignment horizontal="left" vertical="center"/>
    </xf>
    <xf numFmtId="0" fontId="20" fillId="4" borderId="24" xfId="0" applyFont="1" applyFill="1" applyBorder="1" applyAlignment="1" applyProtection="1">
      <alignment horizontal="left" vertical="center"/>
    </xf>
    <xf numFmtId="0" fontId="4" fillId="2" borderId="6" xfId="0" applyFont="1" applyFill="1" applyBorder="1" applyAlignment="1">
      <alignment horizontal="left" vertical="center" wrapText="1"/>
    </xf>
    <xf numFmtId="0" fontId="4" fillId="2" borderId="0" xfId="0" applyFont="1" applyFill="1" applyAlignment="1">
      <alignment horizontal="left" vertical="center" wrapText="1"/>
    </xf>
    <xf numFmtId="0" fontId="47" fillId="2" borderId="24" xfId="1" applyFont="1" applyFill="1" applyBorder="1" applyAlignment="1" applyProtection="1">
      <alignment horizontal="left" wrapText="1"/>
    </xf>
    <xf numFmtId="0" fontId="47" fillId="2" borderId="0" xfId="1" applyFont="1" applyFill="1" applyBorder="1" applyAlignment="1" applyProtection="1">
      <alignment horizontal="left" wrapText="1"/>
    </xf>
    <xf numFmtId="0" fontId="49" fillId="2" borderId="0" xfId="1" applyFont="1" applyFill="1" applyBorder="1" applyAlignment="1" applyProtection="1">
      <alignment horizontal="left"/>
    </xf>
    <xf numFmtId="0" fontId="30" fillId="0" borderId="0" xfId="0" applyFont="1" applyAlignment="1">
      <alignment horizontal="center"/>
    </xf>
    <xf numFmtId="0" fontId="31" fillId="0" borderId="0" xfId="0" applyFont="1" applyAlignment="1">
      <alignment horizontal="center"/>
    </xf>
    <xf numFmtId="0" fontId="5" fillId="0" borderId="0" xfId="0" applyFont="1" applyAlignment="1">
      <alignment horizontal="center"/>
    </xf>
    <xf numFmtId="0" fontId="30" fillId="0" borderId="1" xfId="2" applyFont="1" applyBorder="1" applyAlignment="1">
      <alignment horizontal="center"/>
    </xf>
    <xf numFmtId="0" fontId="4" fillId="0" borderId="11" xfId="2" applyFont="1" applyBorder="1" applyAlignment="1">
      <alignment horizontal="center"/>
    </xf>
    <xf numFmtId="0" fontId="4" fillId="0" borderId="11" xfId="2" applyBorder="1" applyAlignment="1">
      <alignment horizontal="center"/>
    </xf>
    <xf numFmtId="0" fontId="31" fillId="0" borderId="0" xfId="2" applyFont="1" applyBorder="1" applyAlignment="1">
      <alignment horizontal="center"/>
    </xf>
    <xf numFmtId="2" fontId="4" fillId="0" borderId="0" xfId="2" applyNumberFormat="1" applyFont="1" applyBorder="1" applyAlignment="1">
      <alignment horizontal="center"/>
    </xf>
    <xf numFmtId="2" fontId="4" fillId="0" borderId="0" xfId="2" applyNumberFormat="1" applyBorder="1" applyAlignment="1">
      <alignment horizontal="center"/>
    </xf>
    <xf numFmtId="0" fontId="4" fillId="5" borderId="14" xfId="2" applyFill="1" applyBorder="1" applyAlignment="1" applyProtection="1">
      <alignment horizontal="center" vertical="center"/>
      <protection locked="0"/>
    </xf>
    <xf numFmtId="0" fontId="0" fillId="6" borderId="52" xfId="0" applyFill="1" applyBorder="1" applyAlignment="1">
      <alignment horizontal="center"/>
    </xf>
    <xf numFmtId="0" fontId="52" fillId="3" borderId="0" xfId="0" applyFont="1" applyFill="1" applyBorder="1"/>
    <xf numFmtId="0" fontId="52" fillId="3" borderId="0" xfId="0" applyFont="1" applyFill="1" applyBorder="1" applyAlignment="1">
      <alignment horizontal="right"/>
    </xf>
    <xf numFmtId="0" fontId="52" fillId="3" borderId="0" xfId="0" applyFont="1" applyFill="1" applyBorder="1" applyAlignment="1">
      <alignment horizontal="right" vertical="center"/>
    </xf>
    <xf numFmtId="0" fontId="26" fillId="7" borderId="25" xfId="0" applyFont="1" applyFill="1" applyBorder="1"/>
    <xf numFmtId="0" fontId="0" fillId="7" borderId="0" xfId="0" applyFill="1" applyBorder="1"/>
    <xf numFmtId="0" fontId="0" fillId="6" borderId="14" xfId="0" applyFill="1" applyBorder="1" applyAlignment="1" applyProtection="1">
      <alignment horizontal="center" vertical="center"/>
      <protection locked="0"/>
    </xf>
    <xf numFmtId="0" fontId="0" fillId="2" borderId="7" xfId="0" applyFill="1" applyBorder="1" applyAlignment="1">
      <alignment horizontal="center" vertical="center"/>
    </xf>
    <xf numFmtId="0" fontId="52" fillId="3" borderId="0" xfId="0" applyFont="1" applyFill="1" applyBorder="1" applyAlignment="1" applyProtection="1">
      <alignment horizontal="center" vertical="center"/>
      <protection locked="0"/>
    </xf>
    <xf numFmtId="0" fontId="52" fillId="3" borderId="0" xfId="0" applyFont="1" applyFill="1" applyBorder="1" applyAlignment="1">
      <alignment horizontal="center" vertical="center"/>
    </xf>
    <xf numFmtId="2" fontId="52" fillId="3" borderId="0" xfId="0" applyNumberFormat="1" applyFont="1" applyFill="1" applyBorder="1" applyAlignment="1">
      <alignment horizontal="center" vertical="center"/>
    </xf>
    <xf numFmtId="1" fontId="52" fillId="3" borderId="0" xfId="0" applyNumberFormat="1" applyFont="1" applyFill="1" applyBorder="1" applyAlignment="1">
      <alignment horizontal="center" vertical="center"/>
    </xf>
    <xf numFmtId="165" fontId="0" fillId="0" borderId="11" xfId="0" applyNumberFormat="1" applyFill="1" applyBorder="1" applyAlignment="1" applyProtection="1">
      <alignment horizontal="center" vertical="center"/>
    </xf>
    <xf numFmtId="165" fontId="52" fillId="3" borderId="0" xfId="0" applyNumberFormat="1" applyFont="1" applyFill="1" applyBorder="1" applyAlignment="1" applyProtection="1">
      <alignment horizontal="center" vertical="center"/>
      <protection locked="0"/>
    </xf>
    <xf numFmtId="2" fontId="52" fillId="3" borderId="0" xfId="0" applyNumberFormat="1" applyFont="1" applyFill="1" applyBorder="1" applyAlignment="1" applyProtection="1">
      <alignment horizontal="center" vertical="center"/>
    </xf>
    <xf numFmtId="0" fontId="55" fillId="3" borderId="0" xfId="2" applyFont="1" applyFill="1" applyBorder="1" applyAlignment="1">
      <alignment horizontal="left" vertical="top" wrapText="1"/>
    </xf>
    <xf numFmtId="165" fontId="52" fillId="3" borderId="0" xfId="0" applyNumberFormat="1" applyFont="1" applyFill="1" applyBorder="1" applyAlignment="1" applyProtection="1">
      <alignment horizontal="center" vertical="center"/>
    </xf>
  </cellXfs>
  <cellStyles count="16">
    <cellStyle name="ENTER VALUE" xfId="5" xr:uid="{00000000-0005-0000-0000-000000000000}"/>
    <cellStyle name="ENTER VALUE 2" xfId="9" xr:uid="{00000000-0005-0000-0000-000001000000}"/>
    <cellStyle name="ENTER VALUE 3" xfId="8" xr:uid="{00000000-0005-0000-0000-000002000000}"/>
    <cellStyle name="ENTER VALUE 4" xfId="7" xr:uid="{00000000-0005-0000-0000-000003000000}"/>
    <cellStyle name="Hyperlink" xfId="1" builtinId="8"/>
    <cellStyle name="Normal" xfId="0" builtinId="0"/>
    <cellStyle name="Normal 2" xfId="2" xr:uid="{00000000-0005-0000-0000-000006000000}"/>
    <cellStyle name="Normal 3" xfId="10" xr:uid="{00000000-0005-0000-0000-000007000000}"/>
    <cellStyle name="Normal 3 2" xfId="11" xr:uid="{00000000-0005-0000-0000-000008000000}"/>
    <cellStyle name="Normal 3 2 2" xfId="15" xr:uid="{00000000-0005-0000-0000-000009000000}"/>
    <cellStyle name="Normal 3 3" xfId="14" xr:uid="{00000000-0005-0000-0000-00000A000000}"/>
    <cellStyle name="Normal 4" xfId="13" xr:uid="{00000000-0005-0000-0000-00000B000000}"/>
    <cellStyle name="Normal 5" xfId="12" xr:uid="{00000000-0005-0000-0000-00000C000000}"/>
    <cellStyle name="Style 1" xfId="3" xr:uid="{00000000-0005-0000-0000-00000D000000}"/>
    <cellStyle name="Style 2" xfId="4" xr:uid="{00000000-0005-0000-0000-00000E000000}"/>
    <cellStyle name="UNIT" xfId="6" xr:uid="{00000000-0005-0000-0000-00000F000000}"/>
  </cellStyles>
  <dxfs count="39">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fill>
        <patternFill>
          <bgColor theme="0"/>
        </patternFill>
      </fill>
      <border>
        <left/>
        <right/>
        <top style="thin">
          <color auto="1"/>
        </top>
        <bottom/>
        <vertical/>
        <horizontal/>
      </border>
    </dxf>
    <dxf>
      <font>
        <color theme="0"/>
      </font>
    </dxf>
    <dxf>
      <font>
        <color theme="0"/>
      </font>
    </dxf>
    <dxf>
      <fill>
        <patternFill>
          <bgColor indexed="10"/>
        </patternFill>
      </fill>
    </dxf>
    <dxf>
      <fill>
        <patternFill>
          <bgColor indexed="1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style="thin">
          <color auto="1"/>
        </top>
        <bottom style="thin">
          <color auto="1"/>
        </bottom>
      </border>
    </dxf>
    <dxf>
      <fill>
        <patternFill>
          <bgColor indexed="1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SOA!$B$39:$B$43</c:f>
              <c:numCache>
                <c:formatCode>General</c:formatCode>
                <c:ptCount val="5"/>
                <c:pt idx="0">
                  <c:v>1</c:v>
                </c:pt>
                <c:pt idx="1">
                  <c:v>1.2</c:v>
                </c:pt>
                <c:pt idx="2">
                  <c:v>30</c:v>
                </c:pt>
              </c:numCache>
            </c:numRef>
          </c:xVal>
          <c:yVal>
            <c:numRef>
              <c:f>SOA!$C$39:$C$43</c:f>
              <c:numCache>
                <c:formatCode>General</c:formatCode>
                <c:ptCount val="5"/>
                <c:pt idx="0">
                  <c:v>2192.5481857480918</c:v>
                </c:pt>
                <c:pt idx="1">
                  <c:v>1827.12348812341</c:v>
                </c:pt>
                <c:pt idx="2">
                  <c:v>73.084939524936388</c:v>
                </c:pt>
              </c:numCache>
            </c:numRef>
          </c:yVal>
          <c:smooth val="0"/>
          <c:extLst>
            <c:ext xmlns:c16="http://schemas.microsoft.com/office/drawing/2014/chart" uri="{C3380CC4-5D6E-409C-BE32-E72D297353CC}">
              <c16:uniqueId val="{00000000-3506-4B31-9A69-B9F8BB1E3F0D}"/>
            </c:ext>
          </c:extLst>
        </c:ser>
        <c:ser>
          <c:idx val="1"/>
          <c:order val="1"/>
          <c:tx>
            <c:v>Typ Device SOA Limit</c:v>
          </c:tx>
          <c:spPr>
            <a:ln w="25400">
              <a:solidFill>
                <a:srgbClr val="FF0000"/>
              </a:solidFill>
              <a:prstDash val="solid"/>
            </a:ln>
          </c:spPr>
          <c:marker>
            <c:symbol val="none"/>
          </c:marker>
          <c:xVal>
            <c:numRef>
              <c:f>Equations!$R$194:$R$213</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Equations!$T$194:$T$213</c:f>
              <c:numCache>
                <c:formatCode>0.00</c:formatCode>
                <c:ptCount val="20"/>
                <c:pt idx="0">
                  <c:v>187.96992481203006</c:v>
                </c:pt>
                <c:pt idx="1">
                  <c:v>187.96992481203006</c:v>
                </c:pt>
                <c:pt idx="2">
                  <c:v>187.96992481203006</c:v>
                </c:pt>
                <c:pt idx="3">
                  <c:v>187.96992481203006</c:v>
                </c:pt>
                <c:pt idx="4">
                  <c:v>178.56755290287578</c:v>
                </c:pt>
                <c:pt idx="5">
                  <c:v>151.43787303309821</c:v>
                </c:pt>
                <c:pt idx="6">
                  <c:v>132.0595302689714</c:v>
                </c:pt>
                <c:pt idx="7">
                  <c:v>117.5257731958763</c:v>
                </c:pt>
                <c:pt idx="8">
                  <c:v>106.22173991680232</c:v>
                </c:pt>
                <c:pt idx="9">
                  <c:v>97.178513293543148</c:v>
                </c:pt>
                <c:pt idx="10">
                  <c:v>89.779509692694717</c:v>
                </c:pt>
                <c:pt idx="11">
                  <c:v>83.613673358654367</c:v>
                </c:pt>
                <c:pt idx="12">
                  <c:v>78.396427229851</c:v>
                </c:pt>
                <c:pt idx="13">
                  <c:v>5.0000000000000003E-10</c:v>
                </c:pt>
                <c:pt idx="14">
                  <c:v>5.0000000000000003E-10</c:v>
                </c:pt>
                <c:pt idx="15">
                  <c:v>5.0000000000000003E-10</c:v>
                </c:pt>
                <c:pt idx="16">
                  <c:v>5.0000000000000003E-10</c:v>
                </c:pt>
                <c:pt idx="17">
                  <c:v>5.0000000000000003E-10</c:v>
                </c:pt>
                <c:pt idx="18">
                  <c:v>5.0000000000000003E-10</c:v>
                </c:pt>
                <c:pt idx="19">
                  <c:v>5.0000000000000003E-10</c:v>
                </c:pt>
              </c:numCache>
            </c:numRef>
          </c:yVal>
          <c:smooth val="0"/>
          <c:extLst>
            <c:ext xmlns:c16="http://schemas.microsoft.com/office/drawing/2014/chart" uri="{C3380CC4-5D6E-409C-BE32-E72D297353CC}">
              <c16:uniqueId val="{00000001-3506-4B31-9A69-B9F8BB1E3F0D}"/>
            </c:ext>
          </c:extLst>
        </c:ser>
        <c:dLbls>
          <c:showLegendKey val="0"/>
          <c:showVal val="0"/>
          <c:showCatName val="0"/>
          <c:showSerName val="0"/>
          <c:showPercent val="0"/>
          <c:showBubbleSize val="0"/>
        </c:dLbls>
        <c:axId val="86850944"/>
        <c:axId val="86857216"/>
      </c:scatterChart>
      <c:valAx>
        <c:axId val="86850944"/>
        <c:scaling>
          <c:logBase val="10"/>
          <c:orientation val="minMax"/>
          <c:max val="5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6857216"/>
        <c:crossesAt val="0.1"/>
        <c:crossBetween val="midCat"/>
      </c:valAx>
      <c:valAx>
        <c:axId val="86857216"/>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6850944"/>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264457343660538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0.12692307692307692</c:v>
                </c:pt>
                <c:pt idx="2">
                  <c:v>0.25384615384615383</c:v>
                </c:pt>
                <c:pt idx="3">
                  <c:v>0.38076923076923075</c:v>
                </c:pt>
                <c:pt idx="4">
                  <c:v>0.50769230769230766</c:v>
                </c:pt>
                <c:pt idx="5">
                  <c:v>0.63461538461538458</c:v>
                </c:pt>
                <c:pt idx="6">
                  <c:v>0.7615384615384615</c:v>
                </c:pt>
                <c:pt idx="7">
                  <c:v>0.88846153846153841</c:v>
                </c:pt>
                <c:pt idx="8">
                  <c:v>1.0153846153846153</c:v>
                </c:pt>
                <c:pt idx="9">
                  <c:v>1.1423076923076922</c:v>
                </c:pt>
                <c:pt idx="10">
                  <c:v>1.2692307692307692</c:v>
                </c:pt>
                <c:pt idx="11">
                  <c:v>1.3961538461538461</c:v>
                </c:pt>
                <c:pt idx="12">
                  <c:v>1.523076923076923</c:v>
                </c:pt>
                <c:pt idx="13">
                  <c:v>1.65</c:v>
                </c:pt>
                <c:pt idx="14">
                  <c:v>1.7769230769230768</c:v>
                </c:pt>
                <c:pt idx="15">
                  <c:v>1.9038461538461535</c:v>
                </c:pt>
                <c:pt idx="16">
                  <c:v>2.0307692307692307</c:v>
                </c:pt>
                <c:pt idx="17">
                  <c:v>2.1576923076923076</c:v>
                </c:pt>
                <c:pt idx="18">
                  <c:v>2.2846153846153845</c:v>
                </c:pt>
                <c:pt idx="19">
                  <c:v>2.4115384615384614</c:v>
                </c:pt>
                <c:pt idx="20">
                  <c:v>2.5384615384615383</c:v>
                </c:pt>
                <c:pt idx="21">
                  <c:v>2.6653846153846152</c:v>
                </c:pt>
                <c:pt idx="22">
                  <c:v>2.7923076923076922</c:v>
                </c:pt>
                <c:pt idx="23">
                  <c:v>2.9192307692307691</c:v>
                </c:pt>
                <c:pt idx="24">
                  <c:v>3.046153846153846</c:v>
                </c:pt>
                <c:pt idx="25">
                  <c:v>3.1730769230769229</c:v>
                </c:pt>
                <c:pt idx="26">
                  <c:v>3.3</c:v>
                </c:pt>
                <c:pt idx="27">
                  <c:v>3.4269230769230772</c:v>
                </c:pt>
                <c:pt idx="28">
                  <c:v>3.5538461538461537</c:v>
                </c:pt>
                <c:pt idx="29">
                  <c:v>3.6807692307692306</c:v>
                </c:pt>
                <c:pt idx="30">
                  <c:v>3.807692307692307</c:v>
                </c:pt>
                <c:pt idx="31">
                  <c:v>3.9346153846153844</c:v>
                </c:pt>
                <c:pt idx="32">
                  <c:v>4.0615384615384613</c:v>
                </c:pt>
                <c:pt idx="33">
                  <c:v>4.1884615384615378</c:v>
                </c:pt>
                <c:pt idx="34">
                  <c:v>4.3153846153846152</c:v>
                </c:pt>
                <c:pt idx="35">
                  <c:v>4.4423076923076925</c:v>
                </c:pt>
                <c:pt idx="36">
                  <c:v>4.569230769230769</c:v>
                </c:pt>
                <c:pt idx="37">
                  <c:v>4.6961538461538463</c:v>
                </c:pt>
                <c:pt idx="38">
                  <c:v>4.8230769230769228</c:v>
                </c:pt>
                <c:pt idx="39">
                  <c:v>4.9499999999999993</c:v>
                </c:pt>
                <c:pt idx="40">
                  <c:v>5.0769230769230766</c:v>
                </c:pt>
                <c:pt idx="41">
                  <c:v>5.2038461538461531</c:v>
                </c:pt>
                <c:pt idx="42">
                  <c:v>5.3307692307692305</c:v>
                </c:pt>
                <c:pt idx="43">
                  <c:v>5.457692307692307</c:v>
                </c:pt>
                <c:pt idx="44">
                  <c:v>5.5846153846153843</c:v>
                </c:pt>
                <c:pt idx="45">
                  <c:v>5.7115384615384617</c:v>
                </c:pt>
                <c:pt idx="46">
                  <c:v>5.8384615384615381</c:v>
                </c:pt>
                <c:pt idx="47">
                  <c:v>5.9653846153846155</c:v>
                </c:pt>
                <c:pt idx="48">
                  <c:v>6.092307692307692</c:v>
                </c:pt>
                <c:pt idx="49">
                  <c:v>6.2192307692307685</c:v>
                </c:pt>
                <c:pt idx="50">
                  <c:v>6.3461538461538458</c:v>
                </c:pt>
                <c:pt idx="51">
                  <c:v>6.4730769230769223</c:v>
                </c:pt>
                <c:pt idx="52">
                  <c:v>6.6</c:v>
                </c:pt>
                <c:pt idx="53">
                  <c:v>6.7269230769230761</c:v>
                </c:pt>
                <c:pt idx="54">
                  <c:v>6.8538461538461544</c:v>
                </c:pt>
                <c:pt idx="55">
                  <c:v>6.9807692307692308</c:v>
                </c:pt>
                <c:pt idx="56">
                  <c:v>7.1076923076923073</c:v>
                </c:pt>
                <c:pt idx="57">
                  <c:v>7.2346153846153847</c:v>
                </c:pt>
                <c:pt idx="58">
                  <c:v>7.3615384615384611</c:v>
                </c:pt>
                <c:pt idx="59">
                  <c:v>7.4884615384615376</c:v>
                </c:pt>
                <c:pt idx="60">
                  <c:v>7.6153846153846141</c:v>
                </c:pt>
                <c:pt idx="61">
                  <c:v>7.7423076923076923</c:v>
                </c:pt>
                <c:pt idx="62">
                  <c:v>7.8692307692307688</c:v>
                </c:pt>
                <c:pt idx="63">
                  <c:v>7.9961538461538453</c:v>
                </c:pt>
                <c:pt idx="64">
                  <c:v>8.1230769230769226</c:v>
                </c:pt>
                <c:pt idx="65">
                  <c:v>8.25</c:v>
                </c:pt>
                <c:pt idx="66">
                  <c:v>8.3769230769230756</c:v>
                </c:pt>
                <c:pt idx="67">
                  <c:v>8.5038461538461547</c:v>
                </c:pt>
                <c:pt idx="68">
                  <c:v>8.6307692307692303</c:v>
                </c:pt>
                <c:pt idx="69">
                  <c:v>8.7576923076923077</c:v>
                </c:pt>
                <c:pt idx="70">
                  <c:v>8.884615384615385</c:v>
                </c:pt>
                <c:pt idx="71">
                  <c:v>9.0115384615384606</c:v>
                </c:pt>
                <c:pt idx="72">
                  <c:v>9.138461538461538</c:v>
                </c:pt>
                <c:pt idx="73">
                  <c:v>9.2653846153846136</c:v>
                </c:pt>
                <c:pt idx="74">
                  <c:v>9.3923076923076927</c:v>
                </c:pt>
                <c:pt idx="75">
                  <c:v>9.5192307692307683</c:v>
                </c:pt>
                <c:pt idx="76">
                  <c:v>9.6461538461538456</c:v>
                </c:pt>
                <c:pt idx="77">
                  <c:v>9.773076923076923</c:v>
                </c:pt>
                <c:pt idx="78">
                  <c:v>9.8999999999999986</c:v>
                </c:pt>
                <c:pt idx="79">
                  <c:v>10.026923076923076</c:v>
                </c:pt>
                <c:pt idx="80">
                  <c:v>10.153846153846153</c:v>
                </c:pt>
                <c:pt idx="81">
                  <c:v>10.280769230769231</c:v>
                </c:pt>
                <c:pt idx="82">
                  <c:v>10.407692307692306</c:v>
                </c:pt>
                <c:pt idx="83">
                  <c:v>10.534615384615385</c:v>
                </c:pt>
                <c:pt idx="84">
                  <c:v>10.661538461538461</c:v>
                </c:pt>
                <c:pt idx="85">
                  <c:v>10.788461538461538</c:v>
                </c:pt>
                <c:pt idx="86">
                  <c:v>10.915384615384614</c:v>
                </c:pt>
                <c:pt idx="87">
                  <c:v>11.042307692307691</c:v>
                </c:pt>
                <c:pt idx="88">
                  <c:v>11.169230769230769</c:v>
                </c:pt>
                <c:pt idx="89">
                  <c:v>11.296153846153844</c:v>
                </c:pt>
                <c:pt idx="90">
                  <c:v>11.423076923076923</c:v>
                </c:pt>
                <c:pt idx="91">
                  <c:v>11.549999999999999</c:v>
                </c:pt>
                <c:pt idx="92">
                  <c:v>11.676923076923076</c:v>
                </c:pt>
                <c:pt idx="93">
                  <c:v>11.803846153846154</c:v>
                </c:pt>
                <c:pt idx="94">
                  <c:v>11.930769230769231</c:v>
                </c:pt>
                <c:pt idx="95">
                  <c:v>12.057692307692307</c:v>
                </c:pt>
                <c:pt idx="96">
                  <c:v>12.184615384615384</c:v>
                </c:pt>
                <c:pt idx="97">
                  <c:v>12.311538461538461</c:v>
                </c:pt>
                <c:pt idx="98">
                  <c:v>12.438461538461537</c:v>
                </c:pt>
                <c:pt idx="99">
                  <c:v>12.565384615384614</c:v>
                </c:pt>
                <c:pt idx="100">
                  <c:v>12.692307692307692</c:v>
                </c:pt>
                <c:pt idx="101">
                  <c:v>12.819230769230769</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0F22-42D8-9ECC-7DE7D75744E4}"/>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0.12692307692307692</c:v>
                </c:pt>
                <c:pt idx="2">
                  <c:v>0.25384615384615383</c:v>
                </c:pt>
                <c:pt idx="3">
                  <c:v>0.38076923076923075</c:v>
                </c:pt>
                <c:pt idx="4">
                  <c:v>0.50769230769230766</c:v>
                </c:pt>
                <c:pt idx="5">
                  <c:v>0.63461538461538458</c:v>
                </c:pt>
                <c:pt idx="6">
                  <c:v>0.7615384615384615</c:v>
                </c:pt>
                <c:pt idx="7">
                  <c:v>0.88846153846153841</c:v>
                </c:pt>
                <c:pt idx="8">
                  <c:v>1.0153846153846153</c:v>
                </c:pt>
                <c:pt idx="9">
                  <c:v>1.1423076923076922</c:v>
                </c:pt>
                <c:pt idx="10">
                  <c:v>1.2692307692307692</c:v>
                </c:pt>
                <c:pt idx="11">
                  <c:v>1.3961538461538461</c:v>
                </c:pt>
                <c:pt idx="12">
                  <c:v>1.523076923076923</c:v>
                </c:pt>
                <c:pt idx="13">
                  <c:v>1.65</c:v>
                </c:pt>
                <c:pt idx="14">
                  <c:v>1.7769230769230768</c:v>
                </c:pt>
                <c:pt idx="15">
                  <c:v>1.9038461538461535</c:v>
                </c:pt>
                <c:pt idx="16">
                  <c:v>2.0307692307692307</c:v>
                </c:pt>
                <c:pt idx="17">
                  <c:v>2.1576923076923076</c:v>
                </c:pt>
                <c:pt idx="18">
                  <c:v>2.2846153846153845</c:v>
                </c:pt>
                <c:pt idx="19">
                  <c:v>2.4115384615384614</c:v>
                </c:pt>
                <c:pt idx="20">
                  <c:v>2.5384615384615383</c:v>
                </c:pt>
                <c:pt idx="21">
                  <c:v>2.6653846153846152</c:v>
                </c:pt>
                <c:pt idx="22">
                  <c:v>2.7923076923076922</c:v>
                </c:pt>
                <c:pt idx="23">
                  <c:v>2.9192307692307691</c:v>
                </c:pt>
                <c:pt idx="24">
                  <c:v>3.046153846153846</c:v>
                </c:pt>
                <c:pt idx="25">
                  <c:v>3.1730769230769229</c:v>
                </c:pt>
                <c:pt idx="26">
                  <c:v>3.3</c:v>
                </c:pt>
                <c:pt idx="27">
                  <c:v>3.4269230769230772</c:v>
                </c:pt>
                <c:pt idx="28">
                  <c:v>3.5538461538461537</c:v>
                </c:pt>
                <c:pt idx="29">
                  <c:v>3.6807692307692306</c:v>
                </c:pt>
                <c:pt idx="30">
                  <c:v>3.807692307692307</c:v>
                </c:pt>
                <c:pt idx="31">
                  <c:v>3.9346153846153844</c:v>
                </c:pt>
                <c:pt idx="32">
                  <c:v>4.0615384615384613</c:v>
                </c:pt>
                <c:pt idx="33">
                  <c:v>4.1884615384615378</c:v>
                </c:pt>
                <c:pt idx="34">
                  <c:v>4.3153846153846152</c:v>
                </c:pt>
                <c:pt idx="35">
                  <c:v>4.4423076923076925</c:v>
                </c:pt>
                <c:pt idx="36">
                  <c:v>4.569230769230769</c:v>
                </c:pt>
                <c:pt idx="37">
                  <c:v>4.6961538461538463</c:v>
                </c:pt>
                <c:pt idx="38">
                  <c:v>4.8230769230769228</c:v>
                </c:pt>
                <c:pt idx="39">
                  <c:v>4.9499999999999993</c:v>
                </c:pt>
                <c:pt idx="40">
                  <c:v>5.0769230769230766</c:v>
                </c:pt>
                <c:pt idx="41">
                  <c:v>5.2038461538461531</c:v>
                </c:pt>
                <c:pt idx="42">
                  <c:v>5.3307692307692305</c:v>
                </c:pt>
                <c:pt idx="43">
                  <c:v>5.457692307692307</c:v>
                </c:pt>
                <c:pt idx="44">
                  <c:v>5.5846153846153843</c:v>
                </c:pt>
                <c:pt idx="45">
                  <c:v>5.7115384615384617</c:v>
                </c:pt>
                <c:pt idx="46">
                  <c:v>5.8384615384615381</c:v>
                </c:pt>
                <c:pt idx="47">
                  <c:v>5.9653846153846155</c:v>
                </c:pt>
                <c:pt idx="48">
                  <c:v>6.092307692307692</c:v>
                </c:pt>
                <c:pt idx="49">
                  <c:v>6.2192307692307685</c:v>
                </c:pt>
                <c:pt idx="50">
                  <c:v>6.3461538461538458</c:v>
                </c:pt>
                <c:pt idx="51">
                  <c:v>6.4730769230769223</c:v>
                </c:pt>
                <c:pt idx="52">
                  <c:v>6.6</c:v>
                </c:pt>
                <c:pt idx="53">
                  <c:v>6.7269230769230761</c:v>
                </c:pt>
                <c:pt idx="54">
                  <c:v>6.8538461538461544</c:v>
                </c:pt>
                <c:pt idx="55">
                  <c:v>6.9807692307692308</c:v>
                </c:pt>
                <c:pt idx="56">
                  <c:v>7.1076923076923073</c:v>
                </c:pt>
                <c:pt idx="57">
                  <c:v>7.2346153846153847</c:v>
                </c:pt>
                <c:pt idx="58">
                  <c:v>7.3615384615384611</c:v>
                </c:pt>
                <c:pt idx="59">
                  <c:v>7.4884615384615376</c:v>
                </c:pt>
                <c:pt idx="60">
                  <c:v>7.6153846153846141</c:v>
                </c:pt>
                <c:pt idx="61">
                  <c:v>7.7423076923076923</c:v>
                </c:pt>
                <c:pt idx="62">
                  <c:v>7.8692307692307688</c:v>
                </c:pt>
                <c:pt idx="63">
                  <c:v>7.9961538461538453</c:v>
                </c:pt>
                <c:pt idx="64">
                  <c:v>8.1230769230769226</c:v>
                </c:pt>
                <c:pt idx="65">
                  <c:v>8.25</c:v>
                </c:pt>
                <c:pt idx="66">
                  <c:v>8.3769230769230756</c:v>
                </c:pt>
                <c:pt idx="67">
                  <c:v>8.5038461538461547</c:v>
                </c:pt>
                <c:pt idx="68">
                  <c:v>8.6307692307692303</c:v>
                </c:pt>
                <c:pt idx="69">
                  <c:v>8.7576923076923077</c:v>
                </c:pt>
                <c:pt idx="70">
                  <c:v>8.884615384615385</c:v>
                </c:pt>
                <c:pt idx="71">
                  <c:v>9.0115384615384606</c:v>
                </c:pt>
                <c:pt idx="72">
                  <c:v>9.138461538461538</c:v>
                </c:pt>
                <c:pt idx="73">
                  <c:v>9.2653846153846136</c:v>
                </c:pt>
                <c:pt idx="74">
                  <c:v>9.3923076923076927</c:v>
                </c:pt>
                <c:pt idx="75">
                  <c:v>9.5192307692307683</c:v>
                </c:pt>
                <c:pt idx="76">
                  <c:v>9.6461538461538456</c:v>
                </c:pt>
                <c:pt idx="77">
                  <c:v>9.773076923076923</c:v>
                </c:pt>
                <c:pt idx="78">
                  <c:v>9.8999999999999986</c:v>
                </c:pt>
                <c:pt idx="79">
                  <c:v>10.026923076923076</c:v>
                </c:pt>
                <c:pt idx="80">
                  <c:v>10.153846153846153</c:v>
                </c:pt>
                <c:pt idx="81">
                  <c:v>10.280769230769231</c:v>
                </c:pt>
                <c:pt idx="82">
                  <c:v>10.407692307692306</c:v>
                </c:pt>
                <c:pt idx="83">
                  <c:v>10.534615384615385</c:v>
                </c:pt>
                <c:pt idx="84">
                  <c:v>10.661538461538461</c:v>
                </c:pt>
                <c:pt idx="85">
                  <c:v>10.788461538461538</c:v>
                </c:pt>
                <c:pt idx="86">
                  <c:v>10.915384615384614</c:v>
                </c:pt>
                <c:pt idx="87">
                  <c:v>11.042307692307691</c:v>
                </c:pt>
                <c:pt idx="88">
                  <c:v>11.169230769230769</c:v>
                </c:pt>
                <c:pt idx="89">
                  <c:v>11.296153846153844</c:v>
                </c:pt>
                <c:pt idx="90">
                  <c:v>11.423076923076923</c:v>
                </c:pt>
                <c:pt idx="91">
                  <c:v>11.549999999999999</c:v>
                </c:pt>
                <c:pt idx="92">
                  <c:v>11.676923076923076</c:v>
                </c:pt>
                <c:pt idx="93">
                  <c:v>11.803846153846154</c:v>
                </c:pt>
                <c:pt idx="94">
                  <c:v>11.930769230769231</c:v>
                </c:pt>
                <c:pt idx="95">
                  <c:v>12.057692307692307</c:v>
                </c:pt>
                <c:pt idx="96">
                  <c:v>12.184615384615384</c:v>
                </c:pt>
                <c:pt idx="97">
                  <c:v>12.311538461538461</c:v>
                </c:pt>
                <c:pt idx="98">
                  <c:v>12.438461538461537</c:v>
                </c:pt>
                <c:pt idx="99">
                  <c:v>12.565384615384614</c:v>
                </c:pt>
                <c:pt idx="100">
                  <c:v>12.692307692307692</c:v>
                </c:pt>
                <c:pt idx="101">
                  <c:v>12.819230769230769</c:v>
                </c:pt>
              </c:numCache>
            </c:numRef>
          </c:xVal>
          <c:yVal>
            <c:numRef>
              <c:f>Start_up!$G$10:$G$112</c:f>
              <c:numCache>
                <c:formatCode>General</c:formatCode>
                <c:ptCount val="103"/>
                <c:pt idx="0">
                  <c:v>1.65</c:v>
                </c:pt>
                <c:pt idx="1">
                  <c:v>1.65</c:v>
                </c:pt>
                <c:pt idx="2">
                  <c:v>1.65</c:v>
                </c:pt>
                <c:pt idx="3">
                  <c:v>1.65</c:v>
                </c:pt>
                <c:pt idx="4">
                  <c:v>1.65</c:v>
                </c:pt>
                <c:pt idx="5">
                  <c:v>1.65</c:v>
                </c:pt>
                <c:pt idx="6">
                  <c:v>1.65</c:v>
                </c:pt>
                <c:pt idx="7">
                  <c:v>1.65</c:v>
                </c:pt>
                <c:pt idx="8">
                  <c:v>1.65</c:v>
                </c:pt>
                <c:pt idx="9">
                  <c:v>1.65</c:v>
                </c:pt>
                <c:pt idx="10">
                  <c:v>1.65</c:v>
                </c:pt>
                <c:pt idx="11">
                  <c:v>1.65</c:v>
                </c:pt>
                <c:pt idx="12">
                  <c:v>1.65</c:v>
                </c:pt>
                <c:pt idx="13">
                  <c:v>1.65</c:v>
                </c:pt>
                <c:pt idx="14">
                  <c:v>1.65</c:v>
                </c:pt>
                <c:pt idx="15">
                  <c:v>1.65</c:v>
                </c:pt>
                <c:pt idx="16">
                  <c:v>1.65</c:v>
                </c:pt>
                <c:pt idx="17">
                  <c:v>1.65</c:v>
                </c:pt>
                <c:pt idx="18">
                  <c:v>1.65</c:v>
                </c:pt>
                <c:pt idx="19">
                  <c:v>1.65</c:v>
                </c:pt>
                <c:pt idx="20">
                  <c:v>1.65</c:v>
                </c:pt>
                <c:pt idx="21">
                  <c:v>1.65</c:v>
                </c:pt>
                <c:pt idx="22">
                  <c:v>1.65</c:v>
                </c:pt>
                <c:pt idx="23">
                  <c:v>1.65</c:v>
                </c:pt>
                <c:pt idx="24">
                  <c:v>1.65</c:v>
                </c:pt>
                <c:pt idx="25">
                  <c:v>1.65</c:v>
                </c:pt>
                <c:pt idx="26">
                  <c:v>1.65</c:v>
                </c:pt>
                <c:pt idx="27">
                  <c:v>1.65</c:v>
                </c:pt>
                <c:pt idx="28">
                  <c:v>1.65</c:v>
                </c:pt>
                <c:pt idx="29">
                  <c:v>1.65</c:v>
                </c:pt>
                <c:pt idx="30">
                  <c:v>1.65</c:v>
                </c:pt>
                <c:pt idx="31">
                  <c:v>1.65</c:v>
                </c:pt>
                <c:pt idx="32">
                  <c:v>1.65</c:v>
                </c:pt>
                <c:pt idx="33">
                  <c:v>1.65</c:v>
                </c:pt>
                <c:pt idx="34">
                  <c:v>1.65</c:v>
                </c:pt>
                <c:pt idx="35">
                  <c:v>1.65</c:v>
                </c:pt>
                <c:pt idx="36">
                  <c:v>1.65</c:v>
                </c:pt>
                <c:pt idx="37">
                  <c:v>1.65</c:v>
                </c:pt>
                <c:pt idx="38">
                  <c:v>1.65</c:v>
                </c:pt>
                <c:pt idx="39">
                  <c:v>1.65</c:v>
                </c:pt>
                <c:pt idx="40">
                  <c:v>1.65</c:v>
                </c:pt>
                <c:pt idx="41">
                  <c:v>1.65</c:v>
                </c:pt>
                <c:pt idx="42">
                  <c:v>1.65</c:v>
                </c:pt>
                <c:pt idx="43">
                  <c:v>1.65</c:v>
                </c:pt>
                <c:pt idx="44">
                  <c:v>1.65</c:v>
                </c:pt>
                <c:pt idx="45">
                  <c:v>1.65</c:v>
                </c:pt>
                <c:pt idx="46">
                  <c:v>1.65</c:v>
                </c:pt>
                <c:pt idx="47">
                  <c:v>1.65</c:v>
                </c:pt>
                <c:pt idx="48">
                  <c:v>1.65</c:v>
                </c:pt>
                <c:pt idx="49">
                  <c:v>1.65</c:v>
                </c:pt>
                <c:pt idx="50">
                  <c:v>1.65</c:v>
                </c:pt>
                <c:pt idx="51">
                  <c:v>1.65</c:v>
                </c:pt>
                <c:pt idx="52">
                  <c:v>1.65</c:v>
                </c:pt>
                <c:pt idx="53">
                  <c:v>1.65</c:v>
                </c:pt>
                <c:pt idx="54">
                  <c:v>1.65</c:v>
                </c:pt>
                <c:pt idx="55">
                  <c:v>1.65</c:v>
                </c:pt>
                <c:pt idx="56">
                  <c:v>1.65</c:v>
                </c:pt>
                <c:pt idx="57">
                  <c:v>1.65</c:v>
                </c:pt>
                <c:pt idx="58">
                  <c:v>1.65</c:v>
                </c:pt>
                <c:pt idx="59">
                  <c:v>1.65</c:v>
                </c:pt>
                <c:pt idx="60">
                  <c:v>1.65</c:v>
                </c:pt>
                <c:pt idx="61">
                  <c:v>1.65</c:v>
                </c:pt>
                <c:pt idx="62">
                  <c:v>1.65</c:v>
                </c:pt>
                <c:pt idx="63">
                  <c:v>1.65</c:v>
                </c:pt>
                <c:pt idx="64">
                  <c:v>1.65</c:v>
                </c:pt>
                <c:pt idx="65">
                  <c:v>1.65</c:v>
                </c:pt>
                <c:pt idx="66">
                  <c:v>1.65</c:v>
                </c:pt>
                <c:pt idx="67">
                  <c:v>1.65</c:v>
                </c:pt>
                <c:pt idx="68">
                  <c:v>1.65</c:v>
                </c:pt>
                <c:pt idx="69">
                  <c:v>1.65</c:v>
                </c:pt>
                <c:pt idx="70">
                  <c:v>1.65</c:v>
                </c:pt>
                <c:pt idx="71">
                  <c:v>1.65</c:v>
                </c:pt>
                <c:pt idx="72">
                  <c:v>1.65</c:v>
                </c:pt>
                <c:pt idx="73">
                  <c:v>1.65</c:v>
                </c:pt>
                <c:pt idx="74">
                  <c:v>1.65</c:v>
                </c:pt>
                <c:pt idx="75">
                  <c:v>1.65</c:v>
                </c:pt>
                <c:pt idx="76">
                  <c:v>1.65</c:v>
                </c:pt>
                <c:pt idx="77">
                  <c:v>1.65</c:v>
                </c:pt>
                <c:pt idx="78">
                  <c:v>1.65</c:v>
                </c:pt>
                <c:pt idx="79">
                  <c:v>1.65</c:v>
                </c:pt>
                <c:pt idx="80">
                  <c:v>1.65</c:v>
                </c:pt>
                <c:pt idx="81">
                  <c:v>1.65</c:v>
                </c:pt>
                <c:pt idx="82">
                  <c:v>1.65</c:v>
                </c:pt>
                <c:pt idx="83">
                  <c:v>1.65</c:v>
                </c:pt>
                <c:pt idx="84">
                  <c:v>1.65</c:v>
                </c:pt>
                <c:pt idx="85">
                  <c:v>1.65</c:v>
                </c:pt>
                <c:pt idx="86">
                  <c:v>1.65</c:v>
                </c:pt>
                <c:pt idx="87">
                  <c:v>1.65</c:v>
                </c:pt>
                <c:pt idx="88">
                  <c:v>1.65</c:v>
                </c:pt>
                <c:pt idx="89">
                  <c:v>1.65</c:v>
                </c:pt>
                <c:pt idx="90">
                  <c:v>1.65</c:v>
                </c:pt>
                <c:pt idx="91">
                  <c:v>1.65</c:v>
                </c:pt>
                <c:pt idx="92">
                  <c:v>1.65</c:v>
                </c:pt>
                <c:pt idx="93">
                  <c:v>1.65</c:v>
                </c:pt>
                <c:pt idx="94">
                  <c:v>1.65</c:v>
                </c:pt>
                <c:pt idx="95">
                  <c:v>1.65</c:v>
                </c:pt>
                <c:pt idx="96">
                  <c:v>1.65</c:v>
                </c:pt>
                <c:pt idx="97">
                  <c:v>1.65</c:v>
                </c:pt>
                <c:pt idx="98">
                  <c:v>1.65</c:v>
                </c:pt>
                <c:pt idx="99">
                  <c:v>1.65</c:v>
                </c:pt>
                <c:pt idx="100">
                  <c:v>1.65</c:v>
                </c:pt>
                <c:pt idx="101">
                  <c:v>1.65</c:v>
                </c:pt>
                <c:pt idx="102">
                  <c:v>1.65</c:v>
                </c:pt>
              </c:numCache>
            </c:numRef>
          </c:yVal>
          <c:smooth val="1"/>
          <c:extLst>
            <c:ext xmlns:c16="http://schemas.microsoft.com/office/drawing/2014/chart" uri="{C3380CC4-5D6E-409C-BE32-E72D297353CC}">
              <c16:uniqueId val="{00000001-0F22-42D8-9ECC-7DE7D75744E4}"/>
            </c:ext>
          </c:extLst>
        </c:ser>
        <c:dLbls>
          <c:showLegendKey val="0"/>
          <c:showVal val="0"/>
          <c:showCatName val="0"/>
          <c:showSerName val="0"/>
          <c:showPercent val="0"/>
          <c:showBubbleSize val="0"/>
        </c:dLbls>
        <c:axId val="86894848"/>
        <c:axId val="86921600"/>
      </c:scatterChart>
      <c:valAx>
        <c:axId val="86894848"/>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n-US"/>
          </a:p>
        </c:txPr>
        <c:crossAx val="86921600"/>
        <c:crosses val="autoZero"/>
        <c:crossBetween val="midCat"/>
      </c:valAx>
      <c:valAx>
        <c:axId val="86921600"/>
        <c:scaling>
          <c:orientation val="minMax"/>
          <c:min val="0"/>
        </c:scaling>
        <c:delete val="0"/>
        <c:axPos val="l"/>
        <c:majorGridlines/>
        <c:minorGridlines/>
        <c:title>
          <c:tx>
            <c:rich>
              <a:bodyPr rot="-5400000" vert="horz"/>
              <a:lstStyle/>
              <a:p>
                <a:pPr>
                  <a:defRPr/>
                </a:pPr>
                <a:r>
                  <a:rPr lang="en-US"/>
                  <a:t>Current (A)</a:t>
                </a:r>
              </a:p>
            </c:rich>
          </c:tx>
          <c:layout>
            <c:manualLayout>
              <c:xMode val="edge"/>
              <c:yMode val="edge"/>
              <c:x val="2.5894125229633976E-2"/>
              <c:y val="0.40230013499530876"/>
            </c:manualLayout>
          </c:layout>
          <c:overlay val="0"/>
        </c:title>
        <c:numFmt formatCode="0.0" sourceLinked="0"/>
        <c:majorTickMark val="out"/>
        <c:minorTickMark val="none"/>
        <c:tickLblPos val="nextTo"/>
        <c:txPr>
          <a:bodyPr/>
          <a:lstStyle/>
          <a:p>
            <a:pPr>
              <a:defRPr b="1"/>
            </a:pPr>
            <a:endParaRPr lang="en-US"/>
          </a:p>
        </c:txPr>
        <c:crossAx val="86894848"/>
        <c:crosses val="autoZero"/>
        <c:crossBetween val="midCat"/>
      </c:valAx>
    </c:plotArea>
    <c:legend>
      <c:legendPos val="r"/>
      <c:layout>
        <c:manualLayout>
          <c:xMode val="edge"/>
          <c:yMode val="edge"/>
          <c:x val="0.17948138421044507"/>
          <c:y val="0.18817949003451728"/>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5.0769230769230775E-2</c:v>
                </c:pt>
                <c:pt idx="4" formatCode="0.0">
                  <c:v>0.10153846153846155</c:v>
                </c:pt>
                <c:pt idx="5" formatCode="0.0">
                  <c:v>0.15230769230769231</c:v>
                </c:pt>
                <c:pt idx="6" formatCode="0.0">
                  <c:v>0.2030769230769231</c:v>
                </c:pt>
                <c:pt idx="7" formatCode="0.0">
                  <c:v>0.25384615384615389</c:v>
                </c:pt>
                <c:pt idx="8" formatCode="0.0">
                  <c:v>0.30461538461538462</c:v>
                </c:pt>
                <c:pt idx="9" formatCode="0.0">
                  <c:v>0.35538461538461535</c:v>
                </c:pt>
                <c:pt idx="10" formatCode="0.0">
                  <c:v>0.40615384615384614</c:v>
                </c:pt>
                <c:pt idx="11" formatCode="0.0">
                  <c:v>0.45692307692307688</c:v>
                </c:pt>
                <c:pt idx="12" formatCode="0.0">
                  <c:v>0.50769230769230766</c:v>
                </c:pt>
                <c:pt idx="13" formatCode="0.0">
                  <c:v>0.55846153846153834</c:v>
                </c:pt>
                <c:pt idx="14" formatCode="0.0">
                  <c:v>0.60923076923076913</c:v>
                </c:pt>
                <c:pt idx="15" formatCode="0.0">
                  <c:v>0.65999999999999992</c:v>
                </c:pt>
                <c:pt idx="16" formatCode="0.0">
                  <c:v>0.7107692307692306</c:v>
                </c:pt>
                <c:pt idx="17" formatCode="0.0">
                  <c:v>0.76153846153846128</c:v>
                </c:pt>
                <c:pt idx="18" formatCode="0.0">
                  <c:v>0.81230769230769218</c:v>
                </c:pt>
                <c:pt idx="19" formatCode="0.0">
                  <c:v>0.86307692307692285</c:v>
                </c:pt>
                <c:pt idx="20" formatCode="0.0">
                  <c:v>0.91384615384615364</c:v>
                </c:pt>
                <c:pt idx="21" formatCode="0.0">
                  <c:v>0.96461538461538443</c:v>
                </c:pt>
                <c:pt idx="22" formatCode="0.0">
                  <c:v>1.0153846153846153</c:v>
                </c:pt>
                <c:pt idx="23" formatCode="0.0">
                  <c:v>1.066153846153846</c:v>
                </c:pt>
                <c:pt idx="24" formatCode="0.0">
                  <c:v>1.1169230769230767</c:v>
                </c:pt>
                <c:pt idx="25" formatCode="0.0">
                  <c:v>1.1676923076923076</c:v>
                </c:pt>
                <c:pt idx="26" formatCode="0.0">
                  <c:v>1.2184615384615383</c:v>
                </c:pt>
                <c:pt idx="27" formatCode="0.0">
                  <c:v>1.2692307692307689</c:v>
                </c:pt>
                <c:pt idx="28" formatCode="0.0">
                  <c:v>1.3199999999999998</c:v>
                </c:pt>
                <c:pt idx="29" formatCode="0.0">
                  <c:v>1.3707692307692307</c:v>
                </c:pt>
                <c:pt idx="30" formatCode="0.0">
                  <c:v>1.4215384615384612</c:v>
                </c:pt>
                <c:pt idx="31" formatCode="0.0">
                  <c:v>1.4723076923076921</c:v>
                </c:pt>
                <c:pt idx="32" formatCode="0.0">
                  <c:v>1.5230769230769226</c:v>
                </c:pt>
                <c:pt idx="33" formatCode="0.0">
                  <c:v>1.5738461538461535</c:v>
                </c:pt>
                <c:pt idx="34" formatCode="0.0">
                  <c:v>1.6246153846153844</c:v>
                </c:pt>
                <c:pt idx="35" formatCode="0.0">
                  <c:v>1.6753846153846148</c:v>
                </c:pt>
                <c:pt idx="36" formatCode="0.0">
                  <c:v>1.7261538461538457</c:v>
                </c:pt>
                <c:pt idx="37" formatCode="0.0">
                  <c:v>1.7769230769230768</c:v>
                </c:pt>
                <c:pt idx="38" formatCode="0.0">
                  <c:v>1.8276923076923073</c:v>
                </c:pt>
                <c:pt idx="39" formatCode="0.0">
                  <c:v>1.8784615384615382</c:v>
                </c:pt>
                <c:pt idx="40" formatCode="0.0">
                  <c:v>1.9292307692307689</c:v>
                </c:pt>
                <c:pt idx="41" formatCode="0.0">
                  <c:v>1.9799999999999995</c:v>
                </c:pt>
                <c:pt idx="42" formatCode="0.0">
                  <c:v>2.0307692307692307</c:v>
                </c:pt>
                <c:pt idx="43" formatCode="0.0">
                  <c:v>2.0815384615384609</c:v>
                </c:pt>
                <c:pt idx="44" formatCode="0.0">
                  <c:v>2.132307692307692</c:v>
                </c:pt>
                <c:pt idx="45" formatCode="0.0">
                  <c:v>2.1830769230769227</c:v>
                </c:pt>
                <c:pt idx="46" formatCode="0.0">
                  <c:v>2.2338461538461534</c:v>
                </c:pt>
                <c:pt idx="47" formatCode="0.0">
                  <c:v>2.2846153846153845</c:v>
                </c:pt>
                <c:pt idx="48" formatCode="0.0">
                  <c:v>2.3353846153846152</c:v>
                </c:pt>
                <c:pt idx="49" formatCode="0.0">
                  <c:v>2.3861538461538458</c:v>
                </c:pt>
                <c:pt idx="50" formatCode="0.0">
                  <c:v>2.4369230769230765</c:v>
                </c:pt>
                <c:pt idx="51" formatCode="0.0">
                  <c:v>2.4876923076923072</c:v>
                </c:pt>
                <c:pt idx="52" formatCode="0.0">
                  <c:v>2.5384615384615379</c:v>
                </c:pt>
                <c:pt idx="53" formatCode="0.0">
                  <c:v>2.5892307692307686</c:v>
                </c:pt>
                <c:pt idx="54" formatCode="0.0">
                  <c:v>2.6399999999999997</c:v>
                </c:pt>
                <c:pt idx="55" formatCode="0.0">
                  <c:v>2.6907692307692299</c:v>
                </c:pt>
                <c:pt idx="56" formatCode="0.0">
                  <c:v>2.7415384615384615</c:v>
                </c:pt>
                <c:pt idx="57" formatCode="0.0">
                  <c:v>2.7923076923076922</c:v>
                </c:pt>
                <c:pt idx="58" formatCode="0.0">
                  <c:v>2.8430769230769224</c:v>
                </c:pt>
                <c:pt idx="59" formatCode="0.0">
                  <c:v>2.8938461538461535</c:v>
                </c:pt>
                <c:pt idx="60" formatCode="0.0">
                  <c:v>2.9446153846153842</c:v>
                </c:pt>
                <c:pt idx="61" formatCode="0.0">
                  <c:v>2.9953846153846144</c:v>
                </c:pt>
                <c:pt idx="62" formatCode="0.0">
                  <c:v>3.0461538461538451</c:v>
                </c:pt>
                <c:pt idx="63" formatCode="0.0">
                  <c:v>3.0969230769230767</c:v>
                </c:pt>
                <c:pt idx="64" formatCode="0.0">
                  <c:v>3.1476923076923069</c:v>
                </c:pt>
                <c:pt idx="65" formatCode="0.0">
                  <c:v>3.1984615384615376</c:v>
                </c:pt>
                <c:pt idx="66" formatCode="0.0">
                  <c:v>3.2492307692307687</c:v>
                </c:pt>
                <c:pt idx="67" formatCode="0.0">
                  <c:v>3.2999999999999994</c:v>
                </c:pt>
                <c:pt idx="68" formatCode="0.0">
                  <c:v>3.3507692307692296</c:v>
                </c:pt>
                <c:pt idx="69" formatCode="0.0">
                  <c:v>3.4015384615384616</c:v>
                </c:pt>
                <c:pt idx="70" formatCode="0.0">
                  <c:v>3.4523076923076914</c:v>
                </c:pt>
                <c:pt idx="71" formatCode="0.0">
                  <c:v>3.5030769230769225</c:v>
                </c:pt>
                <c:pt idx="72" formatCode="0.0">
                  <c:v>3.5538461538461537</c:v>
                </c:pt>
                <c:pt idx="73" formatCode="0.0">
                  <c:v>3.6046153846153834</c:v>
                </c:pt>
                <c:pt idx="74" formatCode="0.0">
                  <c:v>3.6553846153846146</c:v>
                </c:pt>
                <c:pt idx="75" formatCode="0.0">
                  <c:v>3.7061538461538448</c:v>
                </c:pt>
                <c:pt idx="76" formatCode="0.0">
                  <c:v>3.7569230769230764</c:v>
                </c:pt>
                <c:pt idx="77" formatCode="0.0">
                  <c:v>3.8076923076923066</c:v>
                </c:pt>
                <c:pt idx="78" formatCode="0.0">
                  <c:v>3.8584615384615377</c:v>
                </c:pt>
                <c:pt idx="79" formatCode="0.0">
                  <c:v>3.909230769230768</c:v>
                </c:pt>
                <c:pt idx="80" formatCode="0.0">
                  <c:v>3.9599999999999982</c:v>
                </c:pt>
                <c:pt idx="81" formatCode="0.0">
                  <c:v>4.0107692307692293</c:v>
                </c:pt>
                <c:pt idx="82" formatCode="0.0">
                  <c:v>4.0615384615384604</c:v>
                </c:pt>
                <c:pt idx="83" formatCode="0.0">
                  <c:v>4.1123076923076916</c:v>
                </c:pt>
                <c:pt idx="84" formatCode="0.0">
                  <c:v>4.1630769230769209</c:v>
                </c:pt>
                <c:pt idx="85" formatCode="0.0">
                  <c:v>4.2138461538461529</c:v>
                </c:pt>
                <c:pt idx="86" formatCode="0.0">
                  <c:v>4.2646153846153831</c:v>
                </c:pt>
                <c:pt idx="87" formatCode="0.0">
                  <c:v>4.3153846153846143</c:v>
                </c:pt>
                <c:pt idx="88" formatCode="0.0">
                  <c:v>4.3661538461538445</c:v>
                </c:pt>
                <c:pt idx="89" formatCode="0.0">
                  <c:v>4.4169230769230756</c:v>
                </c:pt>
                <c:pt idx="90" formatCode="0.0">
                  <c:v>4.4676923076923059</c:v>
                </c:pt>
                <c:pt idx="91" formatCode="0.0">
                  <c:v>4.5184615384615361</c:v>
                </c:pt>
                <c:pt idx="92" formatCode="0.0">
                  <c:v>4.5692307692307681</c:v>
                </c:pt>
                <c:pt idx="93" formatCode="0.0">
                  <c:v>4.6199999999999983</c:v>
                </c:pt>
                <c:pt idx="94" formatCode="0.0">
                  <c:v>4.6707692307692295</c:v>
                </c:pt>
                <c:pt idx="95" formatCode="0.0">
                  <c:v>4.7215384615384606</c:v>
                </c:pt>
                <c:pt idx="96" formatCode="0.0">
                  <c:v>4.7723076923076908</c:v>
                </c:pt>
                <c:pt idx="97" formatCode="0.0">
                  <c:v>4.823076923076921</c:v>
                </c:pt>
                <c:pt idx="98" formatCode="0.0">
                  <c:v>4.8738461538461522</c:v>
                </c:pt>
                <c:pt idx="99" formatCode="0.0">
                  <c:v>4.9246153846153833</c:v>
                </c:pt>
                <c:pt idx="100" formatCode="0.0">
                  <c:v>4.9753846153846135</c:v>
                </c:pt>
                <c:pt idx="101" formatCode="0.0">
                  <c:v>5.0261538461538446</c:v>
                </c:pt>
                <c:pt idx="102" formatCode="0.0">
                  <c:v>5.0769230769230749</c:v>
                </c:pt>
                <c:pt idx="103" formatCode="0.0">
                  <c:v>5.127692307692306</c:v>
                </c:pt>
                <c:pt idx="104" formatCode="0.0">
                  <c:v>5.1784615384615362</c:v>
                </c:pt>
                <c:pt idx="105" formatCode="0.0">
                  <c:v>5.2292307692307682</c:v>
                </c:pt>
                <c:pt idx="106" formatCode="0.0">
                  <c:v>5.2799999999999985</c:v>
                </c:pt>
                <c:pt idx="107" formatCode="0.0">
                  <c:v>5.7799999999999985</c:v>
                </c:pt>
              </c:numCache>
            </c:numRef>
          </c:xVal>
          <c:yVal>
            <c:numRef>
              <c:f>Start_up!$O$8:$O$115</c:f>
              <c:numCache>
                <c:formatCode>General</c:formatCode>
                <c:ptCount val="108"/>
                <c:pt idx="0">
                  <c:v>0</c:v>
                </c:pt>
                <c:pt idx="1">
                  <c:v>0</c:v>
                </c:pt>
                <c:pt idx="2">
                  <c:v>21.779999999999998</c:v>
                </c:pt>
                <c:pt idx="3">
                  <c:v>21.570576923076921</c:v>
                </c:pt>
                <c:pt idx="4">
                  <c:v>21.361153846153844</c:v>
                </c:pt>
                <c:pt idx="5">
                  <c:v>21.151730769230767</c:v>
                </c:pt>
                <c:pt idx="6">
                  <c:v>20.94230769230769</c:v>
                </c:pt>
                <c:pt idx="7">
                  <c:v>20.732884615384613</c:v>
                </c:pt>
                <c:pt idx="8">
                  <c:v>20.523461538461536</c:v>
                </c:pt>
                <c:pt idx="9">
                  <c:v>20.314038461538459</c:v>
                </c:pt>
                <c:pt idx="10">
                  <c:v>20.104615384615382</c:v>
                </c:pt>
                <c:pt idx="11">
                  <c:v>19.895192307692305</c:v>
                </c:pt>
                <c:pt idx="12">
                  <c:v>19.685769230769228</c:v>
                </c:pt>
                <c:pt idx="13">
                  <c:v>19.476346153846151</c:v>
                </c:pt>
                <c:pt idx="14">
                  <c:v>19.266923076923074</c:v>
                </c:pt>
                <c:pt idx="15">
                  <c:v>19.057499999999997</c:v>
                </c:pt>
                <c:pt idx="16">
                  <c:v>18.848076923076924</c:v>
                </c:pt>
                <c:pt idx="17">
                  <c:v>18.638653846153844</c:v>
                </c:pt>
                <c:pt idx="18">
                  <c:v>18.429230769230767</c:v>
                </c:pt>
                <c:pt idx="19">
                  <c:v>18.21980769230769</c:v>
                </c:pt>
                <c:pt idx="20">
                  <c:v>18.010384615384613</c:v>
                </c:pt>
                <c:pt idx="21">
                  <c:v>17.800961538461536</c:v>
                </c:pt>
                <c:pt idx="22">
                  <c:v>17.591538461538459</c:v>
                </c:pt>
                <c:pt idx="23">
                  <c:v>17.382115384615382</c:v>
                </c:pt>
                <c:pt idx="24">
                  <c:v>17.172692307692309</c:v>
                </c:pt>
                <c:pt idx="25">
                  <c:v>16.963269230769228</c:v>
                </c:pt>
                <c:pt idx="26">
                  <c:v>16.753846153846151</c:v>
                </c:pt>
                <c:pt idx="27">
                  <c:v>16.544423076923074</c:v>
                </c:pt>
                <c:pt idx="28">
                  <c:v>16.334999999999997</c:v>
                </c:pt>
                <c:pt idx="29">
                  <c:v>16.12557692307692</c:v>
                </c:pt>
                <c:pt idx="30">
                  <c:v>15.916153846153845</c:v>
                </c:pt>
                <c:pt idx="31">
                  <c:v>15.706730769230766</c:v>
                </c:pt>
                <c:pt idx="32">
                  <c:v>15.497307692307691</c:v>
                </c:pt>
                <c:pt idx="33">
                  <c:v>15.287884615384614</c:v>
                </c:pt>
                <c:pt idx="34">
                  <c:v>15.078461538461537</c:v>
                </c:pt>
                <c:pt idx="35">
                  <c:v>14.869038461538459</c:v>
                </c:pt>
                <c:pt idx="36">
                  <c:v>14.659615384615382</c:v>
                </c:pt>
                <c:pt idx="37">
                  <c:v>14.450192307692303</c:v>
                </c:pt>
                <c:pt idx="38">
                  <c:v>14.24076923076923</c:v>
                </c:pt>
                <c:pt idx="39">
                  <c:v>14.031346153846151</c:v>
                </c:pt>
                <c:pt idx="40">
                  <c:v>13.821923076923078</c:v>
                </c:pt>
                <c:pt idx="41">
                  <c:v>13.612499999999999</c:v>
                </c:pt>
                <c:pt idx="42">
                  <c:v>13.403076923076922</c:v>
                </c:pt>
                <c:pt idx="43">
                  <c:v>13.193653846153845</c:v>
                </c:pt>
                <c:pt idx="44">
                  <c:v>12.984230769230768</c:v>
                </c:pt>
                <c:pt idx="45">
                  <c:v>12.774807692307691</c:v>
                </c:pt>
                <c:pt idx="46">
                  <c:v>12.565384615384614</c:v>
                </c:pt>
                <c:pt idx="47">
                  <c:v>12.355961538461536</c:v>
                </c:pt>
                <c:pt idx="48">
                  <c:v>12.14653846153846</c:v>
                </c:pt>
                <c:pt idx="49">
                  <c:v>11.937115384615383</c:v>
                </c:pt>
                <c:pt idx="50">
                  <c:v>11.727692307692307</c:v>
                </c:pt>
                <c:pt idx="51">
                  <c:v>11.51826923076923</c:v>
                </c:pt>
                <c:pt idx="52">
                  <c:v>11.308846153846153</c:v>
                </c:pt>
                <c:pt idx="53">
                  <c:v>11.099423076923076</c:v>
                </c:pt>
                <c:pt idx="54">
                  <c:v>10.889999999999999</c:v>
                </c:pt>
                <c:pt idx="55">
                  <c:v>10.680576923076922</c:v>
                </c:pt>
                <c:pt idx="56">
                  <c:v>10.471153846153843</c:v>
                </c:pt>
                <c:pt idx="57">
                  <c:v>10.261730769230768</c:v>
                </c:pt>
                <c:pt idx="58">
                  <c:v>10.052307692307691</c:v>
                </c:pt>
                <c:pt idx="59">
                  <c:v>9.8428846153846141</c:v>
                </c:pt>
                <c:pt idx="60">
                  <c:v>9.6334615384615372</c:v>
                </c:pt>
                <c:pt idx="61">
                  <c:v>9.424038461538462</c:v>
                </c:pt>
                <c:pt idx="62">
                  <c:v>9.2146153846153851</c:v>
                </c:pt>
                <c:pt idx="63">
                  <c:v>9.0051923076923064</c:v>
                </c:pt>
                <c:pt idx="64">
                  <c:v>8.7957692307692295</c:v>
                </c:pt>
                <c:pt idx="65">
                  <c:v>8.5863461538461543</c:v>
                </c:pt>
                <c:pt idx="66">
                  <c:v>8.3769230769230756</c:v>
                </c:pt>
                <c:pt idx="67">
                  <c:v>8.1674999999999986</c:v>
                </c:pt>
                <c:pt idx="68">
                  <c:v>7.9580769230769235</c:v>
                </c:pt>
                <c:pt idx="69">
                  <c:v>7.748653846153843</c:v>
                </c:pt>
                <c:pt idx="70">
                  <c:v>7.5392307692307687</c:v>
                </c:pt>
                <c:pt idx="71">
                  <c:v>7.3298076923076909</c:v>
                </c:pt>
                <c:pt idx="72">
                  <c:v>7.1203846153846131</c:v>
                </c:pt>
                <c:pt idx="73">
                  <c:v>6.9109615384615388</c:v>
                </c:pt>
                <c:pt idx="74">
                  <c:v>6.701538461538461</c:v>
                </c:pt>
                <c:pt idx="75">
                  <c:v>6.4921153846153858</c:v>
                </c:pt>
                <c:pt idx="76">
                  <c:v>6.2826923076923054</c:v>
                </c:pt>
                <c:pt idx="77">
                  <c:v>6.0732692307692311</c:v>
                </c:pt>
                <c:pt idx="78">
                  <c:v>5.8638461538461533</c:v>
                </c:pt>
                <c:pt idx="79">
                  <c:v>5.6544230769230754</c:v>
                </c:pt>
                <c:pt idx="80">
                  <c:v>5.4450000000000012</c:v>
                </c:pt>
                <c:pt idx="81">
                  <c:v>5.2355769230769234</c:v>
                </c:pt>
                <c:pt idx="82">
                  <c:v>5.0261538461538455</c:v>
                </c:pt>
                <c:pt idx="83">
                  <c:v>4.8167307692307677</c:v>
                </c:pt>
                <c:pt idx="84">
                  <c:v>4.6073076923076934</c:v>
                </c:pt>
                <c:pt idx="85">
                  <c:v>4.3978846153846129</c:v>
                </c:pt>
                <c:pt idx="86">
                  <c:v>4.1884615384615378</c:v>
                </c:pt>
                <c:pt idx="87">
                  <c:v>3.9790384615384604</c:v>
                </c:pt>
                <c:pt idx="88">
                  <c:v>3.7696153846153857</c:v>
                </c:pt>
                <c:pt idx="89">
                  <c:v>3.5601923076923079</c:v>
                </c:pt>
                <c:pt idx="90">
                  <c:v>3.3507692307692305</c:v>
                </c:pt>
                <c:pt idx="91">
                  <c:v>3.1413461538461558</c:v>
                </c:pt>
                <c:pt idx="92">
                  <c:v>2.9319230769230753</c:v>
                </c:pt>
                <c:pt idx="93">
                  <c:v>2.7225000000000006</c:v>
                </c:pt>
                <c:pt idx="94">
                  <c:v>2.5130769230769228</c:v>
                </c:pt>
                <c:pt idx="95">
                  <c:v>2.3036538461538454</c:v>
                </c:pt>
                <c:pt idx="96">
                  <c:v>2.0942307692307676</c:v>
                </c:pt>
                <c:pt idx="97">
                  <c:v>1.8848076923076929</c:v>
                </c:pt>
                <c:pt idx="98">
                  <c:v>1.6753846153846153</c:v>
                </c:pt>
                <c:pt idx="99">
                  <c:v>1.4659615384615376</c:v>
                </c:pt>
                <c:pt idx="100">
                  <c:v>1.2565384615384629</c:v>
                </c:pt>
                <c:pt idx="101">
                  <c:v>1.0471153846153853</c:v>
                </c:pt>
                <c:pt idx="102">
                  <c:v>0.83769230769230763</c:v>
                </c:pt>
                <c:pt idx="103">
                  <c:v>0.62826923076922991</c:v>
                </c:pt>
                <c:pt idx="104">
                  <c:v>0.41884615384615526</c:v>
                </c:pt>
                <c:pt idx="105">
                  <c:v>0.20942307692307471</c:v>
                </c:pt>
                <c:pt idx="106">
                  <c:v>0</c:v>
                </c:pt>
                <c:pt idx="107">
                  <c:v>0</c:v>
                </c:pt>
              </c:numCache>
            </c:numRef>
          </c:yVal>
          <c:smooth val="0"/>
          <c:extLst>
            <c:ext xmlns:c16="http://schemas.microsoft.com/office/drawing/2014/chart" uri="{C3380CC4-5D6E-409C-BE32-E72D297353CC}">
              <c16:uniqueId val="{00000000-D355-4013-88E8-9ECCC004112D}"/>
            </c:ext>
          </c:extLst>
        </c:ser>
        <c:dLbls>
          <c:showLegendKey val="0"/>
          <c:showVal val="0"/>
          <c:showCatName val="0"/>
          <c:showSerName val="0"/>
          <c:showPercent val="0"/>
          <c:showBubbleSize val="0"/>
        </c:dLbls>
        <c:axId val="86942464"/>
        <c:axId val="86944384"/>
      </c:scatterChart>
      <c:valAx>
        <c:axId val="86942464"/>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86944384"/>
        <c:crosses val="autoZero"/>
        <c:crossBetween val="midCat"/>
      </c:valAx>
      <c:valAx>
        <c:axId val="86944384"/>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86942464"/>
        <c:crossesAt val="-1"/>
        <c:crossBetween val="midCat"/>
      </c:valAx>
    </c:plotArea>
    <c:legend>
      <c:legendPos val="r"/>
      <c:layout>
        <c:manualLayout>
          <c:xMode val="edge"/>
          <c:yMode val="edge"/>
          <c:x val="0.58243391004423017"/>
          <c:y val="0.29201739268437199"/>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0.12692307692307692</c:v>
                </c:pt>
                <c:pt idx="2">
                  <c:v>0.25384615384615383</c:v>
                </c:pt>
                <c:pt idx="3">
                  <c:v>0.38076923076923075</c:v>
                </c:pt>
                <c:pt idx="4">
                  <c:v>0.50769230769230766</c:v>
                </c:pt>
                <c:pt idx="5">
                  <c:v>0.63461538461538458</c:v>
                </c:pt>
                <c:pt idx="6">
                  <c:v>0.7615384615384615</c:v>
                </c:pt>
                <c:pt idx="7">
                  <c:v>0.88846153846153841</c:v>
                </c:pt>
                <c:pt idx="8">
                  <c:v>1.0153846153846153</c:v>
                </c:pt>
                <c:pt idx="9">
                  <c:v>1.1423076923076922</c:v>
                </c:pt>
                <c:pt idx="10">
                  <c:v>1.2692307692307692</c:v>
                </c:pt>
                <c:pt idx="11">
                  <c:v>1.3961538461538461</c:v>
                </c:pt>
                <c:pt idx="12">
                  <c:v>1.523076923076923</c:v>
                </c:pt>
                <c:pt idx="13">
                  <c:v>1.65</c:v>
                </c:pt>
                <c:pt idx="14">
                  <c:v>1.7769230769230768</c:v>
                </c:pt>
                <c:pt idx="15">
                  <c:v>1.9038461538461535</c:v>
                </c:pt>
                <c:pt idx="16">
                  <c:v>2.0307692307692307</c:v>
                </c:pt>
                <c:pt idx="17">
                  <c:v>2.1576923076923076</c:v>
                </c:pt>
                <c:pt idx="18">
                  <c:v>2.2846153846153845</c:v>
                </c:pt>
                <c:pt idx="19">
                  <c:v>2.4115384615384614</c:v>
                </c:pt>
                <c:pt idx="20">
                  <c:v>2.5384615384615383</c:v>
                </c:pt>
                <c:pt idx="21">
                  <c:v>2.6653846153846152</c:v>
                </c:pt>
                <c:pt idx="22">
                  <c:v>2.7923076923076922</c:v>
                </c:pt>
                <c:pt idx="23">
                  <c:v>2.9192307692307691</c:v>
                </c:pt>
                <c:pt idx="24">
                  <c:v>3.046153846153846</c:v>
                </c:pt>
                <c:pt idx="25">
                  <c:v>3.1730769230769229</c:v>
                </c:pt>
                <c:pt idx="26">
                  <c:v>3.3</c:v>
                </c:pt>
                <c:pt idx="27">
                  <c:v>3.4269230769230772</c:v>
                </c:pt>
                <c:pt idx="28">
                  <c:v>3.5538461538461537</c:v>
                </c:pt>
                <c:pt idx="29">
                  <c:v>3.6807692307692306</c:v>
                </c:pt>
                <c:pt idx="30">
                  <c:v>3.807692307692307</c:v>
                </c:pt>
                <c:pt idx="31">
                  <c:v>3.9346153846153844</c:v>
                </c:pt>
                <c:pt idx="32">
                  <c:v>4.0615384615384613</c:v>
                </c:pt>
                <c:pt idx="33">
                  <c:v>4.1884615384615378</c:v>
                </c:pt>
                <c:pt idx="34">
                  <c:v>4.3153846153846152</c:v>
                </c:pt>
                <c:pt idx="35">
                  <c:v>4.4423076923076925</c:v>
                </c:pt>
                <c:pt idx="36">
                  <c:v>4.569230769230769</c:v>
                </c:pt>
                <c:pt idx="37">
                  <c:v>4.6961538461538463</c:v>
                </c:pt>
                <c:pt idx="38">
                  <c:v>4.8230769230769228</c:v>
                </c:pt>
                <c:pt idx="39">
                  <c:v>4.9499999999999993</c:v>
                </c:pt>
                <c:pt idx="40">
                  <c:v>5.0769230769230766</c:v>
                </c:pt>
                <c:pt idx="41">
                  <c:v>5.2038461538461531</c:v>
                </c:pt>
                <c:pt idx="42">
                  <c:v>5.3307692307692305</c:v>
                </c:pt>
                <c:pt idx="43">
                  <c:v>5.457692307692307</c:v>
                </c:pt>
                <c:pt idx="44">
                  <c:v>5.5846153846153843</c:v>
                </c:pt>
                <c:pt idx="45">
                  <c:v>5.7115384615384617</c:v>
                </c:pt>
                <c:pt idx="46">
                  <c:v>5.8384615384615381</c:v>
                </c:pt>
                <c:pt idx="47">
                  <c:v>5.9653846153846155</c:v>
                </c:pt>
                <c:pt idx="48">
                  <c:v>6.092307692307692</c:v>
                </c:pt>
                <c:pt idx="49">
                  <c:v>6.2192307692307685</c:v>
                </c:pt>
                <c:pt idx="50">
                  <c:v>6.3461538461538458</c:v>
                </c:pt>
                <c:pt idx="51">
                  <c:v>6.4730769230769223</c:v>
                </c:pt>
                <c:pt idx="52">
                  <c:v>6.6</c:v>
                </c:pt>
                <c:pt idx="53">
                  <c:v>6.7269230769230761</c:v>
                </c:pt>
                <c:pt idx="54">
                  <c:v>6.8538461538461544</c:v>
                </c:pt>
                <c:pt idx="55">
                  <c:v>6.9807692307692308</c:v>
                </c:pt>
                <c:pt idx="56">
                  <c:v>7.1076923076923073</c:v>
                </c:pt>
                <c:pt idx="57">
                  <c:v>7.2346153846153847</c:v>
                </c:pt>
                <c:pt idx="58">
                  <c:v>7.3615384615384611</c:v>
                </c:pt>
                <c:pt idx="59">
                  <c:v>7.4884615384615376</c:v>
                </c:pt>
                <c:pt idx="60">
                  <c:v>7.6153846153846141</c:v>
                </c:pt>
                <c:pt idx="61">
                  <c:v>7.7423076923076923</c:v>
                </c:pt>
                <c:pt idx="62">
                  <c:v>7.8692307692307688</c:v>
                </c:pt>
                <c:pt idx="63">
                  <c:v>7.9961538461538453</c:v>
                </c:pt>
                <c:pt idx="64">
                  <c:v>8.1230769230769226</c:v>
                </c:pt>
                <c:pt idx="65">
                  <c:v>8.25</c:v>
                </c:pt>
                <c:pt idx="66">
                  <c:v>8.3769230769230756</c:v>
                </c:pt>
                <c:pt idx="67">
                  <c:v>8.5038461538461547</c:v>
                </c:pt>
                <c:pt idx="68">
                  <c:v>8.6307692307692303</c:v>
                </c:pt>
                <c:pt idx="69">
                  <c:v>8.7576923076923077</c:v>
                </c:pt>
                <c:pt idx="70">
                  <c:v>8.884615384615385</c:v>
                </c:pt>
                <c:pt idx="71">
                  <c:v>9.0115384615384606</c:v>
                </c:pt>
                <c:pt idx="72">
                  <c:v>9.138461538461538</c:v>
                </c:pt>
                <c:pt idx="73">
                  <c:v>9.2653846153846136</c:v>
                </c:pt>
                <c:pt idx="74">
                  <c:v>9.3923076923076927</c:v>
                </c:pt>
                <c:pt idx="75">
                  <c:v>9.5192307692307683</c:v>
                </c:pt>
                <c:pt idx="76">
                  <c:v>9.6461538461538456</c:v>
                </c:pt>
                <c:pt idx="77">
                  <c:v>9.773076923076923</c:v>
                </c:pt>
                <c:pt idx="78">
                  <c:v>9.8999999999999986</c:v>
                </c:pt>
                <c:pt idx="79">
                  <c:v>10.026923076923076</c:v>
                </c:pt>
                <c:pt idx="80">
                  <c:v>10.153846153846153</c:v>
                </c:pt>
                <c:pt idx="81">
                  <c:v>10.280769230769231</c:v>
                </c:pt>
                <c:pt idx="82">
                  <c:v>10.407692307692306</c:v>
                </c:pt>
                <c:pt idx="83">
                  <c:v>10.534615384615385</c:v>
                </c:pt>
                <c:pt idx="84">
                  <c:v>10.661538461538461</c:v>
                </c:pt>
                <c:pt idx="85">
                  <c:v>10.788461538461538</c:v>
                </c:pt>
                <c:pt idx="86">
                  <c:v>10.915384615384614</c:v>
                </c:pt>
                <c:pt idx="87">
                  <c:v>11.042307692307691</c:v>
                </c:pt>
                <c:pt idx="88">
                  <c:v>11.169230769230769</c:v>
                </c:pt>
                <c:pt idx="89">
                  <c:v>11.296153846153844</c:v>
                </c:pt>
                <c:pt idx="90">
                  <c:v>11.423076923076923</c:v>
                </c:pt>
                <c:pt idx="91">
                  <c:v>11.549999999999999</c:v>
                </c:pt>
                <c:pt idx="92">
                  <c:v>11.676923076923076</c:v>
                </c:pt>
                <c:pt idx="93">
                  <c:v>11.803846153846154</c:v>
                </c:pt>
                <c:pt idx="94">
                  <c:v>11.930769230769231</c:v>
                </c:pt>
                <c:pt idx="95">
                  <c:v>12.057692307692307</c:v>
                </c:pt>
                <c:pt idx="96">
                  <c:v>12.184615384615384</c:v>
                </c:pt>
                <c:pt idx="97">
                  <c:v>12.311538461538461</c:v>
                </c:pt>
                <c:pt idx="98">
                  <c:v>12.438461538461537</c:v>
                </c:pt>
                <c:pt idx="99">
                  <c:v>12.565384615384614</c:v>
                </c:pt>
                <c:pt idx="100">
                  <c:v>12.692307692307692</c:v>
                </c:pt>
                <c:pt idx="101">
                  <c:v>12.819230769230769</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4319-437F-AA44-48A7F9AE137C}"/>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0.12692307692307692</c:v>
                </c:pt>
                <c:pt idx="2">
                  <c:v>0.25384615384615383</c:v>
                </c:pt>
                <c:pt idx="3">
                  <c:v>0.38076923076923075</c:v>
                </c:pt>
                <c:pt idx="4">
                  <c:v>0.50769230769230766</c:v>
                </c:pt>
                <c:pt idx="5">
                  <c:v>0.63461538461538458</c:v>
                </c:pt>
                <c:pt idx="6">
                  <c:v>0.7615384615384615</c:v>
                </c:pt>
                <c:pt idx="7">
                  <c:v>0.88846153846153841</c:v>
                </c:pt>
                <c:pt idx="8">
                  <c:v>1.0153846153846153</c:v>
                </c:pt>
                <c:pt idx="9">
                  <c:v>1.1423076923076922</c:v>
                </c:pt>
                <c:pt idx="10">
                  <c:v>1.2692307692307692</c:v>
                </c:pt>
                <c:pt idx="11">
                  <c:v>1.3961538461538461</c:v>
                </c:pt>
                <c:pt idx="12">
                  <c:v>1.523076923076923</c:v>
                </c:pt>
                <c:pt idx="13">
                  <c:v>1.65</c:v>
                </c:pt>
                <c:pt idx="14">
                  <c:v>1.7769230769230768</c:v>
                </c:pt>
                <c:pt idx="15">
                  <c:v>1.9038461538461535</c:v>
                </c:pt>
                <c:pt idx="16">
                  <c:v>2.0307692307692307</c:v>
                </c:pt>
                <c:pt idx="17">
                  <c:v>2.1576923076923076</c:v>
                </c:pt>
                <c:pt idx="18">
                  <c:v>2.2846153846153845</c:v>
                </c:pt>
                <c:pt idx="19">
                  <c:v>2.4115384615384614</c:v>
                </c:pt>
                <c:pt idx="20">
                  <c:v>2.5384615384615383</c:v>
                </c:pt>
                <c:pt idx="21">
                  <c:v>2.6653846153846152</c:v>
                </c:pt>
                <c:pt idx="22">
                  <c:v>2.7923076923076922</c:v>
                </c:pt>
                <c:pt idx="23">
                  <c:v>2.9192307692307691</c:v>
                </c:pt>
                <c:pt idx="24">
                  <c:v>3.046153846153846</c:v>
                </c:pt>
                <c:pt idx="25">
                  <c:v>3.1730769230769229</c:v>
                </c:pt>
                <c:pt idx="26">
                  <c:v>3.3</c:v>
                </c:pt>
                <c:pt idx="27">
                  <c:v>3.4269230769230772</c:v>
                </c:pt>
                <c:pt idx="28">
                  <c:v>3.5538461538461537</c:v>
                </c:pt>
                <c:pt idx="29">
                  <c:v>3.6807692307692306</c:v>
                </c:pt>
                <c:pt idx="30">
                  <c:v>3.807692307692307</c:v>
                </c:pt>
                <c:pt idx="31">
                  <c:v>3.9346153846153844</c:v>
                </c:pt>
                <c:pt idx="32">
                  <c:v>4.0615384615384613</c:v>
                </c:pt>
                <c:pt idx="33">
                  <c:v>4.1884615384615378</c:v>
                </c:pt>
                <c:pt idx="34">
                  <c:v>4.3153846153846152</c:v>
                </c:pt>
                <c:pt idx="35">
                  <c:v>4.4423076923076925</c:v>
                </c:pt>
                <c:pt idx="36">
                  <c:v>4.569230769230769</c:v>
                </c:pt>
                <c:pt idx="37">
                  <c:v>4.6961538461538463</c:v>
                </c:pt>
                <c:pt idx="38">
                  <c:v>4.8230769230769228</c:v>
                </c:pt>
                <c:pt idx="39">
                  <c:v>4.9499999999999993</c:v>
                </c:pt>
                <c:pt idx="40">
                  <c:v>5.0769230769230766</c:v>
                </c:pt>
                <c:pt idx="41">
                  <c:v>5.2038461538461531</c:v>
                </c:pt>
                <c:pt idx="42">
                  <c:v>5.3307692307692305</c:v>
                </c:pt>
                <c:pt idx="43">
                  <c:v>5.457692307692307</c:v>
                </c:pt>
                <c:pt idx="44">
                  <c:v>5.5846153846153843</c:v>
                </c:pt>
                <c:pt idx="45">
                  <c:v>5.7115384615384617</c:v>
                </c:pt>
                <c:pt idx="46">
                  <c:v>5.8384615384615381</c:v>
                </c:pt>
                <c:pt idx="47">
                  <c:v>5.9653846153846155</c:v>
                </c:pt>
                <c:pt idx="48">
                  <c:v>6.092307692307692</c:v>
                </c:pt>
                <c:pt idx="49">
                  <c:v>6.2192307692307685</c:v>
                </c:pt>
                <c:pt idx="50">
                  <c:v>6.3461538461538458</c:v>
                </c:pt>
                <c:pt idx="51">
                  <c:v>6.4730769230769223</c:v>
                </c:pt>
                <c:pt idx="52">
                  <c:v>6.6</c:v>
                </c:pt>
                <c:pt idx="53">
                  <c:v>6.7269230769230761</c:v>
                </c:pt>
                <c:pt idx="54">
                  <c:v>6.8538461538461544</c:v>
                </c:pt>
                <c:pt idx="55">
                  <c:v>6.9807692307692308</c:v>
                </c:pt>
                <c:pt idx="56">
                  <c:v>7.1076923076923073</c:v>
                </c:pt>
                <c:pt idx="57">
                  <c:v>7.2346153846153847</c:v>
                </c:pt>
                <c:pt idx="58">
                  <c:v>7.3615384615384611</c:v>
                </c:pt>
                <c:pt idx="59">
                  <c:v>7.4884615384615376</c:v>
                </c:pt>
                <c:pt idx="60">
                  <c:v>7.6153846153846141</c:v>
                </c:pt>
                <c:pt idx="61">
                  <c:v>7.7423076923076923</c:v>
                </c:pt>
                <c:pt idx="62">
                  <c:v>7.8692307692307688</c:v>
                </c:pt>
                <c:pt idx="63">
                  <c:v>7.9961538461538453</c:v>
                </c:pt>
                <c:pt idx="64">
                  <c:v>8.1230769230769226</c:v>
                </c:pt>
                <c:pt idx="65">
                  <c:v>8.25</c:v>
                </c:pt>
                <c:pt idx="66">
                  <c:v>8.3769230769230756</c:v>
                </c:pt>
                <c:pt idx="67">
                  <c:v>8.5038461538461547</c:v>
                </c:pt>
                <c:pt idx="68">
                  <c:v>8.6307692307692303</c:v>
                </c:pt>
                <c:pt idx="69">
                  <c:v>8.7576923076923077</c:v>
                </c:pt>
                <c:pt idx="70">
                  <c:v>8.884615384615385</c:v>
                </c:pt>
                <c:pt idx="71">
                  <c:v>9.0115384615384606</c:v>
                </c:pt>
                <c:pt idx="72">
                  <c:v>9.138461538461538</c:v>
                </c:pt>
                <c:pt idx="73">
                  <c:v>9.2653846153846136</c:v>
                </c:pt>
                <c:pt idx="74">
                  <c:v>9.3923076923076927</c:v>
                </c:pt>
                <c:pt idx="75">
                  <c:v>9.5192307692307683</c:v>
                </c:pt>
                <c:pt idx="76">
                  <c:v>9.6461538461538456</c:v>
                </c:pt>
                <c:pt idx="77">
                  <c:v>9.773076923076923</c:v>
                </c:pt>
                <c:pt idx="78">
                  <c:v>9.8999999999999986</c:v>
                </c:pt>
                <c:pt idx="79">
                  <c:v>10.026923076923076</c:v>
                </c:pt>
                <c:pt idx="80">
                  <c:v>10.153846153846153</c:v>
                </c:pt>
                <c:pt idx="81">
                  <c:v>10.280769230769231</c:v>
                </c:pt>
                <c:pt idx="82">
                  <c:v>10.407692307692306</c:v>
                </c:pt>
                <c:pt idx="83">
                  <c:v>10.534615384615385</c:v>
                </c:pt>
                <c:pt idx="84">
                  <c:v>10.661538461538461</c:v>
                </c:pt>
                <c:pt idx="85">
                  <c:v>10.788461538461538</c:v>
                </c:pt>
                <c:pt idx="86">
                  <c:v>10.915384615384614</c:v>
                </c:pt>
                <c:pt idx="87">
                  <c:v>11.042307692307691</c:v>
                </c:pt>
                <c:pt idx="88">
                  <c:v>11.169230769230769</c:v>
                </c:pt>
                <c:pt idx="89">
                  <c:v>11.296153846153844</c:v>
                </c:pt>
                <c:pt idx="90">
                  <c:v>11.423076923076923</c:v>
                </c:pt>
                <c:pt idx="91">
                  <c:v>11.549999999999999</c:v>
                </c:pt>
                <c:pt idx="92">
                  <c:v>11.676923076923076</c:v>
                </c:pt>
                <c:pt idx="93">
                  <c:v>11.803846153846154</c:v>
                </c:pt>
                <c:pt idx="94">
                  <c:v>11.930769230769231</c:v>
                </c:pt>
                <c:pt idx="95">
                  <c:v>12.057692307692307</c:v>
                </c:pt>
                <c:pt idx="96">
                  <c:v>12.184615384615384</c:v>
                </c:pt>
                <c:pt idx="97">
                  <c:v>12.311538461538461</c:v>
                </c:pt>
                <c:pt idx="98">
                  <c:v>12.438461538461537</c:v>
                </c:pt>
                <c:pt idx="99">
                  <c:v>12.565384615384614</c:v>
                </c:pt>
                <c:pt idx="100">
                  <c:v>12.692307692307692</c:v>
                </c:pt>
                <c:pt idx="101">
                  <c:v>12.819230769230769</c:v>
                </c:pt>
              </c:numCache>
            </c:numRef>
          </c:xVal>
          <c:yVal>
            <c:numRef>
              <c:f>Start_up!$G$10:$G$112</c:f>
              <c:numCache>
                <c:formatCode>General</c:formatCode>
                <c:ptCount val="103"/>
                <c:pt idx="0">
                  <c:v>1.65</c:v>
                </c:pt>
                <c:pt idx="1">
                  <c:v>1.65</c:v>
                </c:pt>
                <c:pt idx="2">
                  <c:v>1.65</c:v>
                </c:pt>
                <c:pt idx="3">
                  <c:v>1.65</c:v>
                </c:pt>
                <c:pt idx="4">
                  <c:v>1.65</c:v>
                </c:pt>
                <c:pt idx="5">
                  <c:v>1.65</c:v>
                </c:pt>
                <c:pt idx="6">
                  <c:v>1.65</c:v>
                </c:pt>
                <c:pt idx="7">
                  <c:v>1.65</c:v>
                </c:pt>
                <c:pt idx="8">
                  <c:v>1.65</c:v>
                </c:pt>
                <c:pt idx="9">
                  <c:v>1.65</c:v>
                </c:pt>
                <c:pt idx="10">
                  <c:v>1.65</c:v>
                </c:pt>
                <c:pt idx="11">
                  <c:v>1.65</c:v>
                </c:pt>
                <c:pt idx="12">
                  <c:v>1.65</c:v>
                </c:pt>
                <c:pt idx="13">
                  <c:v>1.65</c:v>
                </c:pt>
                <c:pt idx="14">
                  <c:v>1.65</c:v>
                </c:pt>
                <c:pt idx="15">
                  <c:v>1.65</c:v>
                </c:pt>
                <c:pt idx="16">
                  <c:v>1.65</c:v>
                </c:pt>
                <c:pt idx="17">
                  <c:v>1.65</c:v>
                </c:pt>
                <c:pt idx="18">
                  <c:v>1.65</c:v>
                </c:pt>
                <c:pt idx="19">
                  <c:v>1.65</c:v>
                </c:pt>
                <c:pt idx="20">
                  <c:v>1.65</c:v>
                </c:pt>
                <c:pt idx="21">
                  <c:v>1.65</c:v>
                </c:pt>
                <c:pt idx="22">
                  <c:v>1.65</c:v>
                </c:pt>
                <c:pt idx="23">
                  <c:v>1.65</c:v>
                </c:pt>
                <c:pt idx="24">
                  <c:v>1.65</c:v>
                </c:pt>
                <c:pt idx="25">
                  <c:v>1.65</c:v>
                </c:pt>
                <c:pt idx="26">
                  <c:v>1.65</c:v>
                </c:pt>
                <c:pt idx="27">
                  <c:v>1.65</c:v>
                </c:pt>
                <c:pt idx="28">
                  <c:v>1.65</c:v>
                </c:pt>
                <c:pt idx="29">
                  <c:v>1.65</c:v>
                </c:pt>
                <c:pt idx="30">
                  <c:v>1.65</c:v>
                </c:pt>
                <c:pt idx="31">
                  <c:v>1.65</c:v>
                </c:pt>
                <c:pt idx="32">
                  <c:v>1.65</c:v>
                </c:pt>
                <c:pt idx="33">
                  <c:v>1.65</c:v>
                </c:pt>
                <c:pt idx="34">
                  <c:v>1.65</c:v>
                </c:pt>
                <c:pt idx="35">
                  <c:v>1.65</c:v>
                </c:pt>
                <c:pt idx="36">
                  <c:v>1.65</c:v>
                </c:pt>
                <c:pt idx="37">
                  <c:v>1.65</c:v>
                </c:pt>
                <c:pt idx="38">
                  <c:v>1.65</c:v>
                </c:pt>
                <c:pt idx="39">
                  <c:v>1.65</c:v>
                </c:pt>
                <c:pt idx="40">
                  <c:v>1.65</c:v>
                </c:pt>
                <c:pt idx="41">
                  <c:v>1.65</c:v>
                </c:pt>
                <c:pt idx="42">
                  <c:v>1.65</c:v>
                </c:pt>
                <c:pt idx="43">
                  <c:v>1.65</c:v>
                </c:pt>
                <c:pt idx="44">
                  <c:v>1.65</c:v>
                </c:pt>
                <c:pt idx="45">
                  <c:v>1.65</c:v>
                </c:pt>
                <c:pt idx="46">
                  <c:v>1.65</c:v>
                </c:pt>
                <c:pt idx="47">
                  <c:v>1.65</c:v>
                </c:pt>
                <c:pt idx="48">
                  <c:v>1.65</c:v>
                </c:pt>
                <c:pt idx="49">
                  <c:v>1.65</c:v>
                </c:pt>
                <c:pt idx="50">
                  <c:v>1.65</c:v>
                </c:pt>
                <c:pt idx="51">
                  <c:v>1.65</c:v>
                </c:pt>
                <c:pt idx="52">
                  <c:v>1.65</c:v>
                </c:pt>
                <c:pt idx="53">
                  <c:v>1.65</c:v>
                </c:pt>
                <c:pt idx="54">
                  <c:v>1.65</c:v>
                </c:pt>
                <c:pt idx="55">
                  <c:v>1.65</c:v>
                </c:pt>
                <c:pt idx="56">
                  <c:v>1.65</c:v>
                </c:pt>
                <c:pt idx="57">
                  <c:v>1.65</c:v>
                </c:pt>
                <c:pt idx="58">
                  <c:v>1.65</c:v>
                </c:pt>
                <c:pt idx="59">
                  <c:v>1.65</c:v>
                </c:pt>
                <c:pt idx="60">
                  <c:v>1.65</c:v>
                </c:pt>
                <c:pt idx="61">
                  <c:v>1.65</c:v>
                </c:pt>
                <c:pt idx="62">
                  <c:v>1.65</c:v>
                </c:pt>
                <c:pt idx="63">
                  <c:v>1.65</c:v>
                </c:pt>
                <c:pt idx="64">
                  <c:v>1.65</c:v>
                </c:pt>
                <c:pt idx="65">
                  <c:v>1.65</c:v>
                </c:pt>
                <c:pt idx="66">
                  <c:v>1.65</c:v>
                </c:pt>
                <c:pt idx="67">
                  <c:v>1.65</c:v>
                </c:pt>
                <c:pt idx="68">
                  <c:v>1.65</c:v>
                </c:pt>
                <c:pt idx="69">
                  <c:v>1.65</c:v>
                </c:pt>
                <c:pt idx="70">
                  <c:v>1.65</c:v>
                </c:pt>
                <c:pt idx="71">
                  <c:v>1.65</c:v>
                </c:pt>
                <c:pt idx="72">
                  <c:v>1.65</c:v>
                </c:pt>
                <c:pt idx="73">
                  <c:v>1.65</c:v>
                </c:pt>
                <c:pt idx="74">
                  <c:v>1.65</c:v>
                </c:pt>
                <c:pt idx="75">
                  <c:v>1.65</c:v>
                </c:pt>
                <c:pt idx="76">
                  <c:v>1.65</c:v>
                </c:pt>
                <c:pt idx="77">
                  <c:v>1.65</c:v>
                </c:pt>
                <c:pt idx="78">
                  <c:v>1.65</c:v>
                </c:pt>
                <c:pt idx="79">
                  <c:v>1.65</c:v>
                </c:pt>
                <c:pt idx="80">
                  <c:v>1.65</c:v>
                </c:pt>
                <c:pt idx="81">
                  <c:v>1.65</c:v>
                </c:pt>
                <c:pt idx="82">
                  <c:v>1.65</c:v>
                </c:pt>
                <c:pt idx="83">
                  <c:v>1.65</c:v>
                </c:pt>
                <c:pt idx="84">
                  <c:v>1.65</c:v>
                </c:pt>
                <c:pt idx="85">
                  <c:v>1.65</c:v>
                </c:pt>
                <c:pt idx="86">
                  <c:v>1.65</c:v>
                </c:pt>
                <c:pt idx="87">
                  <c:v>1.65</c:v>
                </c:pt>
                <c:pt idx="88">
                  <c:v>1.65</c:v>
                </c:pt>
                <c:pt idx="89">
                  <c:v>1.65</c:v>
                </c:pt>
                <c:pt idx="90">
                  <c:v>1.65</c:v>
                </c:pt>
                <c:pt idx="91">
                  <c:v>1.65</c:v>
                </c:pt>
                <c:pt idx="92">
                  <c:v>1.65</c:v>
                </c:pt>
                <c:pt idx="93">
                  <c:v>1.65</c:v>
                </c:pt>
                <c:pt idx="94">
                  <c:v>1.65</c:v>
                </c:pt>
                <c:pt idx="95">
                  <c:v>1.65</c:v>
                </c:pt>
                <c:pt idx="96">
                  <c:v>1.65</c:v>
                </c:pt>
                <c:pt idx="97">
                  <c:v>1.65</c:v>
                </c:pt>
                <c:pt idx="98">
                  <c:v>1.65</c:v>
                </c:pt>
                <c:pt idx="99">
                  <c:v>1.65</c:v>
                </c:pt>
                <c:pt idx="100">
                  <c:v>1.65</c:v>
                </c:pt>
                <c:pt idx="101">
                  <c:v>1.65</c:v>
                </c:pt>
                <c:pt idx="102">
                  <c:v>1.65</c:v>
                </c:pt>
              </c:numCache>
            </c:numRef>
          </c:yVal>
          <c:smooth val="1"/>
          <c:extLst>
            <c:ext xmlns:c16="http://schemas.microsoft.com/office/drawing/2014/chart" uri="{C3380CC4-5D6E-409C-BE32-E72D297353CC}">
              <c16:uniqueId val="{00000001-4319-437F-AA44-48A7F9AE137C}"/>
            </c:ext>
          </c:extLst>
        </c:ser>
        <c:dLbls>
          <c:showLegendKey val="0"/>
          <c:showVal val="0"/>
          <c:showCatName val="0"/>
          <c:showSerName val="0"/>
          <c:showPercent val="0"/>
          <c:showBubbleSize val="0"/>
        </c:dLbls>
        <c:axId val="86241280"/>
        <c:axId val="86243200"/>
      </c:scatterChart>
      <c:valAx>
        <c:axId val="86241280"/>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86243200"/>
        <c:crosses val="autoZero"/>
        <c:crossBetween val="midCat"/>
      </c:valAx>
      <c:valAx>
        <c:axId val="86243200"/>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86241280"/>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13" Type="http://schemas.openxmlformats.org/officeDocument/2006/relationships/image" Target="../media/image8.png"/><Relationship Id="rId18" Type="http://schemas.openxmlformats.org/officeDocument/2006/relationships/hyperlink" Target="https://training.ti.com/node/1133664" TargetMode="External"/><Relationship Id="rId3" Type="http://schemas.openxmlformats.org/officeDocument/2006/relationships/image" Target="../media/image2.png"/><Relationship Id="rId7" Type="http://schemas.openxmlformats.org/officeDocument/2006/relationships/chart" Target="../charts/chart1.xml"/><Relationship Id="rId12" Type="http://schemas.openxmlformats.org/officeDocument/2006/relationships/hyperlink" Target="http://www.ti.com/power-management/protection-monitoring-hot-swap/controllers/support-training.html#videos" TargetMode="External"/><Relationship Id="rId17" Type="http://schemas.openxmlformats.org/officeDocument/2006/relationships/image" Target="../media/image10.png"/><Relationship Id="rId2" Type="http://schemas.openxmlformats.org/officeDocument/2006/relationships/hyperlink" Target="http://www.ti.com" TargetMode="External"/><Relationship Id="rId16" Type="http://schemas.openxmlformats.org/officeDocument/2006/relationships/hyperlink" Target="https://training.ti.com/node/1133673" TargetMode="External"/><Relationship Id="rId1" Type="http://schemas.openxmlformats.org/officeDocument/2006/relationships/hyperlink" Target="http://www.ti.com/lit/gpn/lm25066" TargetMode="External"/><Relationship Id="rId6" Type="http://schemas.openxmlformats.org/officeDocument/2006/relationships/image" Target="../media/image5.jpeg"/><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png"/><Relationship Id="rId10" Type="http://schemas.openxmlformats.org/officeDocument/2006/relationships/image" Target="../media/image6.png"/><Relationship Id="rId19" Type="http://schemas.openxmlformats.org/officeDocument/2006/relationships/image" Target="../media/image11.png"/><Relationship Id="rId4" Type="http://schemas.openxmlformats.org/officeDocument/2006/relationships/image" Target="../media/image3.emf"/><Relationship Id="rId9" Type="http://schemas.openxmlformats.org/officeDocument/2006/relationships/chart" Target="../charts/chart3.xml"/><Relationship Id="rId14" Type="http://schemas.openxmlformats.org/officeDocument/2006/relationships/hyperlink" Target="https://training.ti.com/node/1133677" TargetMode="Externa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100-000001040000}"/>
            </a:ext>
          </a:extLst>
        </xdr:cNvPr>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LM25066/I PMBus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LM25066/I datasheet for more detail.</a:t>
          </a:r>
        </a:p>
      </xdr:txBody>
    </xdr:sp>
    <xdr:clientData/>
  </xdr:twoCellAnchor>
  <xdr:twoCellAnchor>
    <xdr:from>
      <xdr:col>39</xdr:col>
      <xdr:colOff>0</xdr:colOff>
      <xdr:row>61</xdr:row>
      <xdr:rowOff>0</xdr:rowOff>
    </xdr:from>
    <xdr:to>
      <xdr:col>39</xdr:col>
      <xdr:colOff>0</xdr:colOff>
      <xdr:row>68</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2"/>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163</xdr:row>
      <xdr:rowOff>95251</xdr:rowOff>
    </xdr:from>
    <xdr:to>
      <xdr:col>10</xdr:col>
      <xdr:colOff>632841</xdr:colOff>
      <xdr:row>94</xdr:row>
      <xdr:rowOff>0</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72838</xdr:colOff>
      <xdr:row>3</xdr:row>
      <xdr:rowOff>160243</xdr:rowOff>
    </xdr:from>
    <xdr:to>
      <xdr:col>10</xdr:col>
      <xdr:colOff>7843</xdr:colOff>
      <xdr:row>9</xdr:row>
      <xdr:rowOff>188143</xdr:rowOff>
    </xdr:to>
    <xdr:pic>
      <xdr:nvPicPr>
        <xdr:cNvPr id="17" name="Picture 16" descr="LM25066IA IC photo.jp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6" cstate="print"/>
        <a:stretch>
          <a:fillRect/>
        </a:stretch>
      </xdr:blipFill>
      <xdr:spPr>
        <a:xfrm>
          <a:off x="7441826" y="1298761"/>
          <a:ext cx="1432112" cy="1067806"/>
        </a:xfrm>
        <a:prstGeom prst="rect">
          <a:avLst/>
        </a:prstGeom>
      </xdr:spPr>
    </xdr:pic>
    <xdr:clientData/>
  </xdr:twoCellAnchor>
  <xdr:twoCellAnchor>
    <xdr:from>
      <xdr:col>7</xdr:col>
      <xdr:colOff>274321</xdr:colOff>
      <xdr:row>51</xdr:row>
      <xdr:rowOff>76201</xdr:rowOff>
    </xdr:from>
    <xdr:to>
      <xdr:col>38</xdr:col>
      <xdr:colOff>209550</xdr:colOff>
      <xdr:row>66</xdr:row>
      <xdr:rowOff>107950</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8</xdr:col>
      <xdr:colOff>53340</xdr:colOff>
      <xdr:row>43</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68</xdr:row>
      <xdr:rowOff>94131</xdr:rowOff>
    </xdr:from>
    <xdr:to>
      <xdr:col>38</xdr:col>
      <xdr:colOff>215153</xdr:colOff>
      <xdr:row>82</xdr:row>
      <xdr:rowOff>71718</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11</xdr:col>
      <xdr:colOff>434340</xdr:colOff>
      <xdr:row>57</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227938</xdr:colOff>
      <xdr:row>82</xdr:row>
      <xdr:rowOff>116542</xdr:rowOff>
    </xdr:from>
    <xdr:to>
      <xdr:col>38</xdr:col>
      <xdr:colOff>318052</xdr:colOff>
      <xdr:row>93</xdr:row>
      <xdr:rowOff>51646</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12</xdr:col>
      <xdr:colOff>662940</xdr:colOff>
      <xdr:row>70</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425823</xdr:colOff>
      <xdr:row>37</xdr:row>
      <xdr:rowOff>168088</xdr:rowOff>
    </xdr:from>
    <xdr:to>
      <xdr:col>12</xdr:col>
      <xdr:colOff>280147</xdr:colOff>
      <xdr:row>49</xdr:row>
      <xdr:rowOff>38824</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8234082" y="8119782"/>
          <a:ext cx="2633383" cy="2129842"/>
          <a:chOff x="8068234" y="4549588"/>
          <a:chExt cx="2599765" cy="2156736"/>
        </a:xfrm>
      </xdr:grpSpPr>
      <xdr:grpSp>
        <xdr:nvGrpSpPr>
          <xdr:cNvPr id="20" name="Group 19">
            <a:extLst>
              <a:ext uri="{FF2B5EF4-FFF2-40B4-BE49-F238E27FC236}">
                <a16:creationId xmlns:a16="http://schemas.microsoft.com/office/drawing/2014/main" id="{00000000-0008-0000-0100-000014000000}"/>
              </a:ext>
            </a:extLst>
          </xdr:cNvPr>
          <xdr:cNvGrpSpPr/>
        </xdr:nvGrpSpPr>
        <xdr:grpSpPr>
          <a:xfrm>
            <a:off x="8068234" y="4549588"/>
            <a:ext cx="2599765" cy="2156736"/>
            <a:chOff x="8000997" y="4398069"/>
            <a:chExt cx="2861885" cy="2548942"/>
          </a:xfrm>
        </xdr:grpSpPr>
        <xdr:grpSp>
          <xdr:nvGrpSpPr>
            <xdr:cNvPr id="21" name="Group 20">
              <a:extLst>
                <a:ext uri="{FF2B5EF4-FFF2-40B4-BE49-F238E27FC236}">
                  <a16:creationId xmlns:a16="http://schemas.microsoft.com/office/drawing/2014/main" id="{00000000-0008-0000-0100-000015000000}"/>
                </a:ext>
              </a:extLst>
            </xdr:cNvPr>
            <xdr:cNvGrpSpPr/>
          </xdr:nvGrpSpPr>
          <xdr:grpSpPr>
            <a:xfrm>
              <a:off x="8000997" y="4398069"/>
              <a:ext cx="2861885" cy="2548942"/>
              <a:chOff x="7507942" y="4356356"/>
              <a:chExt cx="2857500" cy="2548942"/>
            </a:xfrm>
          </xdr:grpSpPr>
          <xdr:pic>
            <xdr:nvPicPr>
              <xdr:cNvPr id="23" name="Picture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0"/>
              <a:stretch>
                <a:fillRect/>
              </a:stretch>
            </xdr:blipFill>
            <xdr:spPr>
              <a:xfrm>
                <a:off x="7507942" y="4356356"/>
                <a:ext cx="2857500" cy="2548942"/>
              </a:xfrm>
              <a:prstGeom prst="rect">
                <a:avLst/>
              </a:prstGeom>
            </xdr:spPr>
          </xdr:pic>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8561294" y="5154706"/>
                <a:ext cx="593913" cy="24653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9397253" y="5038165"/>
                <a:ext cx="593913" cy="3776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22" name="Rectangle 21">
              <a:extLst>
                <a:ext uri="{FF2B5EF4-FFF2-40B4-BE49-F238E27FC236}">
                  <a16:creationId xmlns:a16="http://schemas.microsoft.com/office/drawing/2014/main" id="{00000000-0008-0000-0100-000016000000}"/>
                </a:ext>
              </a:extLst>
            </xdr:cNvPr>
            <xdr:cNvSpPr/>
          </xdr:nvSpPr>
          <xdr:spPr>
            <a:xfrm>
              <a:off x="10510630" y="6493565"/>
              <a:ext cx="99392" cy="2816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1"/>
          <a:stretch>
            <a:fillRect/>
          </a:stretch>
        </xdr:blipFill>
        <xdr:spPr>
          <a:xfrm>
            <a:off x="8886264" y="6249594"/>
            <a:ext cx="1559202" cy="381326"/>
          </a:xfrm>
          <a:prstGeom prst="rect">
            <a:avLst/>
          </a:prstGeom>
        </xdr:spPr>
      </xdr:pic>
    </xdr:grpSp>
    <xdr:clientData/>
  </xdr:twoCellAnchor>
  <xdr:twoCellAnchor editAs="oneCell">
    <xdr:from>
      <xdr:col>1</xdr:col>
      <xdr:colOff>38100</xdr:colOff>
      <xdr:row>14</xdr:row>
      <xdr:rowOff>12700</xdr:rowOff>
    </xdr:from>
    <xdr:to>
      <xdr:col>1</xdr:col>
      <xdr:colOff>1738489</xdr:colOff>
      <xdr:row>21</xdr:row>
      <xdr:rowOff>197945</xdr:rowOff>
    </xdr:to>
    <xdr:pic>
      <xdr:nvPicPr>
        <xdr:cNvPr id="26" name="Picture 25">
          <a:hlinkClick xmlns:r="http://schemas.openxmlformats.org/officeDocument/2006/relationships" r:id="rId12"/>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3"/>
        <a:stretch>
          <a:fillRect/>
        </a:stretch>
      </xdr:blipFill>
      <xdr:spPr>
        <a:xfrm>
          <a:off x="69850" y="3251200"/>
          <a:ext cx="1700389" cy="1518745"/>
        </a:xfrm>
        <a:prstGeom prst="rect">
          <a:avLst/>
        </a:prstGeom>
      </xdr:spPr>
    </xdr:pic>
    <xdr:clientData/>
  </xdr:twoCellAnchor>
  <xdr:twoCellAnchor editAs="oneCell">
    <xdr:from>
      <xdr:col>1</xdr:col>
      <xdr:colOff>38100</xdr:colOff>
      <xdr:row>27</xdr:row>
      <xdr:rowOff>12700</xdr:rowOff>
    </xdr:from>
    <xdr:to>
      <xdr:col>1</xdr:col>
      <xdr:colOff>1784585</xdr:colOff>
      <xdr:row>32</xdr:row>
      <xdr:rowOff>2755</xdr:rowOff>
    </xdr:to>
    <xdr:pic>
      <xdr:nvPicPr>
        <xdr:cNvPr id="27" name="Picture 26">
          <a:hlinkClick xmlns:r="http://schemas.openxmlformats.org/officeDocument/2006/relationships" r:id="rId14"/>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15"/>
        <a:stretch>
          <a:fillRect/>
        </a:stretch>
      </xdr:blipFill>
      <xdr:spPr>
        <a:xfrm>
          <a:off x="69850" y="6045200"/>
          <a:ext cx="1746485" cy="942555"/>
        </a:xfrm>
        <a:prstGeom prst="rect">
          <a:avLst/>
        </a:prstGeom>
      </xdr:spPr>
    </xdr:pic>
    <xdr:clientData/>
  </xdr:twoCellAnchor>
  <xdr:twoCellAnchor editAs="oneCell">
    <xdr:from>
      <xdr:col>1</xdr:col>
      <xdr:colOff>25400</xdr:colOff>
      <xdr:row>37</xdr:row>
      <xdr:rowOff>19050</xdr:rowOff>
    </xdr:from>
    <xdr:to>
      <xdr:col>1</xdr:col>
      <xdr:colOff>1771885</xdr:colOff>
      <xdr:row>55</xdr:row>
      <xdr:rowOff>187278</xdr:rowOff>
    </xdr:to>
    <xdr:pic>
      <xdr:nvPicPr>
        <xdr:cNvPr id="28" name="Picture 27">
          <a:hlinkClick xmlns:r="http://schemas.openxmlformats.org/officeDocument/2006/relationships" r:id="rId14"/>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5"/>
        <a:stretch>
          <a:fillRect/>
        </a:stretch>
      </xdr:blipFill>
      <xdr:spPr>
        <a:xfrm>
          <a:off x="57150" y="7956550"/>
          <a:ext cx="1746485" cy="942555"/>
        </a:xfrm>
        <a:prstGeom prst="rect">
          <a:avLst/>
        </a:prstGeom>
      </xdr:spPr>
    </xdr:pic>
    <xdr:clientData/>
  </xdr:twoCellAnchor>
  <xdr:twoCellAnchor editAs="oneCell">
    <xdr:from>
      <xdr:col>1</xdr:col>
      <xdr:colOff>25400</xdr:colOff>
      <xdr:row>52</xdr:row>
      <xdr:rowOff>0</xdr:rowOff>
    </xdr:from>
    <xdr:to>
      <xdr:col>1</xdr:col>
      <xdr:colOff>1882488</xdr:colOff>
      <xdr:row>57</xdr:row>
      <xdr:rowOff>98594</xdr:rowOff>
    </xdr:to>
    <xdr:pic>
      <xdr:nvPicPr>
        <xdr:cNvPr id="29" name="Picture 28">
          <a:hlinkClick xmlns:r="http://schemas.openxmlformats.org/officeDocument/2006/relationships" r:id="rId16"/>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7"/>
        <a:stretch>
          <a:fillRect/>
        </a:stretch>
      </xdr:blipFill>
      <xdr:spPr>
        <a:xfrm>
          <a:off x="57150" y="10782300"/>
          <a:ext cx="1857088" cy="1038395"/>
        </a:xfrm>
        <a:prstGeom prst="rect">
          <a:avLst/>
        </a:prstGeom>
      </xdr:spPr>
    </xdr:pic>
    <xdr:clientData/>
  </xdr:twoCellAnchor>
  <xdr:twoCellAnchor editAs="oneCell">
    <xdr:from>
      <xdr:col>1</xdr:col>
      <xdr:colOff>57150</xdr:colOff>
      <xdr:row>69</xdr:row>
      <xdr:rowOff>25400</xdr:rowOff>
    </xdr:from>
    <xdr:to>
      <xdr:col>1</xdr:col>
      <xdr:colOff>2016730</xdr:colOff>
      <xdr:row>76</xdr:row>
      <xdr:rowOff>121026</xdr:rowOff>
    </xdr:to>
    <xdr:pic>
      <xdr:nvPicPr>
        <xdr:cNvPr id="30" name="Picture 29">
          <a:hlinkClick xmlns:r="http://schemas.openxmlformats.org/officeDocument/2006/relationships" r:id="rId18"/>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9"/>
        <a:stretch>
          <a:fillRect/>
        </a:stretch>
      </xdr:blipFill>
      <xdr:spPr>
        <a:xfrm>
          <a:off x="88900" y="14046200"/>
          <a:ext cx="1959580" cy="1213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xdr:colOff>
      <xdr:row>123</xdr:row>
      <xdr:rowOff>76200</xdr:rowOff>
    </xdr:from>
    <xdr:to>
      <xdr:col>12</xdr:col>
      <xdr:colOff>561975</xdr:colOff>
      <xdr:row>149</xdr:row>
      <xdr:rowOff>19050</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33280350" y="7410450"/>
          <a:ext cx="4972050" cy="43434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23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1.16V x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- 1.16V)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1.16V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- 1.16V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1.16V + (R1 x  </a:t>
          </a:r>
          <a:r>
            <a:rPr lang="en-US" sz="1000" b="0" i="0" u="sng" strike="noStrike" baseline="0">
              <a:solidFill>
                <a:srgbClr val="000000"/>
              </a:solidFill>
              <a:latin typeface="Arial"/>
              <a:cs typeface="Arial"/>
            </a:rPr>
            <a:t>( 1.16V     </a:t>
          </a:r>
          <a:r>
            <a:rPr lang="en-US" sz="1000" b="0" i="0" u="none" strike="noStrike" baseline="0">
              <a:solidFill>
                <a:srgbClr val="000000"/>
              </a:solidFill>
              <a:latin typeface="Arial"/>
              <a:cs typeface="Arial"/>
            </a:rPr>
            <a:t> +  23uA)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1.16V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1.16V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1.16V)</a:t>
          </a:r>
          <a:r>
            <a:rPr lang="en-US" sz="1000" b="0" i="0" u="none" strike="noStrike" baseline="0">
              <a:solidFill>
                <a:srgbClr val="000000"/>
              </a:solidFill>
              <a:latin typeface="Arial"/>
              <a:cs typeface="Arial"/>
            </a:rPr>
            <a:t>  -  23uA)) + 1.16V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174</xdr:row>
      <xdr:rowOff>133350</xdr:rowOff>
    </xdr:from>
    <xdr:to>
      <xdr:col>9</xdr:col>
      <xdr:colOff>276225</xdr:colOff>
      <xdr:row>185</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 val="Device Parmaters"/>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pdf/slva673" TargetMode="External"/><Relationship Id="rId1" Type="http://schemas.openxmlformats.org/officeDocument/2006/relationships/hyperlink" Target="http://www.ti.com/lit/gpn/lm2506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9733745001" TargetMode="External"/><Relationship Id="rId13" Type="http://schemas.openxmlformats.org/officeDocument/2006/relationships/hyperlink" Target="https://training.ti.com/node/1133677" TargetMode="External"/><Relationship Id="rId18" Type="http://schemas.openxmlformats.org/officeDocument/2006/relationships/drawing" Target="../drawings/drawing2.xml"/><Relationship Id="rId3" Type="http://schemas.openxmlformats.org/officeDocument/2006/relationships/hyperlink" Target="https://training.ti.com/node/1133677" TargetMode="External"/><Relationship Id="rId7" Type="http://schemas.openxmlformats.org/officeDocument/2006/relationships/hyperlink" Target="https://training.ti.com/node/1133681" TargetMode="External"/><Relationship Id="rId12" Type="http://schemas.openxmlformats.org/officeDocument/2006/relationships/hyperlink" Target="http://www.ti.com/product/LM25066" TargetMode="External"/><Relationship Id="rId17" Type="http://schemas.openxmlformats.org/officeDocument/2006/relationships/printerSettings" Target="../printerSettings/printerSettings1.bin"/><Relationship Id="rId2" Type="http://schemas.openxmlformats.org/officeDocument/2006/relationships/hyperlink" Target="http://e2e.ti.com/" TargetMode="External"/><Relationship Id="rId16" Type="http://schemas.openxmlformats.org/officeDocument/2006/relationships/hyperlink" Target="https://training.ti.com/node/1133681" TargetMode="External"/><Relationship Id="rId20" Type="http://schemas.openxmlformats.org/officeDocument/2006/relationships/comments" Target="../comments1.xml"/><Relationship Id="rId1" Type="http://schemas.openxmlformats.org/officeDocument/2006/relationships/hyperlink" Target="http://www.ti.com/hotswap" TargetMode="External"/><Relationship Id="rId6" Type="http://schemas.openxmlformats.org/officeDocument/2006/relationships/hyperlink" Target="https://training.ti.com/node/1133664" TargetMode="External"/><Relationship Id="rId11" Type="http://schemas.openxmlformats.org/officeDocument/2006/relationships/hyperlink" Target="http://www.ti.com/general/docs/video/watch.tsp?entryid=4607940999001" TargetMode="External"/><Relationship Id="rId5" Type="http://schemas.openxmlformats.org/officeDocument/2006/relationships/hyperlink" Target="https://training.ti.com/node/1133673" TargetMode="External"/><Relationship Id="rId15" Type="http://schemas.openxmlformats.org/officeDocument/2006/relationships/hyperlink" Target="https://training.ti.com/node/1133664" TargetMode="External"/><Relationship Id="rId10" Type="http://schemas.openxmlformats.org/officeDocument/2006/relationships/hyperlink" Target="http://www.ti.com/general/docs/video/watch.tsp?entryid=4609077027001" TargetMode="External"/><Relationship Id="rId19" Type="http://schemas.openxmlformats.org/officeDocument/2006/relationships/vmlDrawing" Target="../drawings/vmlDrawing1.v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077122001"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7"/>
  <sheetViews>
    <sheetView workbookViewId="0"/>
  </sheetViews>
  <sheetFormatPr defaultRowHeight="13.2" x14ac:dyDescent="0.25"/>
  <sheetData>
    <row r="1" spans="1:16" ht="13.8" thickTop="1" x14ac:dyDescent="0.25">
      <c r="A1" s="213"/>
      <c r="B1" s="214"/>
      <c r="C1" s="214"/>
      <c r="D1" s="214"/>
      <c r="E1" s="214"/>
      <c r="F1" s="214"/>
      <c r="G1" s="214"/>
      <c r="H1" s="214"/>
      <c r="I1" s="214"/>
      <c r="J1" s="214"/>
      <c r="K1" s="214"/>
      <c r="L1" s="214"/>
      <c r="M1" s="214"/>
      <c r="N1" s="214"/>
      <c r="O1" s="214"/>
      <c r="P1" s="215"/>
    </row>
    <row r="2" spans="1:16" x14ac:dyDescent="0.25">
      <c r="A2" s="216"/>
      <c r="B2" s="217"/>
      <c r="C2" s="217"/>
      <c r="D2" s="217"/>
      <c r="E2" s="217"/>
      <c r="F2" s="217"/>
      <c r="G2" s="217"/>
      <c r="H2" s="217"/>
      <c r="I2" s="217"/>
      <c r="J2" s="217"/>
      <c r="K2" s="217"/>
      <c r="L2" s="217"/>
      <c r="M2" s="217"/>
      <c r="N2" s="217"/>
      <c r="O2" s="217"/>
      <c r="P2" s="218"/>
    </row>
    <row r="3" spans="1:16" ht="30" x14ac:dyDescent="0.5">
      <c r="A3" s="216"/>
      <c r="B3" s="217"/>
      <c r="C3" s="217"/>
      <c r="D3" s="219"/>
      <c r="E3" s="217"/>
      <c r="F3" s="217"/>
      <c r="G3" s="217"/>
      <c r="H3" s="217"/>
      <c r="I3" s="217"/>
      <c r="J3" s="217"/>
      <c r="K3" s="217"/>
      <c r="L3" s="220"/>
      <c r="M3" s="217"/>
      <c r="N3" s="217"/>
      <c r="O3" s="217"/>
      <c r="P3" s="218"/>
    </row>
    <row r="4" spans="1:16" ht="22.8" x14ac:dyDescent="0.4">
      <c r="A4" s="216"/>
      <c r="B4" s="217"/>
      <c r="C4" s="217"/>
      <c r="D4" s="221"/>
      <c r="E4" s="217"/>
      <c r="F4" s="217"/>
      <c r="G4" s="217"/>
      <c r="H4" s="217"/>
      <c r="I4" s="217"/>
      <c r="J4" s="217"/>
      <c r="K4" s="217"/>
      <c r="L4" s="217"/>
      <c r="M4" s="217"/>
      <c r="N4" s="217"/>
      <c r="O4" s="217"/>
      <c r="P4" s="218"/>
    </row>
    <row r="5" spans="1:16" x14ac:dyDescent="0.25">
      <c r="A5" s="216"/>
      <c r="B5" s="217"/>
      <c r="C5" s="217"/>
      <c r="D5" s="217"/>
      <c r="E5" s="217"/>
      <c r="F5" s="217"/>
      <c r="G5" s="217"/>
      <c r="H5" s="217"/>
      <c r="I5" s="217"/>
      <c r="J5" s="217"/>
      <c r="K5" s="217"/>
      <c r="L5" s="217"/>
      <c r="M5" s="217"/>
      <c r="N5" s="217"/>
      <c r="O5" s="217"/>
      <c r="P5" s="218"/>
    </row>
    <row r="6" spans="1:16" x14ac:dyDescent="0.25">
      <c r="A6" s="216"/>
      <c r="B6" s="217"/>
      <c r="C6" s="217"/>
      <c r="D6" s="217"/>
      <c r="E6" s="217"/>
      <c r="F6" s="217"/>
      <c r="G6" s="217"/>
      <c r="H6" s="217"/>
      <c r="I6" s="217"/>
      <c r="J6" s="217"/>
      <c r="K6" s="217"/>
      <c r="L6" s="217"/>
      <c r="M6" s="217"/>
      <c r="N6" s="217"/>
      <c r="O6" s="217"/>
      <c r="P6" s="218"/>
    </row>
    <row r="7" spans="1:16" ht="15.6" x14ac:dyDescent="0.3">
      <c r="A7" s="216"/>
      <c r="B7" s="217"/>
      <c r="C7" s="217"/>
      <c r="D7" s="217"/>
      <c r="E7" s="217"/>
      <c r="F7" s="217"/>
      <c r="G7" s="217"/>
      <c r="H7" s="217"/>
      <c r="I7" s="217"/>
      <c r="J7" s="217"/>
      <c r="K7" s="217"/>
      <c r="L7" s="217"/>
      <c r="M7" s="220" t="s">
        <v>497</v>
      </c>
      <c r="N7" s="217"/>
      <c r="O7" s="217"/>
      <c r="P7" s="218"/>
    </row>
    <row r="8" spans="1:16" ht="30" x14ac:dyDescent="0.5">
      <c r="A8" s="216"/>
      <c r="B8" s="219" t="s">
        <v>516</v>
      </c>
      <c r="C8" s="217"/>
      <c r="D8" s="217"/>
      <c r="E8" s="217"/>
      <c r="F8" s="217"/>
      <c r="G8" s="217"/>
      <c r="H8" s="217"/>
      <c r="I8" s="217"/>
      <c r="J8" s="217"/>
      <c r="K8" s="217"/>
      <c r="L8" s="217"/>
      <c r="M8" s="217"/>
      <c r="N8" s="217"/>
      <c r="O8" s="217"/>
      <c r="P8" s="218"/>
    </row>
    <row r="9" spans="1:16" x14ac:dyDescent="0.25">
      <c r="A9" s="216"/>
      <c r="B9" s="217"/>
      <c r="C9" s="217"/>
      <c r="D9" s="217"/>
      <c r="E9" s="217"/>
      <c r="F9" s="217"/>
      <c r="G9" s="217"/>
      <c r="H9" s="217"/>
      <c r="I9" s="217"/>
      <c r="J9" s="217"/>
      <c r="K9" s="217"/>
      <c r="L9" s="217"/>
      <c r="M9" s="217"/>
      <c r="N9" s="217"/>
      <c r="O9" s="217"/>
      <c r="P9" s="218"/>
    </row>
    <row r="10" spans="1:16" ht="20.399999999999999" x14ac:dyDescent="0.35">
      <c r="A10" s="216"/>
      <c r="B10" s="222" t="s">
        <v>459</v>
      </c>
      <c r="C10" s="223"/>
      <c r="D10" s="223"/>
      <c r="E10" s="223"/>
      <c r="F10" s="217"/>
      <c r="G10" s="217"/>
      <c r="H10" s="217"/>
      <c r="I10" s="217"/>
      <c r="J10" s="217"/>
      <c r="K10" s="217"/>
      <c r="L10" s="217"/>
      <c r="M10" s="217"/>
      <c r="N10" s="217"/>
      <c r="O10" s="217"/>
      <c r="P10" s="218"/>
    </row>
    <row r="11" spans="1:16" ht="13.8" x14ac:dyDescent="0.25">
      <c r="A11" s="216"/>
      <c r="B11" s="224" t="s">
        <v>460</v>
      </c>
      <c r="C11" s="225"/>
      <c r="D11" s="225"/>
      <c r="E11" s="225"/>
      <c r="F11" s="217"/>
      <c r="G11" s="217"/>
      <c r="H11" s="217"/>
      <c r="I11" s="217"/>
      <c r="J11" s="217"/>
      <c r="K11" s="217"/>
      <c r="L11" s="217"/>
      <c r="M11" s="217"/>
      <c r="N11" s="217"/>
      <c r="O11" s="217"/>
      <c r="P11" s="218"/>
    </row>
    <row r="12" spans="1:16" ht="13.8" x14ac:dyDescent="0.25">
      <c r="A12" s="216"/>
      <c r="B12" s="224" t="s">
        <v>461</v>
      </c>
      <c r="C12" s="225"/>
      <c r="D12" s="225"/>
      <c r="E12" s="225"/>
      <c r="F12" s="217"/>
      <c r="G12" s="217"/>
      <c r="H12" s="217"/>
      <c r="I12" s="217"/>
      <c r="J12" s="217"/>
      <c r="K12" s="217"/>
      <c r="L12" s="217"/>
      <c r="M12" s="217"/>
      <c r="N12" s="217"/>
      <c r="O12" s="217"/>
      <c r="P12" s="218"/>
    </row>
    <row r="13" spans="1:16" ht="13.8" x14ac:dyDescent="0.25">
      <c r="A13" s="216"/>
      <c r="B13" s="224"/>
      <c r="C13" s="225"/>
      <c r="D13" s="225"/>
      <c r="E13" s="225"/>
      <c r="F13" s="217"/>
      <c r="G13" s="217"/>
      <c r="H13" s="217"/>
      <c r="I13" s="217"/>
      <c r="J13" s="217"/>
      <c r="K13" s="217"/>
      <c r="L13" s="217"/>
      <c r="M13" s="217"/>
      <c r="N13" s="217"/>
      <c r="O13" s="217"/>
      <c r="P13" s="218"/>
    </row>
    <row r="14" spans="1:16" x14ac:dyDescent="0.25">
      <c r="A14" s="216"/>
      <c r="B14" s="342" t="s">
        <v>496</v>
      </c>
      <c r="C14" s="342"/>
      <c r="D14" s="342"/>
      <c r="E14" s="223"/>
      <c r="F14" s="217"/>
      <c r="G14" s="217"/>
      <c r="H14" s="217"/>
      <c r="I14" s="217"/>
      <c r="J14" s="217"/>
      <c r="K14" s="217"/>
      <c r="L14" s="217"/>
      <c r="M14" s="217"/>
      <c r="N14" s="217"/>
      <c r="O14" s="217"/>
      <c r="P14" s="218"/>
    </row>
    <row r="15" spans="1:16" x14ac:dyDescent="0.25">
      <c r="A15" s="216"/>
      <c r="B15" s="332" t="s">
        <v>475</v>
      </c>
      <c r="C15" s="332"/>
      <c r="D15" s="332"/>
      <c r="E15" s="332"/>
      <c r="F15" s="332"/>
      <c r="G15" s="332"/>
      <c r="H15" s="332"/>
      <c r="I15" s="332"/>
      <c r="J15" s="217"/>
      <c r="K15" s="217"/>
      <c r="L15" s="217"/>
      <c r="M15" s="217"/>
      <c r="N15" s="217"/>
      <c r="O15" s="217"/>
      <c r="P15" s="218"/>
    </row>
    <row r="16" spans="1:16" x14ac:dyDescent="0.25">
      <c r="A16" s="216"/>
      <c r="B16" s="223"/>
      <c r="C16" s="223"/>
      <c r="D16" s="223"/>
      <c r="E16" s="223"/>
      <c r="F16" s="217"/>
      <c r="G16" s="217"/>
      <c r="H16" s="217"/>
      <c r="I16" s="217"/>
      <c r="J16" s="217"/>
      <c r="K16" s="217"/>
      <c r="L16" s="217"/>
      <c r="M16" s="217"/>
      <c r="N16" s="217"/>
      <c r="O16" s="217"/>
      <c r="P16" s="218"/>
    </row>
    <row r="17" spans="1:16" x14ac:dyDescent="0.25">
      <c r="A17" s="216"/>
      <c r="B17" s="226" t="s">
        <v>462</v>
      </c>
      <c r="C17" s="223"/>
      <c r="D17" s="223"/>
      <c r="E17" s="223"/>
      <c r="F17" s="217"/>
      <c r="G17" s="217"/>
      <c r="H17" s="217"/>
      <c r="I17" s="217"/>
      <c r="J17" s="217"/>
      <c r="K17" s="217"/>
      <c r="L17" s="217"/>
      <c r="M17" s="217"/>
      <c r="N17" s="217"/>
      <c r="O17" s="217"/>
      <c r="P17" s="218"/>
    </row>
    <row r="18" spans="1:16" x14ac:dyDescent="0.25">
      <c r="A18" s="216"/>
      <c r="B18" s="227" t="s">
        <v>463</v>
      </c>
      <c r="C18" s="223"/>
      <c r="D18" s="223"/>
      <c r="E18" s="223"/>
      <c r="F18" s="217"/>
      <c r="G18" s="217"/>
      <c r="H18" s="217"/>
      <c r="I18" s="217"/>
      <c r="J18" s="217"/>
      <c r="K18" s="217"/>
      <c r="L18" s="217"/>
      <c r="M18" s="217"/>
      <c r="N18" s="217"/>
      <c r="O18" s="217"/>
      <c r="P18" s="218"/>
    </row>
    <row r="19" spans="1:16" x14ac:dyDescent="0.25">
      <c r="A19" s="216"/>
      <c r="B19" s="227" t="s">
        <v>464</v>
      </c>
      <c r="C19" s="223"/>
      <c r="D19" s="223"/>
      <c r="E19" s="223"/>
      <c r="F19" s="217"/>
      <c r="G19" s="217"/>
      <c r="H19" s="217"/>
      <c r="I19" s="217"/>
      <c r="J19" s="217"/>
      <c r="K19" s="217"/>
      <c r="L19" s="217"/>
      <c r="M19" s="217"/>
      <c r="N19" s="217"/>
      <c r="O19" s="217"/>
      <c r="P19" s="218"/>
    </row>
    <row r="20" spans="1:16" x14ac:dyDescent="0.25">
      <c r="A20" s="216"/>
      <c r="B20" s="227" t="s">
        <v>465</v>
      </c>
      <c r="C20" s="223"/>
      <c r="D20" s="223"/>
      <c r="E20" s="223"/>
      <c r="F20" s="217"/>
      <c r="G20" s="217"/>
      <c r="H20" s="217"/>
      <c r="I20" s="217"/>
      <c r="J20" s="217"/>
      <c r="K20" s="217"/>
      <c r="L20" s="217"/>
      <c r="M20" s="217"/>
      <c r="N20" s="217"/>
      <c r="O20" s="217"/>
      <c r="P20" s="218"/>
    </row>
    <row r="21" spans="1:16" x14ac:dyDescent="0.25">
      <c r="A21" s="216"/>
      <c r="B21" s="227" t="s">
        <v>466</v>
      </c>
      <c r="C21" s="223"/>
      <c r="D21" s="223"/>
      <c r="E21" s="223"/>
      <c r="F21" s="217"/>
      <c r="G21" s="217"/>
      <c r="H21" s="217"/>
      <c r="I21" s="217"/>
      <c r="J21" s="217"/>
      <c r="K21" s="217"/>
      <c r="L21" s="217"/>
      <c r="M21" s="217"/>
      <c r="N21" s="217"/>
      <c r="O21" s="217"/>
      <c r="P21" s="218"/>
    </row>
    <row r="22" spans="1:16" x14ac:dyDescent="0.25">
      <c r="A22" s="216"/>
      <c r="B22" s="227" t="s">
        <v>467</v>
      </c>
      <c r="C22" s="223"/>
      <c r="D22" s="223"/>
      <c r="E22" s="223"/>
      <c r="F22" s="217"/>
      <c r="G22" s="217"/>
      <c r="H22" s="217"/>
      <c r="I22" s="217"/>
      <c r="J22" s="217"/>
      <c r="K22" s="217"/>
      <c r="L22" s="217"/>
      <c r="M22" s="217"/>
      <c r="N22" s="217"/>
      <c r="O22" s="217"/>
      <c r="P22" s="218"/>
    </row>
    <row r="23" spans="1:16" x14ac:dyDescent="0.25">
      <c r="A23" s="216"/>
      <c r="B23" s="227" t="s">
        <v>468</v>
      </c>
      <c r="C23" s="223"/>
      <c r="D23" s="223"/>
      <c r="E23" s="223"/>
      <c r="F23" s="217"/>
      <c r="G23" s="217"/>
      <c r="H23" s="217"/>
      <c r="I23" s="217"/>
      <c r="J23" s="217"/>
      <c r="K23" s="217"/>
      <c r="L23" s="217"/>
      <c r="M23" s="217"/>
      <c r="N23" s="217"/>
      <c r="O23" s="217"/>
      <c r="P23" s="218"/>
    </row>
    <row r="24" spans="1:16" x14ac:dyDescent="0.25">
      <c r="A24" s="216"/>
      <c r="B24" s="227" t="s">
        <v>469</v>
      </c>
      <c r="C24" s="223"/>
      <c r="D24" s="223"/>
      <c r="E24" s="223"/>
      <c r="F24" s="217"/>
      <c r="G24" s="217"/>
      <c r="H24" s="217"/>
      <c r="I24" s="217"/>
      <c r="J24" s="217"/>
      <c r="K24" s="217"/>
      <c r="L24" s="217"/>
      <c r="M24" s="217"/>
      <c r="N24" s="217"/>
      <c r="O24" s="217"/>
      <c r="P24" s="218"/>
    </row>
    <row r="25" spans="1:16" x14ac:dyDescent="0.25">
      <c r="A25" s="216"/>
      <c r="B25" s="227"/>
      <c r="C25" s="223"/>
      <c r="D25" s="223"/>
      <c r="E25" s="223"/>
      <c r="F25" s="217"/>
      <c r="G25" s="217"/>
      <c r="H25" s="217"/>
      <c r="I25" s="217"/>
      <c r="J25" s="217"/>
      <c r="K25" s="217"/>
      <c r="L25" s="217"/>
      <c r="M25" s="217"/>
      <c r="N25" s="217"/>
      <c r="O25" s="217"/>
      <c r="P25" s="218"/>
    </row>
    <row r="26" spans="1:16" ht="20.399999999999999" x14ac:dyDescent="0.35">
      <c r="A26" s="216"/>
      <c r="B26" s="222" t="s">
        <v>470</v>
      </c>
      <c r="C26" s="217"/>
      <c r="D26" s="217"/>
      <c r="E26" s="217"/>
      <c r="F26" s="217"/>
      <c r="G26" s="217"/>
      <c r="H26" s="217"/>
      <c r="I26" s="217"/>
      <c r="J26" s="217"/>
      <c r="K26" s="217"/>
      <c r="L26" s="217"/>
      <c r="M26" s="217"/>
      <c r="N26" s="217"/>
      <c r="O26" s="217"/>
      <c r="P26" s="218"/>
    </row>
    <row r="27" spans="1:16" x14ac:dyDescent="0.25">
      <c r="A27" s="216"/>
      <c r="B27" s="231" t="s">
        <v>471</v>
      </c>
      <c r="C27" s="217"/>
      <c r="D27" s="217"/>
      <c r="E27" s="217"/>
      <c r="F27" s="217"/>
      <c r="G27" s="217"/>
      <c r="H27" s="217"/>
      <c r="I27" s="217"/>
      <c r="J27" s="217"/>
      <c r="K27" s="217"/>
      <c r="L27" s="217"/>
      <c r="M27" s="217"/>
      <c r="N27" s="217"/>
      <c r="O27" s="217"/>
      <c r="P27" s="218"/>
    </row>
    <row r="28" spans="1:16" x14ac:dyDescent="0.25">
      <c r="A28" s="216"/>
      <c r="B28" s="217" t="s">
        <v>472</v>
      </c>
      <c r="C28" s="217"/>
      <c r="D28" s="217"/>
      <c r="E28" s="217"/>
      <c r="F28" s="217"/>
      <c r="G28" s="217"/>
      <c r="H28" s="217"/>
      <c r="I28" s="217"/>
      <c r="J28" s="217"/>
      <c r="K28" s="217"/>
      <c r="L28" s="217"/>
      <c r="M28" s="217"/>
      <c r="N28" s="217"/>
      <c r="O28" s="217"/>
      <c r="P28" s="218"/>
    </row>
    <row r="29" spans="1:16" x14ac:dyDescent="0.25">
      <c r="A29" s="216"/>
      <c r="B29" s="217"/>
      <c r="C29" s="217"/>
      <c r="D29" s="217"/>
      <c r="E29" s="217"/>
      <c r="F29" s="217"/>
      <c r="G29" s="217"/>
      <c r="H29" s="217"/>
      <c r="I29" s="217"/>
      <c r="J29" s="217"/>
      <c r="K29" s="217"/>
      <c r="L29" s="217"/>
      <c r="M29" s="217"/>
      <c r="N29" s="217"/>
      <c r="O29" s="217"/>
      <c r="P29" s="218"/>
    </row>
    <row r="30" spans="1:16" x14ac:dyDescent="0.25">
      <c r="A30" s="216"/>
      <c r="B30" s="231" t="s">
        <v>473</v>
      </c>
      <c r="C30" s="217"/>
      <c r="D30" s="217"/>
      <c r="E30" s="217"/>
      <c r="F30" s="217"/>
      <c r="G30" s="217"/>
      <c r="H30" s="217"/>
      <c r="I30" s="217"/>
      <c r="J30" s="217"/>
      <c r="K30" s="217"/>
      <c r="L30" s="217"/>
      <c r="M30" s="217"/>
      <c r="N30" s="217"/>
      <c r="O30" s="217"/>
      <c r="P30" s="218"/>
    </row>
    <row r="31" spans="1:16" x14ac:dyDescent="0.25">
      <c r="A31" s="216"/>
      <c r="B31" s="217"/>
      <c r="C31" s="217"/>
      <c r="D31" s="217"/>
      <c r="E31" s="217"/>
      <c r="F31" s="217"/>
      <c r="G31" s="217"/>
      <c r="H31" s="217"/>
      <c r="I31" s="217"/>
      <c r="J31" s="217"/>
      <c r="K31" s="217"/>
      <c r="L31" s="217"/>
      <c r="M31" s="217"/>
      <c r="N31" s="217"/>
      <c r="O31" s="217"/>
      <c r="P31" s="218"/>
    </row>
    <row r="32" spans="1:16" x14ac:dyDescent="0.25">
      <c r="A32" s="216"/>
      <c r="B32" s="217" t="s">
        <v>474</v>
      </c>
      <c r="C32" s="217"/>
      <c r="D32" s="217"/>
      <c r="E32" s="217"/>
      <c r="F32" s="217"/>
      <c r="G32" s="217"/>
      <c r="H32" s="217"/>
      <c r="I32" s="217"/>
      <c r="J32" s="217"/>
      <c r="K32" s="217"/>
      <c r="L32" s="217"/>
      <c r="M32" s="217"/>
      <c r="N32" s="217"/>
      <c r="O32" s="217"/>
      <c r="P32" s="218"/>
    </row>
    <row r="33" spans="1:16" ht="13.8" thickBot="1" x14ac:dyDescent="0.3">
      <c r="A33" s="216"/>
      <c r="B33" s="231"/>
      <c r="C33" s="217"/>
      <c r="D33" s="217"/>
      <c r="E33" s="217"/>
      <c r="F33" s="217"/>
      <c r="G33" s="217"/>
      <c r="H33" s="217"/>
      <c r="I33" s="217"/>
      <c r="J33" s="217"/>
      <c r="K33" s="217"/>
      <c r="L33" s="217"/>
      <c r="M33" s="217"/>
      <c r="N33" s="217"/>
      <c r="O33" s="217"/>
      <c r="P33" s="218"/>
    </row>
    <row r="34" spans="1:16" x14ac:dyDescent="0.25">
      <c r="A34" s="216"/>
      <c r="B34" s="333" t="s">
        <v>491</v>
      </c>
      <c r="C34" s="334"/>
      <c r="D34" s="334"/>
      <c r="E34" s="334"/>
      <c r="F34" s="334"/>
      <c r="G34" s="334"/>
      <c r="H34" s="334"/>
      <c r="I34" s="334"/>
      <c r="J34" s="334"/>
      <c r="K34" s="334"/>
      <c r="L34" s="334"/>
      <c r="M34" s="335"/>
      <c r="N34" s="217"/>
      <c r="O34" s="217"/>
      <c r="P34" s="218"/>
    </row>
    <row r="35" spans="1:16" x14ac:dyDescent="0.25">
      <c r="A35" s="216"/>
      <c r="B35" s="336"/>
      <c r="C35" s="337"/>
      <c r="D35" s="337"/>
      <c r="E35" s="337"/>
      <c r="F35" s="337"/>
      <c r="G35" s="337"/>
      <c r="H35" s="337"/>
      <c r="I35" s="337"/>
      <c r="J35" s="337"/>
      <c r="K35" s="337"/>
      <c r="L35" s="337"/>
      <c r="M35" s="338"/>
      <c r="N35" s="217"/>
      <c r="O35" s="217"/>
      <c r="P35" s="218"/>
    </row>
    <row r="36" spans="1:16" x14ac:dyDescent="0.25">
      <c r="A36" s="216"/>
      <c r="B36" s="336"/>
      <c r="C36" s="337"/>
      <c r="D36" s="337"/>
      <c r="E36" s="337"/>
      <c r="F36" s="337"/>
      <c r="G36" s="337"/>
      <c r="H36" s="337"/>
      <c r="I36" s="337"/>
      <c r="J36" s="337"/>
      <c r="K36" s="337"/>
      <c r="L36" s="337"/>
      <c r="M36" s="338"/>
      <c r="N36" s="217"/>
      <c r="O36" s="217"/>
      <c r="P36" s="218"/>
    </row>
    <row r="37" spans="1:16" x14ac:dyDescent="0.25">
      <c r="A37" s="216"/>
      <c r="B37" s="336"/>
      <c r="C37" s="337"/>
      <c r="D37" s="337"/>
      <c r="E37" s="337"/>
      <c r="F37" s="337"/>
      <c r="G37" s="337"/>
      <c r="H37" s="337"/>
      <c r="I37" s="337"/>
      <c r="J37" s="337"/>
      <c r="K37" s="337"/>
      <c r="L37" s="337"/>
      <c r="M37" s="338"/>
      <c r="N37" s="217"/>
      <c r="O37" s="217"/>
      <c r="P37" s="218"/>
    </row>
    <row r="38" spans="1:16" x14ac:dyDescent="0.25">
      <c r="A38" s="216"/>
      <c r="B38" s="336"/>
      <c r="C38" s="337"/>
      <c r="D38" s="337"/>
      <c r="E38" s="337"/>
      <c r="F38" s="337"/>
      <c r="G38" s="337"/>
      <c r="H38" s="337"/>
      <c r="I38" s="337"/>
      <c r="J38" s="337"/>
      <c r="K38" s="337"/>
      <c r="L38" s="337"/>
      <c r="M38" s="338"/>
      <c r="N38" s="217"/>
      <c r="O38" s="217"/>
      <c r="P38" s="218"/>
    </row>
    <row r="39" spans="1:16" x14ac:dyDescent="0.25">
      <c r="A39" s="216"/>
      <c r="B39" s="336"/>
      <c r="C39" s="337"/>
      <c r="D39" s="337"/>
      <c r="E39" s="337"/>
      <c r="F39" s="337"/>
      <c r="G39" s="337"/>
      <c r="H39" s="337"/>
      <c r="I39" s="337"/>
      <c r="J39" s="337"/>
      <c r="K39" s="337"/>
      <c r="L39" s="337"/>
      <c r="M39" s="338"/>
      <c r="N39" s="217"/>
      <c r="O39" s="217"/>
      <c r="P39" s="218"/>
    </row>
    <row r="40" spans="1:16" x14ac:dyDescent="0.25">
      <c r="A40" s="216"/>
      <c r="B40" s="336"/>
      <c r="C40" s="337"/>
      <c r="D40" s="337"/>
      <c r="E40" s="337"/>
      <c r="F40" s="337"/>
      <c r="G40" s="337"/>
      <c r="H40" s="337"/>
      <c r="I40" s="337"/>
      <c r="J40" s="337"/>
      <c r="K40" s="337"/>
      <c r="L40" s="337"/>
      <c r="M40" s="338"/>
      <c r="N40" s="217"/>
      <c r="O40" s="217"/>
      <c r="P40" s="218"/>
    </row>
    <row r="41" spans="1:16" x14ac:dyDescent="0.25">
      <c r="A41" s="216"/>
      <c r="B41" s="336"/>
      <c r="C41" s="337"/>
      <c r="D41" s="337"/>
      <c r="E41" s="337"/>
      <c r="F41" s="337"/>
      <c r="G41" s="337"/>
      <c r="H41" s="337"/>
      <c r="I41" s="337"/>
      <c r="J41" s="337"/>
      <c r="K41" s="337"/>
      <c r="L41" s="337"/>
      <c r="M41" s="338"/>
      <c r="N41" s="217"/>
      <c r="O41" s="217"/>
      <c r="P41" s="218"/>
    </row>
    <row r="42" spans="1:16" x14ac:dyDescent="0.25">
      <c r="A42" s="216"/>
      <c r="B42" s="336"/>
      <c r="C42" s="337"/>
      <c r="D42" s="337"/>
      <c r="E42" s="337"/>
      <c r="F42" s="337"/>
      <c r="G42" s="337"/>
      <c r="H42" s="337"/>
      <c r="I42" s="337"/>
      <c r="J42" s="337"/>
      <c r="K42" s="337"/>
      <c r="L42" s="337"/>
      <c r="M42" s="338"/>
      <c r="N42" s="217"/>
      <c r="O42" s="217"/>
      <c r="P42" s="218"/>
    </row>
    <row r="43" spans="1:16" x14ac:dyDescent="0.25">
      <c r="A43" s="216"/>
      <c r="B43" s="336"/>
      <c r="C43" s="337"/>
      <c r="D43" s="337"/>
      <c r="E43" s="337"/>
      <c r="F43" s="337"/>
      <c r="G43" s="337"/>
      <c r="H43" s="337"/>
      <c r="I43" s="337"/>
      <c r="J43" s="337"/>
      <c r="K43" s="337"/>
      <c r="L43" s="337"/>
      <c r="M43" s="338"/>
      <c r="N43" s="217"/>
      <c r="O43" s="217"/>
      <c r="P43" s="218"/>
    </row>
    <row r="44" spans="1:16" x14ac:dyDescent="0.25">
      <c r="A44" s="216"/>
      <c r="B44" s="336"/>
      <c r="C44" s="337"/>
      <c r="D44" s="337"/>
      <c r="E44" s="337"/>
      <c r="F44" s="337"/>
      <c r="G44" s="337"/>
      <c r="H44" s="337"/>
      <c r="I44" s="337"/>
      <c r="J44" s="337"/>
      <c r="K44" s="337"/>
      <c r="L44" s="337"/>
      <c r="M44" s="338"/>
      <c r="N44" s="217"/>
      <c r="O44" s="217"/>
      <c r="P44" s="218"/>
    </row>
    <row r="45" spans="1:16" x14ac:dyDescent="0.25">
      <c r="A45" s="216"/>
      <c r="B45" s="336"/>
      <c r="C45" s="337"/>
      <c r="D45" s="337"/>
      <c r="E45" s="337"/>
      <c r="F45" s="337"/>
      <c r="G45" s="337"/>
      <c r="H45" s="337"/>
      <c r="I45" s="337"/>
      <c r="J45" s="337"/>
      <c r="K45" s="337"/>
      <c r="L45" s="337"/>
      <c r="M45" s="338"/>
      <c r="N45" s="217"/>
      <c r="O45" s="217"/>
      <c r="P45" s="218"/>
    </row>
    <row r="46" spans="1:16" x14ac:dyDescent="0.25">
      <c r="A46" s="216"/>
      <c r="B46" s="336"/>
      <c r="C46" s="337"/>
      <c r="D46" s="337"/>
      <c r="E46" s="337"/>
      <c r="F46" s="337"/>
      <c r="G46" s="337"/>
      <c r="H46" s="337"/>
      <c r="I46" s="337"/>
      <c r="J46" s="337"/>
      <c r="K46" s="337"/>
      <c r="L46" s="337"/>
      <c r="M46" s="338"/>
      <c r="N46" s="217"/>
      <c r="O46" s="217"/>
      <c r="P46" s="218"/>
    </row>
    <row r="47" spans="1:16" x14ac:dyDescent="0.25">
      <c r="A47" s="216"/>
      <c r="B47" s="336"/>
      <c r="C47" s="337"/>
      <c r="D47" s="337"/>
      <c r="E47" s="337"/>
      <c r="F47" s="337"/>
      <c r="G47" s="337"/>
      <c r="H47" s="337"/>
      <c r="I47" s="337"/>
      <c r="J47" s="337"/>
      <c r="K47" s="337"/>
      <c r="L47" s="337"/>
      <c r="M47" s="338"/>
      <c r="N47" s="217"/>
      <c r="O47" s="217"/>
      <c r="P47" s="218"/>
    </row>
    <row r="48" spans="1:16" x14ac:dyDescent="0.25">
      <c r="A48" s="216"/>
      <c r="B48" s="336"/>
      <c r="C48" s="337"/>
      <c r="D48" s="337"/>
      <c r="E48" s="337"/>
      <c r="F48" s="337"/>
      <c r="G48" s="337"/>
      <c r="H48" s="337"/>
      <c r="I48" s="337"/>
      <c r="J48" s="337"/>
      <c r="K48" s="337"/>
      <c r="L48" s="337"/>
      <c r="M48" s="338"/>
      <c r="N48" s="217"/>
      <c r="O48" s="217"/>
      <c r="P48" s="218"/>
    </row>
    <row r="49" spans="1:16" x14ac:dyDescent="0.25">
      <c r="A49" s="216"/>
      <c r="B49" s="336"/>
      <c r="C49" s="337"/>
      <c r="D49" s="337"/>
      <c r="E49" s="337"/>
      <c r="F49" s="337"/>
      <c r="G49" s="337"/>
      <c r="H49" s="337"/>
      <c r="I49" s="337"/>
      <c r="J49" s="337"/>
      <c r="K49" s="337"/>
      <c r="L49" s="337"/>
      <c r="M49" s="338"/>
      <c r="N49" s="217"/>
      <c r="O49" s="217"/>
      <c r="P49" s="218"/>
    </row>
    <row r="50" spans="1:16" x14ac:dyDescent="0.25">
      <c r="A50" s="216"/>
      <c r="B50" s="336"/>
      <c r="C50" s="337"/>
      <c r="D50" s="337"/>
      <c r="E50" s="337"/>
      <c r="F50" s="337"/>
      <c r="G50" s="337"/>
      <c r="H50" s="337"/>
      <c r="I50" s="337"/>
      <c r="J50" s="337"/>
      <c r="K50" s="337"/>
      <c r="L50" s="337"/>
      <c r="M50" s="338"/>
      <c r="N50" s="217"/>
      <c r="O50" s="217"/>
      <c r="P50" s="218"/>
    </row>
    <row r="51" spans="1:16" x14ac:dyDescent="0.25">
      <c r="A51" s="216"/>
      <c r="B51" s="336"/>
      <c r="C51" s="337"/>
      <c r="D51" s="337"/>
      <c r="E51" s="337"/>
      <c r="F51" s="337"/>
      <c r="G51" s="337"/>
      <c r="H51" s="337"/>
      <c r="I51" s="337"/>
      <c r="J51" s="337"/>
      <c r="K51" s="337"/>
      <c r="L51" s="337"/>
      <c r="M51" s="338"/>
      <c r="N51" s="217"/>
      <c r="O51" s="217"/>
      <c r="P51" s="218"/>
    </row>
    <row r="52" spans="1:16" x14ac:dyDescent="0.25">
      <c r="A52" s="216"/>
      <c r="B52" s="336"/>
      <c r="C52" s="337"/>
      <c r="D52" s="337"/>
      <c r="E52" s="337"/>
      <c r="F52" s="337"/>
      <c r="G52" s="337"/>
      <c r="H52" s="337"/>
      <c r="I52" s="337"/>
      <c r="J52" s="337"/>
      <c r="K52" s="337"/>
      <c r="L52" s="337"/>
      <c r="M52" s="338"/>
      <c r="N52" s="217"/>
      <c r="O52" s="217"/>
      <c r="P52" s="218"/>
    </row>
    <row r="53" spans="1:16" x14ac:dyDescent="0.25">
      <c r="A53" s="216"/>
      <c r="B53" s="336"/>
      <c r="C53" s="337"/>
      <c r="D53" s="337"/>
      <c r="E53" s="337"/>
      <c r="F53" s="337"/>
      <c r="G53" s="337"/>
      <c r="H53" s="337"/>
      <c r="I53" s="337"/>
      <c r="J53" s="337"/>
      <c r="K53" s="337"/>
      <c r="L53" s="337"/>
      <c r="M53" s="338"/>
      <c r="N53" s="217"/>
      <c r="O53" s="217"/>
      <c r="P53" s="218"/>
    </row>
    <row r="54" spans="1:16" x14ac:dyDescent="0.25">
      <c r="A54" s="216"/>
      <c r="B54" s="336"/>
      <c r="C54" s="337"/>
      <c r="D54" s="337"/>
      <c r="E54" s="337"/>
      <c r="F54" s="337"/>
      <c r="G54" s="337"/>
      <c r="H54" s="337"/>
      <c r="I54" s="337"/>
      <c r="J54" s="337"/>
      <c r="K54" s="337"/>
      <c r="L54" s="337"/>
      <c r="M54" s="338"/>
      <c r="N54" s="217"/>
      <c r="O54" s="217"/>
      <c r="P54" s="218"/>
    </row>
    <row r="55" spans="1:16" x14ac:dyDescent="0.25">
      <c r="A55" s="216"/>
      <c r="B55" s="336"/>
      <c r="C55" s="337"/>
      <c r="D55" s="337"/>
      <c r="E55" s="337"/>
      <c r="F55" s="337"/>
      <c r="G55" s="337"/>
      <c r="H55" s="337"/>
      <c r="I55" s="337"/>
      <c r="J55" s="337"/>
      <c r="K55" s="337"/>
      <c r="L55" s="337"/>
      <c r="M55" s="338"/>
      <c r="N55" s="217"/>
      <c r="O55" s="217"/>
      <c r="P55" s="218"/>
    </row>
    <row r="56" spans="1:16" x14ac:dyDescent="0.25">
      <c r="A56" s="216"/>
      <c r="B56" s="336"/>
      <c r="C56" s="337"/>
      <c r="D56" s="337"/>
      <c r="E56" s="337"/>
      <c r="F56" s="337"/>
      <c r="G56" s="337"/>
      <c r="H56" s="337"/>
      <c r="I56" s="337"/>
      <c r="J56" s="337"/>
      <c r="K56" s="337"/>
      <c r="L56" s="337"/>
      <c r="M56" s="338"/>
      <c r="N56" s="217"/>
      <c r="O56" s="217"/>
      <c r="P56" s="218"/>
    </row>
    <row r="57" spans="1:16" x14ac:dyDescent="0.25">
      <c r="A57" s="216"/>
      <c r="B57" s="336"/>
      <c r="C57" s="337"/>
      <c r="D57" s="337"/>
      <c r="E57" s="337"/>
      <c r="F57" s="337"/>
      <c r="G57" s="337"/>
      <c r="H57" s="337"/>
      <c r="I57" s="337"/>
      <c r="J57" s="337"/>
      <c r="K57" s="337"/>
      <c r="L57" s="337"/>
      <c r="M57" s="338"/>
      <c r="N57" s="217"/>
      <c r="O57" s="217"/>
      <c r="P57" s="218"/>
    </row>
    <row r="58" spans="1:16" x14ac:dyDescent="0.25">
      <c r="A58" s="216"/>
      <c r="B58" s="336"/>
      <c r="C58" s="337"/>
      <c r="D58" s="337"/>
      <c r="E58" s="337"/>
      <c r="F58" s="337"/>
      <c r="G58" s="337"/>
      <c r="H58" s="337"/>
      <c r="I58" s="337"/>
      <c r="J58" s="337"/>
      <c r="K58" s="337"/>
      <c r="L58" s="337"/>
      <c r="M58" s="338"/>
      <c r="N58" s="217"/>
      <c r="O58" s="217"/>
      <c r="P58" s="218"/>
    </row>
    <row r="59" spans="1:16" x14ac:dyDescent="0.25">
      <c r="A59" s="216"/>
      <c r="B59" s="336"/>
      <c r="C59" s="337"/>
      <c r="D59" s="337"/>
      <c r="E59" s="337"/>
      <c r="F59" s="337"/>
      <c r="G59" s="337"/>
      <c r="H59" s="337"/>
      <c r="I59" s="337"/>
      <c r="J59" s="337"/>
      <c r="K59" s="337"/>
      <c r="L59" s="337"/>
      <c r="M59" s="338"/>
      <c r="N59" s="217"/>
      <c r="O59" s="217"/>
      <c r="P59" s="218"/>
    </row>
    <row r="60" spans="1:16" x14ac:dyDescent="0.25">
      <c r="A60" s="216"/>
      <c r="B60" s="336"/>
      <c r="C60" s="337"/>
      <c r="D60" s="337"/>
      <c r="E60" s="337"/>
      <c r="F60" s="337"/>
      <c r="G60" s="337"/>
      <c r="H60" s="337"/>
      <c r="I60" s="337"/>
      <c r="J60" s="337"/>
      <c r="K60" s="337"/>
      <c r="L60" s="337"/>
      <c r="M60" s="338"/>
      <c r="N60" s="217"/>
      <c r="O60" s="217"/>
      <c r="P60" s="218"/>
    </row>
    <row r="61" spans="1:16" x14ac:dyDescent="0.25">
      <c r="A61" s="216"/>
      <c r="B61" s="336"/>
      <c r="C61" s="337"/>
      <c r="D61" s="337"/>
      <c r="E61" s="337"/>
      <c r="F61" s="337"/>
      <c r="G61" s="337"/>
      <c r="H61" s="337"/>
      <c r="I61" s="337"/>
      <c r="J61" s="337"/>
      <c r="K61" s="337"/>
      <c r="L61" s="337"/>
      <c r="M61" s="338"/>
      <c r="N61" s="217"/>
      <c r="O61" s="217"/>
      <c r="P61" s="218"/>
    </row>
    <row r="62" spans="1:16" x14ac:dyDescent="0.25">
      <c r="A62" s="216"/>
      <c r="B62" s="336"/>
      <c r="C62" s="337"/>
      <c r="D62" s="337"/>
      <c r="E62" s="337"/>
      <c r="F62" s="337"/>
      <c r="G62" s="337"/>
      <c r="H62" s="337"/>
      <c r="I62" s="337"/>
      <c r="J62" s="337"/>
      <c r="K62" s="337"/>
      <c r="L62" s="337"/>
      <c r="M62" s="338"/>
      <c r="N62" s="217"/>
      <c r="O62" s="217"/>
      <c r="P62" s="218"/>
    </row>
    <row r="63" spans="1:16" x14ac:dyDescent="0.25">
      <c r="A63" s="216"/>
      <c r="B63" s="336"/>
      <c r="C63" s="337"/>
      <c r="D63" s="337"/>
      <c r="E63" s="337"/>
      <c r="F63" s="337"/>
      <c r="G63" s="337"/>
      <c r="H63" s="337"/>
      <c r="I63" s="337"/>
      <c r="J63" s="337"/>
      <c r="K63" s="337"/>
      <c r="L63" s="337"/>
      <c r="M63" s="338"/>
      <c r="N63" s="217"/>
      <c r="O63" s="217"/>
      <c r="P63" s="218"/>
    </row>
    <row r="64" spans="1:16" x14ac:dyDescent="0.25">
      <c r="A64" s="216"/>
      <c r="B64" s="336"/>
      <c r="C64" s="337"/>
      <c r="D64" s="337"/>
      <c r="E64" s="337"/>
      <c r="F64" s="337"/>
      <c r="G64" s="337"/>
      <c r="H64" s="337"/>
      <c r="I64" s="337"/>
      <c r="J64" s="337"/>
      <c r="K64" s="337"/>
      <c r="L64" s="337"/>
      <c r="M64" s="338"/>
      <c r="N64" s="217"/>
      <c r="O64" s="217"/>
      <c r="P64" s="218"/>
    </row>
    <row r="65" spans="1:16" x14ac:dyDescent="0.25">
      <c r="A65" s="216"/>
      <c r="B65" s="336"/>
      <c r="C65" s="337"/>
      <c r="D65" s="337"/>
      <c r="E65" s="337"/>
      <c r="F65" s="337"/>
      <c r="G65" s="337"/>
      <c r="H65" s="337"/>
      <c r="I65" s="337"/>
      <c r="J65" s="337"/>
      <c r="K65" s="337"/>
      <c r="L65" s="337"/>
      <c r="M65" s="338"/>
      <c r="N65" s="217"/>
      <c r="O65" s="217"/>
      <c r="P65" s="218"/>
    </row>
    <row r="66" spans="1:16" x14ac:dyDescent="0.25">
      <c r="A66" s="216"/>
      <c r="B66" s="336"/>
      <c r="C66" s="337"/>
      <c r="D66" s="337"/>
      <c r="E66" s="337"/>
      <c r="F66" s="337"/>
      <c r="G66" s="337"/>
      <c r="H66" s="337"/>
      <c r="I66" s="337"/>
      <c r="J66" s="337"/>
      <c r="K66" s="337"/>
      <c r="L66" s="337"/>
      <c r="M66" s="338"/>
      <c r="N66" s="217"/>
      <c r="O66" s="217"/>
      <c r="P66" s="218"/>
    </row>
    <row r="67" spans="1:16" x14ac:dyDescent="0.25">
      <c r="A67" s="216"/>
      <c r="B67" s="336"/>
      <c r="C67" s="337"/>
      <c r="D67" s="337"/>
      <c r="E67" s="337"/>
      <c r="F67" s="337"/>
      <c r="G67" s="337"/>
      <c r="H67" s="337"/>
      <c r="I67" s="337"/>
      <c r="J67" s="337"/>
      <c r="K67" s="337"/>
      <c r="L67" s="337"/>
      <c r="M67" s="338"/>
      <c r="N67" s="217"/>
      <c r="O67" s="217"/>
      <c r="P67" s="218"/>
    </row>
    <row r="68" spans="1:16" x14ac:dyDescent="0.25">
      <c r="A68" s="216"/>
      <c r="B68" s="336"/>
      <c r="C68" s="337"/>
      <c r="D68" s="337"/>
      <c r="E68" s="337"/>
      <c r="F68" s="337"/>
      <c r="G68" s="337"/>
      <c r="H68" s="337"/>
      <c r="I68" s="337"/>
      <c r="J68" s="337"/>
      <c r="K68" s="337"/>
      <c r="L68" s="337"/>
      <c r="M68" s="338"/>
      <c r="N68" s="217"/>
      <c r="O68" s="217"/>
      <c r="P68" s="218"/>
    </row>
    <row r="69" spans="1:16" x14ac:dyDescent="0.25">
      <c r="A69" s="216"/>
      <c r="B69" s="336"/>
      <c r="C69" s="337"/>
      <c r="D69" s="337"/>
      <c r="E69" s="337"/>
      <c r="F69" s="337"/>
      <c r="G69" s="337"/>
      <c r="H69" s="337"/>
      <c r="I69" s="337"/>
      <c r="J69" s="337"/>
      <c r="K69" s="337"/>
      <c r="L69" s="337"/>
      <c r="M69" s="338"/>
      <c r="N69" s="217"/>
      <c r="O69" s="217"/>
      <c r="P69" s="218"/>
    </row>
    <row r="70" spans="1:16" x14ac:dyDescent="0.25">
      <c r="A70" s="216"/>
      <c r="B70" s="336"/>
      <c r="C70" s="337"/>
      <c r="D70" s="337"/>
      <c r="E70" s="337"/>
      <c r="F70" s="337"/>
      <c r="G70" s="337"/>
      <c r="H70" s="337"/>
      <c r="I70" s="337"/>
      <c r="J70" s="337"/>
      <c r="K70" s="337"/>
      <c r="L70" s="337"/>
      <c r="M70" s="338"/>
      <c r="N70" s="217"/>
      <c r="O70" s="217"/>
      <c r="P70" s="218"/>
    </row>
    <row r="71" spans="1:16" x14ac:dyDescent="0.25">
      <c r="A71" s="216"/>
      <c r="B71" s="336"/>
      <c r="C71" s="337"/>
      <c r="D71" s="337"/>
      <c r="E71" s="337"/>
      <c r="F71" s="337"/>
      <c r="G71" s="337"/>
      <c r="H71" s="337"/>
      <c r="I71" s="337"/>
      <c r="J71" s="337"/>
      <c r="K71" s="337"/>
      <c r="L71" s="337"/>
      <c r="M71" s="338"/>
      <c r="N71" s="217"/>
      <c r="O71" s="217"/>
      <c r="P71" s="218"/>
    </row>
    <row r="72" spans="1:16" x14ac:dyDescent="0.25">
      <c r="A72" s="216"/>
      <c r="B72" s="336"/>
      <c r="C72" s="337"/>
      <c r="D72" s="337"/>
      <c r="E72" s="337"/>
      <c r="F72" s="337"/>
      <c r="G72" s="337"/>
      <c r="H72" s="337"/>
      <c r="I72" s="337"/>
      <c r="J72" s="337"/>
      <c r="K72" s="337"/>
      <c r="L72" s="337"/>
      <c r="M72" s="338"/>
      <c r="N72" s="217"/>
      <c r="O72" s="217"/>
      <c r="P72" s="218"/>
    </row>
    <row r="73" spans="1:16" x14ac:dyDescent="0.25">
      <c r="A73" s="216"/>
      <c r="B73" s="336"/>
      <c r="C73" s="337"/>
      <c r="D73" s="337"/>
      <c r="E73" s="337"/>
      <c r="F73" s="337"/>
      <c r="G73" s="337"/>
      <c r="H73" s="337"/>
      <c r="I73" s="337"/>
      <c r="J73" s="337"/>
      <c r="K73" s="337"/>
      <c r="L73" s="337"/>
      <c r="M73" s="338"/>
      <c r="N73" s="217"/>
      <c r="O73" s="217"/>
      <c r="P73" s="218"/>
    </row>
    <row r="74" spans="1:16" x14ac:dyDescent="0.25">
      <c r="A74" s="216"/>
      <c r="B74" s="336"/>
      <c r="C74" s="337"/>
      <c r="D74" s="337"/>
      <c r="E74" s="337"/>
      <c r="F74" s="337"/>
      <c r="G74" s="337"/>
      <c r="H74" s="337"/>
      <c r="I74" s="337"/>
      <c r="J74" s="337"/>
      <c r="K74" s="337"/>
      <c r="L74" s="337"/>
      <c r="M74" s="338"/>
      <c r="N74" s="217"/>
      <c r="O74" s="217"/>
      <c r="P74" s="218"/>
    </row>
    <row r="75" spans="1:16" x14ac:dyDescent="0.25">
      <c r="A75" s="216"/>
      <c r="B75" s="336"/>
      <c r="C75" s="337"/>
      <c r="D75" s="337"/>
      <c r="E75" s="337"/>
      <c r="F75" s="337"/>
      <c r="G75" s="337"/>
      <c r="H75" s="337"/>
      <c r="I75" s="337"/>
      <c r="J75" s="337"/>
      <c r="K75" s="337"/>
      <c r="L75" s="337"/>
      <c r="M75" s="338"/>
      <c r="N75" s="217"/>
      <c r="O75" s="217"/>
      <c r="P75" s="218"/>
    </row>
    <row r="76" spans="1:16" x14ac:dyDescent="0.25">
      <c r="A76" s="216"/>
      <c r="B76" s="336"/>
      <c r="C76" s="337"/>
      <c r="D76" s="337"/>
      <c r="E76" s="337"/>
      <c r="F76" s="337"/>
      <c r="G76" s="337"/>
      <c r="H76" s="337"/>
      <c r="I76" s="337"/>
      <c r="J76" s="337"/>
      <c r="K76" s="337"/>
      <c r="L76" s="337"/>
      <c r="M76" s="338"/>
      <c r="N76" s="217"/>
      <c r="O76" s="217"/>
      <c r="P76" s="218"/>
    </row>
    <row r="77" spans="1:16" x14ac:dyDescent="0.25">
      <c r="A77" s="216"/>
      <c r="B77" s="336"/>
      <c r="C77" s="337"/>
      <c r="D77" s="337"/>
      <c r="E77" s="337"/>
      <c r="F77" s="337"/>
      <c r="G77" s="337"/>
      <c r="H77" s="337"/>
      <c r="I77" s="337"/>
      <c r="J77" s="337"/>
      <c r="K77" s="337"/>
      <c r="L77" s="337"/>
      <c r="M77" s="338"/>
      <c r="N77" s="217"/>
      <c r="O77" s="217"/>
      <c r="P77" s="218"/>
    </row>
    <row r="78" spans="1:16" x14ac:dyDescent="0.25">
      <c r="A78" s="216"/>
      <c r="B78" s="336"/>
      <c r="C78" s="337"/>
      <c r="D78" s="337"/>
      <c r="E78" s="337"/>
      <c r="F78" s="337"/>
      <c r="G78" s="337"/>
      <c r="H78" s="337"/>
      <c r="I78" s="337"/>
      <c r="J78" s="337"/>
      <c r="K78" s="337"/>
      <c r="L78" s="337"/>
      <c r="M78" s="338"/>
      <c r="N78" s="217"/>
      <c r="O78" s="217"/>
      <c r="P78" s="218"/>
    </row>
    <row r="79" spans="1:16" x14ac:dyDescent="0.25">
      <c r="A79" s="216"/>
      <c r="B79" s="336"/>
      <c r="C79" s="337"/>
      <c r="D79" s="337"/>
      <c r="E79" s="337"/>
      <c r="F79" s="337"/>
      <c r="G79" s="337"/>
      <c r="H79" s="337"/>
      <c r="I79" s="337"/>
      <c r="J79" s="337"/>
      <c r="K79" s="337"/>
      <c r="L79" s="337"/>
      <c r="M79" s="338"/>
      <c r="N79" s="217"/>
      <c r="O79" s="217"/>
      <c r="P79" s="218"/>
    </row>
    <row r="80" spans="1:16" x14ac:dyDescent="0.25">
      <c r="A80" s="216"/>
      <c r="B80" s="336"/>
      <c r="C80" s="337"/>
      <c r="D80" s="337"/>
      <c r="E80" s="337"/>
      <c r="F80" s="337"/>
      <c r="G80" s="337"/>
      <c r="H80" s="337"/>
      <c r="I80" s="337"/>
      <c r="J80" s="337"/>
      <c r="K80" s="337"/>
      <c r="L80" s="337"/>
      <c r="M80" s="338"/>
      <c r="N80" s="217"/>
      <c r="O80" s="217"/>
      <c r="P80" s="218"/>
    </row>
    <row r="81" spans="1:16" x14ac:dyDescent="0.25">
      <c r="A81" s="216"/>
      <c r="B81" s="336"/>
      <c r="C81" s="337"/>
      <c r="D81" s="337"/>
      <c r="E81" s="337"/>
      <c r="F81" s="337"/>
      <c r="G81" s="337"/>
      <c r="H81" s="337"/>
      <c r="I81" s="337"/>
      <c r="J81" s="337"/>
      <c r="K81" s="337"/>
      <c r="L81" s="337"/>
      <c r="M81" s="338"/>
      <c r="N81" s="217"/>
      <c r="O81" s="217"/>
      <c r="P81" s="218"/>
    </row>
    <row r="82" spans="1:16" x14ac:dyDescent="0.25">
      <c r="A82" s="216"/>
      <c r="B82" s="336"/>
      <c r="C82" s="337"/>
      <c r="D82" s="337"/>
      <c r="E82" s="337"/>
      <c r="F82" s="337"/>
      <c r="G82" s="337"/>
      <c r="H82" s="337"/>
      <c r="I82" s="337"/>
      <c r="J82" s="337"/>
      <c r="K82" s="337"/>
      <c r="L82" s="337"/>
      <c r="M82" s="338"/>
      <c r="N82" s="217"/>
      <c r="O82" s="217"/>
      <c r="P82" s="218"/>
    </row>
    <row r="83" spans="1:16" x14ac:dyDescent="0.25">
      <c r="A83" s="216"/>
      <c r="B83" s="336"/>
      <c r="C83" s="337"/>
      <c r="D83" s="337"/>
      <c r="E83" s="337"/>
      <c r="F83" s="337"/>
      <c r="G83" s="337"/>
      <c r="H83" s="337"/>
      <c r="I83" s="337"/>
      <c r="J83" s="337"/>
      <c r="K83" s="337"/>
      <c r="L83" s="337"/>
      <c r="M83" s="338"/>
      <c r="N83" s="217"/>
      <c r="O83" s="217"/>
      <c r="P83" s="218"/>
    </row>
    <row r="84" spans="1:16" x14ac:dyDescent="0.25">
      <c r="A84" s="216"/>
      <c r="B84" s="336"/>
      <c r="C84" s="337"/>
      <c r="D84" s="337"/>
      <c r="E84" s="337"/>
      <c r="F84" s="337"/>
      <c r="G84" s="337"/>
      <c r="H84" s="337"/>
      <c r="I84" s="337"/>
      <c r="J84" s="337"/>
      <c r="K84" s="337"/>
      <c r="L84" s="337"/>
      <c r="M84" s="338"/>
      <c r="N84" s="217"/>
      <c r="O84" s="217"/>
      <c r="P84" s="218"/>
    </row>
    <row r="85" spans="1:16" x14ac:dyDescent="0.25">
      <c r="A85" s="216"/>
      <c r="B85" s="336"/>
      <c r="C85" s="337"/>
      <c r="D85" s="337"/>
      <c r="E85" s="337"/>
      <c r="F85" s="337"/>
      <c r="G85" s="337"/>
      <c r="H85" s="337"/>
      <c r="I85" s="337"/>
      <c r="J85" s="337"/>
      <c r="K85" s="337"/>
      <c r="L85" s="337"/>
      <c r="M85" s="338"/>
      <c r="N85" s="217"/>
      <c r="O85" s="217"/>
      <c r="P85" s="218"/>
    </row>
    <row r="86" spans="1:16" x14ac:dyDescent="0.25">
      <c r="A86" s="216"/>
      <c r="B86" s="336"/>
      <c r="C86" s="337"/>
      <c r="D86" s="337"/>
      <c r="E86" s="337"/>
      <c r="F86" s="337"/>
      <c r="G86" s="337"/>
      <c r="H86" s="337"/>
      <c r="I86" s="337"/>
      <c r="J86" s="337"/>
      <c r="K86" s="337"/>
      <c r="L86" s="337"/>
      <c r="M86" s="338"/>
      <c r="N86" s="217"/>
      <c r="O86" s="217"/>
      <c r="P86" s="218"/>
    </row>
    <row r="87" spans="1:16" x14ac:dyDescent="0.25">
      <c r="A87" s="216"/>
      <c r="B87" s="336"/>
      <c r="C87" s="337"/>
      <c r="D87" s="337"/>
      <c r="E87" s="337"/>
      <c r="F87" s="337"/>
      <c r="G87" s="337"/>
      <c r="H87" s="337"/>
      <c r="I87" s="337"/>
      <c r="J87" s="337"/>
      <c r="K87" s="337"/>
      <c r="L87" s="337"/>
      <c r="M87" s="338"/>
      <c r="N87" s="217"/>
      <c r="O87" s="217"/>
      <c r="P87" s="218"/>
    </row>
    <row r="88" spans="1:16" x14ac:dyDescent="0.25">
      <c r="A88" s="216"/>
      <c r="B88" s="336"/>
      <c r="C88" s="337"/>
      <c r="D88" s="337"/>
      <c r="E88" s="337"/>
      <c r="F88" s="337"/>
      <c r="G88" s="337"/>
      <c r="H88" s="337"/>
      <c r="I88" s="337"/>
      <c r="J88" s="337"/>
      <c r="K88" s="337"/>
      <c r="L88" s="337"/>
      <c r="M88" s="338"/>
      <c r="N88" s="217"/>
      <c r="O88" s="217"/>
      <c r="P88" s="218"/>
    </row>
    <row r="89" spans="1:16" x14ac:dyDescent="0.25">
      <c r="A89" s="216"/>
      <c r="B89" s="336"/>
      <c r="C89" s="337"/>
      <c r="D89" s="337"/>
      <c r="E89" s="337"/>
      <c r="F89" s="337"/>
      <c r="G89" s="337"/>
      <c r="H89" s="337"/>
      <c r="I89" s="337"/>
      <c r="J89" s="337"/>
      <c r="K89" s="337"/>
      <c r="L89" s="337"/>
      <c r="M89" s="338"/>
      <c r="N89" s="217"/>
      <c r="O89" s="217"/>
      <c r="P89" s="218"/>
    </row>
    <row r="90" spans="1:16" x14ac:dyDescent="0.25">
      <c r="A90" s="216"/>
      <c r="B90" s="336"/>
      <c r="C90" s="337"/>
      <c r="D90" s="337"/>
      <c r="E90" s="337"/>
      <c r="F90" s="337"/>
      <c r="G90" s="337"/>
      <c r="H90" s="337"/>
      <c r="I90" s="337"/>
      <c r="J90" s="337"/>
      <c r="K90" s="337"/>
      <c r="L90" s="337"/>
      <c r="M90" s="338"/>
      <c r="N90" s="217"/>
      <c r="O90" s="217"/>
      <c r="P90" s="218"/>
    </row>
    <row r="91" spans="1:16" x14ac:dyDescent="0.25">
      <c r="A91" s="216"/>
      <c r="B91" s="336"/>
      <c r="C91" s="337"/>
      <c r="D91" s="337"/>
      <c r="E91" s="337"/>
      <c r="F91" s="337"/>
      <c r="G91" s="337"/>
      <c r="H91" s="337"/>
      <c r="I91" s="337"/>
      <c r="J91" s="337"/>
      <c r="K91" s="337"/>
      <c r="L91" s="337"/>
      <c r="M91" s="338"/>
      <c r="N91" s="217"/>
      <c r="O91" s="217"/>
      <c r="P91" s="218"/>
    </row>
    <row r="92" spans="1:16" x14ac:dyDescent="0.25">
      <c r="A92" s="216"/>
      <c r="B92" s="336"/>
      <c r="C92" s="337"/>
      <c r="D92" s="337"/>
      <c r="E92" s="337"/>
      <c r="F92" s="337"/>
      <c r="G92" s="337"/>
      <c r="H92" s="337"/>
      <c r="I92" s="337"/>
      <c r="J92" s="337"/>
      <c r="K92" s="337"/>
      <c r="L92" s="337"/>
      <c r="M92" s="338"/>
      <c r="N92" s="217"/>
      <c r="O92" s="217"/>
      <c r="P92" s="218"/>
    </row>
    <row r="93" spans="1:16" x14ac:dyDescent="0.25">
      <c r="A93" s="216"/>
      <c r="B93" s="336"/>
      <c r="C93" s="337"/>
      <c r="D93" s="337"/>
      <c r="E93" s="337"/>
      <c r="F93" s="337"/>
      <c r="G93" s="337"/>
      <c r="H93" s="337"/>
      <c r="I93" s="337"/>
      <c r="J93" s="337"/>
      <c r="K93" s="337"/>
      <c r="L93" s="337"/>
      <c r="M93" s="338"/>
      <c r="N93" s="217"/>
      <c r="O93" s="217"/>
      <c r="P93" s="218"/>
    </row>
    <row r="94" spans="1:16" x14ac:dyDescent="0.25">
      <c r="A94" s="216"/>
      <c r="B94" s="336"/>
      <c r="C94" s="337"/>
      <c r="D94" s="337"/>
      <c r="E94" s="337"/>
      <c r="F94" s="337"/>
      <c r="G94" s="337"/>
      <c r="H94" s="337"/>
      <c r="I94" s="337"/>
      <c r="J94" s="337"/>
      <c r="K94" s="337"/>
      <c r="L94" s="337"/>
      <c r="M94" s="338"/>
      <c r="N94" s="217"/>
      <c r="O94" s="217"/>
      <c r="P94" s="218"/>
    </row>
    <row r="95" spans="1:16" x14ac:dyDescent="0.25">
      <c r="A95" s="216"/>
      <c r="B95" s="336"/>
      <c r="C95" s="337"/>
      <c r="D95" s="337"/>
      <c r="E95" s="337"/>
      <c r="F95" s="337"/>
      <c r="G95" s="337"/>
      <c r="H95" s="337"/>
      <c r="I95" s="337"/>
      <c r="J95" s="337"/>
      <c r="K95" s="337"/>
      <c r="L95" s="337"/>
      <c r="M95" s="338"/>
      <c r="N95" s="217"/>
      <c r="O95" s="217"/>
      <c r="P95" s="218"/>
    </row>
    <row r="96" spans="1:16" ht="13.8" thickBot="1" x14ac:dyDescent="0.3">
      <c r="A96" s="228"/>
      <c r="B96" s="339"/>
      <c r="C96" s="340"/>
      <c r="D96" s="340"/>
      <c r="E96" s="340"/>
      <c r="F96" s="340"/>
      <c r="G96" s="340"/>
      <c r="H96" s="340"/>
      <c r="I96" s="340"/>
      <c r="J96" s="340"/>
      <c r="K96" s="340"/>
      <c r="L96" s="340"/>
      <c r="M96" s="341"/>
      <c r="N96" s="229"/>
      <c r="O96" s="229"/>
      <c r="P96" s="230"/>
    </row>
    <row r="97" spans="1:16" ht="13.8" thickTop="1" x14ac:dyDescent="0.25">
      <c r="A97" s="212"/>
      <c r="B97" s="212"/>
      <c r="C97" s="212"/>
      <c r="D97" s="212"/>
      <c r="E97" s="212"/>
      <c r="F97" s="212"/>
      <c r="G97" s="212"/>
      <c r="H97" s="212"/>
      <c r="I97" s="212"/>
      <c r="J97" s="212"/>
      <c r="K97" s="212"/>
      <c r="L97" s="212"/>
      <c r="M97" s="212"/>
      <c r="N97" s="212"/>
      <c r="O97" s="212"/>
      <c r="P97" s="212"/>
    </row>
  </sheetData>
  <mergeCells count="3">
    <mergeCell ref="B15:I15"/>
    <mergeCell ref="B34:M96"/>
    <mergeCell ref="B14:D14"/>
  </mergeCells>
  <hyperlinks>
    <hyperlink ref="B15:I15" r:id="rId1" display="LM5069 Datasheet (See &quot;Design-In Procedure&quot;)" xr:uid="{00000000-0004-0000-0000-000000000000}"/>
    <hyperlink ref="B14"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R229"/>
  <sheetViews>
    <sheetView tabSelected="1" topLeftCell="A64" zoomScale="85" zoomScaleNormal="85" zoomScaleSheetLayoutView="100" workbookViewId="0">
      <selection activeCell="F87" sqref="F87"/>
    </sheetView>
  </sheetViews>
  <sheetFormatPr defaultRowHeight="13.2" x14ac:dyDescent="0.25"/>
  <cols>
    <col min="1" max="1" width="0.44140625" customWidth="1"/>
    <col min="2" max="2" width="30" customWidth="1"/>
    <col min="3" max="3" width="15.33203125" customWidth="1"/>
    <col min="4" max="4" width="16.5546875" customWidth="1"/>
    <col min="5" max="5" width="20.6640625" customWidth="1"/>
    <col min="6" max="6" width="15.6640625" customWidth="1"/>
    <col min="7" max="7" width="5.5546875" style="163" customWidth="1"/>
    <col min="8" max="8" width="9.5546875" customWidth="1"/>
    <col min="9" max="9" width="12.6640625" customWidth="1"/>
    <col min="11" max="11" width="10.33203125" customWidth="1"/>
    <col min="12" max="12" width="8.6640625" customWidth="1"/>
    <col min="13" max="13" width="9.6640625" customWidth="1"/>
    <col min="14" max="19" width="0" hidden="1" customWidth="1"/>
    <col min="20" max="20" width="2.6640625" hidden="1" customWidth="1"/>
    <col min="21" max="21" width="3" hidden="1" customWidth="1"/>
    <col min="22" max="22" width="1.33203125" hidden="1" customWidth="1"/>
    <col min="23" max="23" width="3.6640625" hidden="1" customWidth="1"/>
    <col min="24" max="38" width="0" hidden="1" customWidth="1"/>
    <col min="39" max="39" width="11.6640625" customWidth="1"/>
    <col min="40" max="40" width="6.6640625" customWidth="1"/>
    <col min="41" max="41" width="9.33203125" customWidth="1"/>
    <col min="42" max="42" width="12.33203125" customWidth="1"/>
    <col min="43" max="43" width="12" hidden="1" customWidth="1"/>
    <col min="44" max="44" width="13.44140625" customWidth="1"/>
    <col min="45" max="45" width="14.5546875" customWidth="1"/>
    <col min="46" max="46" width="14.6640625" customWidth="1"/>
    <col min="47" max="47" width="11.33203125" customWidth="1"/>
    <col min="48" max="48" width="13" customWidth="1"/>
    <col min="49" max="49" width="13.44140625" customWidth="1"/>
    <col min="50" max="50" width="14.6640625" customWidth="1"/>
    <col min="51" max="51" width="14.33203125" customWidth="1"/>
    <col min="52" max="52" width="12.6640625" customWidth="1"/>
    <col min="53" max="53" width="12.5546875" customWidth="1"/>
    <col min="54" max="54" width="9.6640625" customWidth="1"/>
    <col min="55" max="55" width="12.6640625" customWidth="1"/>
    <col min="56" max="57" width="13.6640625" customWidth="1"/>
    <col min="58" max="59" width="14.44140625" customWidth="1"/>
    <col min="60" max="60" width="15.44140625" customWidth="1"/>
    <col min="61" max="61" width="15.33203125" customWidth="1"/>
    <col min="62" max="62" width="15.6640625" customWidth="1"/>
    <col min="63" max="63" width="12.5546875" customWidth="1"/>
    <col min="64" max="64" width="16.6640625" customWidth="1"/>
    <col min="65" max="65" width="15.44140625" customWidth="1"/>
    <col min="66" max="66" width="14.5546875" customWidth="1"/>
    <col min="67" max="67" width="10" customWidth="1"/>
    <col min="68" max="68" width="6.33203125" customWidth="1"/>
    <col min="69" max="69" width="7.33203125" customWidth="1"/>
    <col min="70" max="70" width="8.33203125" customWidth="1"/>
    <col min="71" max="71" width="4.6640625" customWidth="1"/>
  </cols>
  <sheetData>
    <row r="1" spans="1:43" s="116" customFormat="1" ht="60.75" customHeight="1" x14ac:dyDescent="0.3">
      <c r="A1" s="357" t="s">
        <v>489</v>
      </c>
      <c r="B1" s="358"/>
      <c r="C1" s="358"/>
      <c r="D1" s="358"/>
      <c r="E1" s="358"/>
      <c r="F1" s="358"/>
      <c r="G1" s="358"/>
      <c r="H1" s="358"/>
      <c r="I1" s="358"/>
      <c r="J1" s="358"/>
      <c r="K1" s="358"/>
      <c r="L1" s="358"/>
      <c r="M1" s="358"/>
      <c r="N1" s="42"/>
      <c r="O1" s="42"/>
      <c r="P1" s="42"/>
      <c r="Q1" s="42"/>
      <c r="R1" s="40"/>
      <c r="S1" s="41"/>
      <c r="T1" s="39"/>
      <c r="U1" s="39"/>
      <c r="V1" s="39"/>
      <c r="W1" s="39"/>
      <c r="X1" s="39"/>
      <c r="Y1" s="39"/>
      <c r="Z1" s="39"/>
      <c r="AA1" s="39"/>
      <c r="AB1" s="39"/>
      <c r="AC1" s="39"/>
      <c r="AD1" s="39"/>
      <c r="AE1" s="39"/>
      <c r="AF1" s="39"/>
      <c r="AG1" s="39"/>
      <c r="AH1" s="39"/>
      <c r="AI1" s="39"/>
      <c r="AJ1" s="39"/>
      <c r="AK1" s="39"/>
      <c r="AL1" s="39"/>
      <c r="AM1" s="39"/>
    </row>
    <row r="2" spans="1:43" ht="15.6" x14ac:dyDescent="0.25">
      <c r="A2" s="19"/>
      <c r="B2" s="38" t="s">
        <v>110</v>
      </c>
      <c r="C2" s="19"/>
      <c r="D2" s="19"/>
      <c r="E2" s="19"/>
      <c r="F2" s="20"/>
      <c r="G2" s="20"/>
      <c r="H2" s="19"/>
      <c r="I2" s="19"/>
      <c r="J2" s="19"/>
      <c r="K2" s="19"/>
      <c r="L2" s="356"/>
      <c r="M2" s="356"/>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43" x14ac:dyDescent="0.25">
      <c r="A3" s="19"/>
      <c r="B3" s="19"/>
      <c r="C3" s="19"/>
      <c r="D3" s="19"/>
      <c r="E3" s="19"/>
      <c r="F3" s="19"/>
      <c r="G3" s="20"/>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43" x14ac:dyDescent="0.25">
      <c r="A4" s="19"/>
      <c r="B4" s="19"/>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43" x14ac:dyDescent="0.25">
      <c r="A5" s="19"/>
      <c r="B5" s="19"/>
      <c r="C5" s="19"/>
      <c r="D5" s="19"/>
      <c r="E5" s="19"/>
      <c r="F5" s="19"/>
      <c r="G5" s="20"/>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43" x14ac:dyDescent="0.25">
      <c r="A6" s="19"/>
      <c r="B6" s="19"/>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43" x14ac:dyDescent="0.25">
      <c r="A7" s="19"/>
      <c r="B7" s="19"/>
      <c r="C7" s="19"/>
      <c r="D7" s="19"/>
      <c r="E7" s="19"/>
      <c r="F7" s="19"/>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43" x14ac:dyDescent="0.25">
      <c r="A8" s="19"/>
      <c r="B8" s="19"/>
      <c r="C8" s="19"/>
      <c r="D8" s="19"/>
      <c r="E8" s="19"/>
      <c r="F8" s="19"/>
      <c r="G8" s="20"/>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43" ht="15" customHeight="1" x14ac:dyDescent="0.25">
      <c r="A9" s="19"/>
      <c r="B9" s="24"/>
      <c r="C9" s="206"/>
      <c r="D9" s="199" t="s">
        <v>400</v>
      </c>
      <c r="E9" s="108"/>
      <c r="F9" s="19"/>
      <c r="G9" s="20"/>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43" ht="15" customHeight="1" x14ac:dyDescent="0.25">
      <c r="A10" s="19"/>
      <c r="B10" s="25"/>
      <c r="C10" s="21"/>
      <c r="D10" s="19" t="s">
        <v>109</v>
      </c>
      <c r="E10" s="109"/>
      <c r="F10" s="19"/>
      <c r="G10" s="20"/>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43" ht="22.95" customHeight="1" x14ac:dyDescent="0.25">
      <c r="A11" s="19"/>
      <c r="B11" s="25"/>
      <c r="C11" s="211"/>
      <c r="D11" s="359" t="s">
        <v>458</v>
      </c>
      <c r="E11" s="360"/>
      <c r="F11" s="19"/>
      <c r="G11" s="20"/>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43" ht="21.6" customHeight="1" x14ac:dyDescent="0.25">
      <c r="A12" s="19"/>
      <c r="B12" s="25"/>
      <c r="C12" s="210"/>
      <c r="D12" s="359"/>
      <c r="E12" s="360"/>
      <c r="F12" s="19"/>
      <c r="G12" s="20"/>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43" ht="15" customHeight="1" thickBot="1" x14ac:dyDescent="0.3">
      <c r="A13" s="19"/>
      <c r="B13" s="19"/>
      <c r="C13" s="19"/>
      <c r="D13" s="19"/>
      <c r="E13" s="19"/>
      <c r="F13" s="31"/>
      <c r="G13" s="20"/>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43" ht="15" customHeight="1" x14ac:dyDescent="0.25">
      <c r="A14" s="19"/>
      <c r="B14" s="309" t="s">
        <v>505</v>
      </c>
      <c r="C14" s="320"/>
      <c r="D14" s="361" t="s">
        <v>506</v>
      </c>
      <c r="E14" s="361"/>
      <c r="F14" s="361"/>
      <c r="G14" s="361"/>
      <c r="H14" s="317"/>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7"/>
    </row>
    <row r="15" spans="1:43" ht="15" customHeight="1" x14ac:dyDescent="0.25">
      <c r="A15" s="19"/>
      <c r="B15" s="310"/>
      <c r="C15" s="319"/>
      <c r="D15" s="362"/>
      <c r="E15" s="362"/>
      <c r="F15" s="362"/>
      <c r="G15" s="362"/>
      <c r="H15" s="318"/>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305"/>
    </row>
    <row r="16" spans="1:43" ht="15" customHeight="1" x14ac:dyDescent="0.25">
      <c r="A16" s="19"/>
      <c r="B16" s="348"/>
      <c r="C16" s="311"/>
      <c r="D16" s="363" t="s">
        <v>507</v>
      </c>
      <c r="E16" s="363"/>
      <c r="F16" s="363"/>
      <c r="G16" s="363"/>
      <c r="H16" s="363"/>
      <c r="I16" s="363"/>
      <c r="J16" s="314"/>
      <c r="K16" s="308"/>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305"/>
      <c r="AQ16" s="33" t="s">
        <v>211</v>
      </c>
    </row>
    <row r="17" spans="1:43" ht="15" customHeight="1" x14ac:dyDescent="0.25">
      <c r="A17" s="19"/>
      <c r="B17" s="348"/>
      <c r="C17" s="311"/>
      <c r="D17" s="363" t="s">
        <v>508</v>
      </c>
      <c r="E17" s="363"/>
      <c r="F17" s="363"/>
      <c r="G17" s="363"/>
      <c r="H17" s="363"/>
      <c r="I17" s="363"/>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305"/>
      <c r="AQ17" s="33" t="s">
        <v>209</v>
      </c>
    </row>
    <row r="18" spans="1:43" ht="15" customHeight="1" x14ac:dyDescent="0.25">
      <c r="A18" s="19"/>
      <c r="B18" s="348"/>
      <c r="C18" s="311"/>
      <c r="D18" s="363" t="s">
        <v>509</v>
      </c>
      <c r="E18" s="363"/>
      <c r="F18" s="363"/>
      <c r="G18" s="363"/>
      <c r="H18" s="363"/>
      <c r="I18" s="363"/>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305"/>
    </row>
    <row r="19" spans="1:43" ht="15" customHeight="1" x14ac:dyDescent="0.25">
      <c r="A19" s="19"/>
      <c r="B19" s="348"/>
      <c r="C19" s="311"/>
      <c r="D19" s="363" t="s">
        <v>510</v>
      </c>
      <c r="E19" s="363"/>
      <c r="F19" s="363"/>
      <c r="G19" s="363"/>
      <c r="H19" s="363"/>
      <c r="I19" s="363"/>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305"/>
    </row>
    <row r="20" spans="1:43" ht="15" customHeight="1" x14ac:dyDescent="0.25">
      <c r="A20" s="19"/>
      <c r="B20" s="315"/>
      <c r="C20" s="311"/>
      <c r="D20" s="331" t="s">
        <v>514</v>
      </c>
      <c r="E20" s="329"/>
      <c r="F20" s="330"/>
      <c r="G20" s="330"/>
      <c r="H20" s="330"/>
      <c r="I20" s="330"/>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305"/>
    </row>
    <row r="21" spans="1:43" ht="15" customHeight="1" thickBot="1" x14ac:dyDescent="0.3">
      <c r="A21" s="19"/>
      <c r="B21" s="302"/>
      <c r="C21" s="299"/>
      <c r="D21" s="299"/>
      <c r="E21" s="300"/>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305"/>
    </row>
    <row r="22" spans="1:43" ht="31.5" customHeight="1" thickBot="1" x14ac:dyDescent="0.3">
      <c r="A22" s="19"/>
      <c r="B22" s="302"/>
      <c r="C22" s="299"/>
      <c r="D22" s="349" t="s">
        <v>511</v>
      </c>
      <c r="E22" s="350"/>
      <c r="F22" s="351"/>
      <c r="G22" s="322" t="s">
        <v>211</v>
      </c>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305"/>
    </row>
    <row r="23" spans="1:43" ht="28.2" customHeight="1" thickBot="1" x14ac:dyDescent="0.3">
      <c r="A23" s="19"/>
      <c r="B23" s="302"/>
      <c r="C23" s="299"/>
      <c r="D23" s="345" t="s">
        <v>512</v>
      </c>
      <c r="E23" s="346"/>
      <c r="F23" s="347"/>
      <c r="G23" s="323" t="s">
        <v>211</v>
      </c>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305"/>
    </row>
    <row r="24" spans="1:43" ht="10.5" customHeight="1" x14ac:dyDescent="0.25">
      <c r="A24" s="19"/>
      <c r="B24" s="302"/>
      <c r="C24" s="299"/>
      <c r="D24" s="352" t="s">
        <v>513</v>
      </c>
      <c r="E24" s="352"/>
      <c r="F24" s="352"/>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305"/>
    </row>
    <row r="25" spans="1:43" ht="15" customHeight="1" x14ac:dyDescent="0.25">
      <c r="A25" s="19"/>
      <c r="B25" s="302"/>
      <c r="C25" s="299"/>
      <c r="D25" s="352"/>
      <c r="E25" s="352"/>
      <c r="F25" s="352"/>
      <c r="G25" s="316"/>
      <c r="H25" s="299"/>
      <c r="I25" s="299"/>
      <c r="J25" s="308"/>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305"/>
    </row>
    <row r="26" spans="1:43" ht="15" customHeight="1" thickBot="1" x14ac:dyDescent="0.3">
      <c r="A26" s="19"/>
      <c r="B26" s="303"/>
      <c r="C26" s="304"/>
      <c r="D26" s="321"/>
      <c r="E26" s="321"/>
      <c r="F26" s="321"/>
      <c r="G26" s="312"/>
      <c r="H26" s="304"/>
      <c r="I26" s="304"/>
      <c r="J26" s="313"/>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6"/>
    </row>
    <row r="27" spans="1:43" ht="15" customHeight="1" x14ac:dyDescent="0.25">
      <c r="A27" s="19"/>
      <c r="B27" s="147" t="s">
        <v>162</v>
      </c>
      <c r="C27" s="82"/>
      <c r="D27" s="82"/>
      <c r="E27" s="83" t="s">
        <v>121</v>
      </c>
      <c r="F27" s="196">
        <v>11</v>
      </c>
      <c r="G27" s="174" t="s">
        <v>92</v>
      </c>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117"/>
    </row>
    <row r="28" spans="1:43" ht="15" customHeight="1" x14ac:dyDescent="0.25">
      <c r="A28" s="19"/>
      <c r="B28" s="84"/>
      <c r="C28" s="23"/>
      <c r="D28" s="23"/>
      <c r="E28" s="66" t="s">
        <v>132</v>
      </c>
      <c r="F28" s="197">
        <v>12</v>
      </c>
      <c r="G28" s="175" t="s">
        <v>92</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96"/>
    </row>
    <row r="29" spans="1:43" ht="15" customHeight="1" x14ac:dyDescent="0.25">
      <c r="A29" s="19"/>
      <c r="B29" s="85"/>
      <c r="C29" s="23"/>
      <c r="D29" s="23"/>
      <c r="E29" s="66" t="s">
        <v>122</v>
      </c>
      <c r="F29" s="197">
        <v>13.2</v>
      </c>
      <c r="G29" s="175" t="s">
        <v>92</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96"/>
    </row>
    <row r="30" spans="1:43" ht="15" customHeight="1" x14ac:dyDescent="0.25">
      <c r="A30" s="19"/>
      <c r="B30" s="85"/>
      <c r="C30" s="23"/>
      <c r="D30" s="23"/>
      <c r="E30" s="66" t="s">
        <v>134</v>
      </c>
      <c r="F30" s="197">
        <v>7</v>
      </c>
      <c r="G30" s="175" t="s">
        <v>28</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96"/>
    </row>
    <row r="31" spans="1:43" ht="15" customHeight="1" x14ac:dyDescent="0.25">
      <c r="A31" s="19"/>
      <c r="B31" s="85"/>
      <c r="C31" s="23"/>
      <c r="D31" s="23"/>
      <c r="E31" s="66" t="s">
        <v>256</v>
      </c>
      <c r="F31" s="197">
        <v>660</v>
      </c>
      <c r="G31" s="176" t="s">
        <v>89</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96"/>
    </row>
    <row r="32" spans="1:43" ht="15" customHeight="1" x14ac:dyDescent="0.25">
      <c r="A32" s="19"/>
      <c r="B32" s="85"/>
      <c r="C32" s="23"/>
      <c r="D32" s="23"/>
      <c r="E32" s="66" t="s">
        <v>133</v>
      </c>
      <c r="F32" s="324">
        <v>55</v>
      </c>
      <c r="G32" s="175" t="s">
        <v>138</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96"/>
    </row>
    <row r="33" spans="1:40" ht="15" customHeight="1" x14ac:dyDescent="0.25">
      <c r="A33" s="19"/>
      <c r="B33" s="353" t="s">
        <v>515</v>
      </c>
      <c r="C33" s="23"/>
      <c r="D33" s="23"/>
      <c r="E33" s="66"/>
      <c r="F33" s="324"/>
      <c r="G33" s="175"/>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96"/>
    </row>
    <row r="34" spans="1:40" ht="15" customHeight="1" x14ac:dyDescent="0.25">
      <c r="A34" s="19"/>
      <c r="B34" s="353"/>
      <c r="C34" s="23"/>
      <c r="D34" s="23"/>
      <c r="E34" s="66"/>
      <c r="F34" s="324"/>
      <c r="G34" s="175"/>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96"/>
    </row>
    <row r="35" spans="1:40" ht="15" customHeight="1" x14ac:dyDescent="0.25">
      <c r="A35" s="19"/>
      <c r="B35" s="85"/>
      <c r="C35" s="23"/>
      <c r="D35" s="23"/>
      <c r="E35" s="66"/>
      <c r="F35" s="324"/>
      <c r="G35" s="175"/>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96"/>
    </row>
    <row r="36" spans="1:40" ht="15" customHeight="1" thickBot="1" x14ac:dyDescent="0.3">
      <c r="A36" s="19"/>
      <c r="B36" s="86"/>
      <c r="C36" s="87"/>
      <c r="D36" s="87"/>
      <c r="E36" s="88"/>
      <c r="F36" s="198"/>
      <c r="G36" s="17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100"/>
    </row>
    <row r="37" spans="1:40" ht="15" hidden="1" customHeight="1" x14ac:dyDescent="0.25">
      <c r="A37" s="19"/>
      <c r="B37" s="147" t="s">
        <v>247</v>
      </c>
      <c r="C37" s="130"/>
      <c r="D37" s="82"/>
      <c r="E37" s="83" t="s">
        <v>294</v>
      </c>
      <c r="F37" s="200" t="s">
        <v>88</v>
      </c>
      <c r="G37" s="178"/>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117"/>
      <c r="AN37" s="33" t="s">
        <v>88</v>
      </c>
    </row>
    <row r="38" spans="1:40" ht="15" hidden="1" customHeight="1" x14ac:dyDescent="0.25">
      <c r="A38" s="19"/>
      <c r="B38" s="89"/>
      <c r="C38" s="23"/>
      <c r="D38" s="23"/>
      <c r="E38" s="66" t="s">
        <v>296</v>
      </c>
      <c r="F38" s="62">
        <f>Equations!F20</f>
        <v>3.2531824611032532</v>
      </c>
      <c r="G38" s="175" t="s">
        <v>91</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96"/>
      <c r="AN38" s="33" t="s">
        <v>362</v>
      </c>
    </row>
    <row r="39" spans="1:40" ht="15" hidden="1" customHeight="1" x14ac:dyDescent="0.25">
      <c r="A39" s="19"/>
      <c r="B39" s="85"/>
      <c r="C39" s="23"/>
      <c r="D39" s="23"/>
      <c r="E39" s="66" t="s">
        <v>214</v>
      </c>
      <c r="F39" s="201" t="s">
        <v>209</v>
      </c>
      <c r="G39" s="175"/>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96"/>
      <c r="AN39" s="33" t="s">
        <v>211</v>
      </c>
    </row>
    <row r="40" spans="1:40" ht="15" hidden="1" customHeight="1" x14ac:dyDescent="0.25">
      <c r="A40" s="19"/>
      <c r="B40" s="85"/>
      <c r="C40" s="23"/>
      <c r="D40" s="23"/>
      <c r="E40" s="66" t="s">
        <v>115</v>
      </c>
      <c r="F40" s="202">
        <v>0.13300000000000001</v>
      </c>
      <c r="G40" s="175" t="s">
        <v>91</v>
      </c>
      <c r="H40" s="118"/>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96"/>
      <c r="AN40" s="33" t="s">
        <v>209</v>
      </c>
    </row>
    <row r="41" spans="1:40" ht="15" hidden="1" customHeight="1" x14ac:dyDescent="0.25">
      <c r="A41" s="19"/>
      <c r="B41" s="85"/>
      <c r="C41" s="23"/>
      <c r="D41" s="23"/>
      <c r="E41" s="66" t="s">
        <v>217</v>
      </c>
      <c r="F41" s="94" t="str">
        <f>Equations!F21</f>
        <v>NA</v>
      </c>
      <c r="G41" s="179" t="s">
        <v>93</v>
      </c>
      <c r="H41" s="207"/>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96"/>
    </row>
    <row r="42" spans="1:40" ht="15" hidden="1" customHeight="1" x14ac:dyDescent="0.25">
      <c r="A42" s="19"/>
      <c r="B42" s="85"/>
      <c r="C42" s="23"/>
      <c r="D42" s="23"/>
      <c r="E42" s="66" t="s">
        <v>218</v>
      </c>
      <c r="F42" s="93" t="str">
        <f>Equations!F22</f>
        <v>NA</v>
      </c>
      <c r="G42" s="179" t="s">
        <v>93</v>
      </c>
      <c r="H42" s="207"/>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96"/>
    </row>
    <row r="43" spans="1:40" ht="15" hidden="1" customHeight="1" x14ac:dyDescent="0.25">
      <c r="A43" s="19"/>
      <c r="B43" s="354" t="s">
        <v>515</v>
      </c>
      <c r="C43" s="23"/>
      <c r="D43" s="23"/>
      <c r="E43" s="66" t="s">
        <v>219</v>
      </c>
      <c r="F43" s="201">
        <v>10</v>
      </c>
      <c r="G43" s="179" t="s">
        <v>93</v>
      </c>
      <c r="H43" s="207"/>
      <c r="I43" s="23"/>
      <c r="J43" s="118"/>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96"/>
      <c r="AN43" t="b">
        <f>AND(F39="No")</f>
        <v>1</v>
      </c>
    </row>
    <row r="44" spans="1:40" ht="15" hidden="1" customHeight="1" x14ac:dyDescent="0.25">
      <c r="A44" s="19"/>
      <c r="B44" s="354"/>
      <c r="C44" s="23"/>
      <c r="D44" s="23"/>
      <c r="E44" s="66" t="s">
        <v>220</v>
      </c>
      <c r="F44" s="201">
        <v>3.04</v>
      </c>
      <c r="G44" s="179" t="s">
        <v>93</v>
      </c>
      <c r="H44" s="207"/>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96"/>
    </row>
    <row r="45" spans="1:40" ht="15" hidden="1" customHeight="1" x14ac:dyDescent="0.25">
      <c r="A45" s="19"/>
      <c r="B45" s="354"/>
      <c r="C45" s="23"/>
      <c r="D45" s="23"/>
      <c r="E45" s="66" t="s">
        <v>295</v>
      </c>
      <c r="F45" s="93">
        <f>RsEFF</f>
        <v>0.13300000000000001</v>
      </c>
      <c r="G45" s="175" t="s">
        <v>91</v>
      </c>
      <c r="H45" s="207"/>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96"/>
    </row>
    <row r="46" spans="1:40" ht="15" hidden="1" customHeight="1" x14ac:dyDescent="0.25">
      <c r="A46" s="19"/>
      <c r="B46" s="85"/>
      <c r="C46" s="23"/>
      <c r="D46" s="111"/>
      <c r="E46" s="112" t="s">
        <v>105</v>
      </c>
      <c r="F46" s="64">
        <f>CLMIN</f>
        <v>172.93233082706766</v>
      </c>
      <c r="G46" s="175" t="s">
        <v>28</v>
      </c>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96"/>
    </row>
    <row r="47" spans="1:40" ht="15" hidden="1" customHeight="1" x14ac:dyDescent="0.25">
      <c r="A47" s="19"/>
      <c r="B47" s="85"/>
      <c r="C47" s="23"/>
      <c r="D47" s="113"/>
      <c r="E47" s="114" t="s">
        <v>106</v>
      </c>
      <c r="F47" s="64">
        <f>CLNOM</f>
        <v>187.96992481203006</v>
      </c>
      <c r="G47" s="175" t="s">
        <v>28</v>
      </c>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96"/>
    </row>
    <row r="48" spans="1:40" ht="15" hidden="1" customHeight="1" x14ac:dyDescent="0.25">
      <c r="A48" s="19"/>
      <c r="B48" s="85"/>
      <c r="C48" s="23"/>
      <c r="D48" s="144"/>
      <c r="E48" s="145" t="s">
        <v>107</v>
      </c>
      <c r="F48" s="64">
        <f>CLMAX</f>
        <v>203.00751879699246</v>
      </c>
      <c r="G48" s="175" t="s">
        <v>28</v>
      </c>
      <c r="H48" s="23"/>
      <c r="I48" s="9"/>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96"/>
      <c r="AN48" s="33" t="s">
        <v>273</v>
      </c>
    </row>
    <row r="49" spans="1:44" ht="15" hidden="1" customHeight="1" x14ac:dyDescent="0.25">
      <c r="A49" s="19"/>
      <c r="B49" s="85"/>
      <c r="C49" s="23"/>
      <c r="D49" s="23"/>
      <c r="E49" s="66" t="s">
        <v>123</v>
      </c>
      <c r="F49" s="48">
        <f>Equations!F27/1000</f>
        <v>5.4812030075187961</v>
      </c>
      <c r="G49" s="175" t="s">
        <v>93</v>
      </c>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96"/>
      <c r="AN49" s="33" t="s">
        <v>274</v>
      </c>
    </row>
    <row r="50" spans="1:44" ht="15" hidden="1" customHeight="1" x14ac:dyDescent="0.25">
      <c r="A50" s="19"/>
      <c r="B50" s="85"/>
      <c r="C50" s="23"/>
      <c r="D50" s="23"/>
      <c r="E50" s="66" t="s">
        <v>272</v>
      </c>
      <c r="F50" s="292" t="s">
        <v>274</v>
      </c>
      <c r="G50" s="175"/>
      <c r="H50" s="118"/>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96"/>
      <c r="AN50" s="33" t="s">
        <v>251</v>
      </c>
    </row>
    <row r="51" spans="1:44" ht="15" hidden="1" customHeight="1" thickBot="1" x14ac:dyDescent="0.3">
      <c r="A51" s="19"/>
      <c r="B51" s="86"/>
      <c r="C51" s="87"/>
      <c r="D51" s="87"/>
      <c r="E51" s="127" t="s">
        <v>248</v>
      </c>
      <c r="F51" s="293" t="s">
        <v>251</v>
      </c>
      <c r="G51" s="17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100"/>
      <c r="AN51" s="33" t="s">
        <v>250</v>
      </c>
    </row>
    <row r="52" spans="1:44" ht="14.4" thickBot="1" x14ac:dyDescent="0.3">
      <c r="A52" s="19"/>
      <c r="B52" s="147" t="s">
        <v>135</v>
      </c>
      <c r="C52" s="82"/>
      <c r="D52" s="82"/>
      <c r="E52" s="90" t="s">
        <v>477</v>
      </c>
      <c r="F52" s="374" t="s">
        <v>517</v>
      </c>
      <c r="G52" s="180"/>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117"/>
    </row>
    <row r="53" spans="1:44" ht="15.6" x14ac:dyDescent="0.35">
      <c r="A53" s="19"/>
      <c r="B53" s="85"/>
      <c r="C53" s="23"/>
      <c r="D53" s="23"/>
      <c r="E53" s="37" t="s">
        <v>291</v>
      </c>
      <c r="F53" s="373">
        <v>62.5</v>
      </c>
      <c r="G53" s="175" t="s">
        <v>139</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96"/>
      <c r="AN53">
        <f>((((TJMAX-TAMB)/ThetaJA)/(CLMAX^2))*1000)*NUMFETS^2</f>
        <v>3.6882414266117984E-2</v>
      </c>
      <c r="AO53">
        <f>((TJMAX-TAMB)/ThetaJA)</f>
        <v>1.52</v>
      </c>
    </row>
    <row r="54" spans="1:44" x14ac:dyDescent="0.25">
      <c r="A54" s="19"/>
      <c r="B54" s="85"/>
      <c r="C54" s="23"/>
      <c r="D54" s="23"/>
      <c r="E54" s="37" t="s">
        <v>136</v>
      </c>
      <c r="F54" s="202">
        <v>1</v>
      </c>
      <c r="G54" s="175" t="s">
        <v>137</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96"/>
      <c r="AN54" s="27" t="s">
        <v>292</v>
      </c>
    </row>
    <row r="55" spans="1:44" ht="15.6" x14ac:dyDescent="0.35">
      <c r="A55" s="19"/>
      <c r="B55" s="85"/>
      <c r="C55" s="23"/>
      <c r="D55" s="23"/>
      <c r="E55" s="37" t="s">
        <v>298</v>
      </c>
      <c r="F55" s="202">
        <v>12</v>
      </c>
      <c r="G55" s="175" t="s">
        <v>91</v>
      </c>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96"/>
      <c r="AN55" s="33">
        <f>F55</f>
        <v>12</v>
      </c>
    </row>
    <row r="56" spans="1:44" ht="15.6" x14ac:dyDescent="0.25">
      <c r="A56" s="19"/>
      <c r="B56" s="85"/>
      <c r="C56" s="23"/>
      <c r="D56" s="23"/>
      <c r="E56" s="37" t="s">
        <v>140</v>
      </c>
      <c r="F56" s="202">
        <v>150</v>
      </c>
      <c r="G56" s="175" t="s">
        <v>201</v>
      </c>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96"/>
      <c r="AN56" s="33">
        <f t="shared" ref="AN56:AN61" si="0">F56</f>
        <v>150</v>
      </c>
    </row>
    <row r="57" spans="1:44" ht="15.6" x14ac:dyDescent="0.35">
      <c r="A57" s="19"/>
      <c r="B57" s="325"/>
      <c r="C57" s="23"/>
      <c r="D57" s="23"/>
      <c r="E57" s="37" t="s">
        <v>409</v>
      </c>
      <c r="F57" s="203">
        <v>50</v>
      </c>
      <c r="G57" s="175" t="s">
        <v>28</v>
      </c>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96"/>
      <c r="AN57" s="33">
        <f t="shared" si="0"/>
        <v>50</v>
      </c>
    </row>
    <row r="58" spans="1:44" ht="15.6" x14ac:dyDescent="0.35">
      <c r="A58" s="19"/>
      <c r="B58" s="325"/>
      <c r="C58" s="23"/>
      <c r="D58" s="23"/>
      <c r="E58" s="37" t="s">
        <v>410</v>
      </c>
      <c r="F58" s="203">
        <v>16</v>
      </c>
      <c r="G58" s="175" t="s">
        <v>28</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96"/>
      <c r="AN58" s="33">
        <f t="shared" si="0"/>
        <v>16</v>
      </c>
    </row>
    <row r="59" spans="1:44" ht="15.6" x14ac:dyDescent="0.35">
      <c r="A59" s="19"/>
      <c r="B59" s="328" t="s">
        <v>135</v>
      </c>
      <c r="C59" s="23"/>
      <c r="D59" s="23"/>
      <c r="E59" s="37" t="s">
        <v>411</v>
      </c>
      <c r="F59" s="203">
        <v>9</v>
      </c>
      <c r="G59" s="175" t="s">
        <v>28</v>
      </c>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96"/>
      <c r="AN59" s="33">
        <f t="shared" si="0"/>
        <v>9</v>
      </c>
      <c r="AR59" s="355"/>
    </row>
    <row r="60" spans="1:44" ht="15.6" x14ac:dyDescent="0.35">
      <c r="A60" s="19"/>
      <c r="B60" s="325"/>
      <c r="C60" s="23"/>
      <c r="D60" s="23"/>
      <c r="E60" s="37" t="s">
        <v>412</v>
      </c>
      <c r="F60" s="203">
        <v>4</v>
      </c>
      <c r="G60" s="175" t="s">
        <v>28</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96"/>
      <c r="AN60" s="33">
        <f t="shared" si="0"/>
        <v>4</v>
      </c>
      <c r="AR60" s="355"/>
    </row>
    <row r="61" spans="1:44" ht="15.6" x14ac:dyDescent="0.35">
      <c r="A61" s="19"/>
      <c r="B61" s="325"/>
      <c r="C61" s="23"/>
      <c r="D61" s="23"/>
      <c r="E61" s="37" t="s">
        <v>413</v>
      </c>
      <c r="F61" s="203">
        <v>4</v>
      </c>
      <c r="G61" s="175" t="s">
        <v>28</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96"/>
      <c r="AN61" s="33">
        <f t="shared" si="0"/>
        <v>4</v>
      </c>
      <c r="AR61" s="355"/>
    </row>
    <row r="62" spans="1:44" ht="15" customHeight="1" x14ac:dyDescent="0.25">
      <c r="A62" s="19"/>
      <c r="B62" s="355" t="s">
        <v>476</v>
      </c>
      <c r="C62" s="23"/>
      <c r="D62" s="23"/>
      <c r="E62" s="37" t="s">
        <v>357</v>
      </c>
      <c r="F62" s="168">
        <f>(IOUTMAX/NUMFETS)^2*RDSON/1000</f>
        <v>0.58799999999999997</v>
      </c>
      <c r="G62" s="175" t="s">
        <v>93</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96"/>
      <c r="AR62" s="355"/>
    </row>
    <row r="63" spans="1:44" ht="15" customHeight="1" x14ac:dyDescent="0.35">
      <c r="A63" s="19"/>
      <c r="B63" s="355"/>
      <c r="C63" s="23"/>
      <c r="D63" s="23"/>
      <c r="E63" s="37" t="s">
        <v>297</v>
      </c>
      <c r="F63" s="386">
        <f>TAMB+(FETPDISS*ThetaJA)</f>
        <v>91.75</v>
      </c>
      <c r="G63" s="175" t="s">
        <v>138</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96"/>
      <c r="AR63" s="355"/>
    </row>
    <row r="64" spans="1:44" s="375" customFormat="1" ht="15" customHeight="1" x14ac:dyDescent="0.25">
      <c r="B64" s="355"/>
      <c r="E64" s="377" t="s">
        <v>523</v>
      </c>
      <c r="F64" s="390">
        <f>Equations!F38</f>
        <v>396.99248120300751</v>
      </c>
      <c r="G64" s="383" t="s">
        <v>93</v>
      </c>
      <c r="AR64" s="355"/>
    </row>
    <row r="65" spans="1:44" s="375" customFormat="1" ht="15" customHeight="1" x14ac:dyDescent="0.25">
      <c r="B65" s="355"/>
      <c r="E65" s="377" t="s">
        <v>315</v>
      </c>
      <c r="F65" s="387">
        <v>1000</v>
      </c>
      <c r="G65" s="383" t="s">
        <v>93</v>
      </c>
      <c r="AR65" s="355"/>
    </row>
    <row r="66" spans="1:44" s="375" customFormat="1" ht="15" customHeight="1" x14ac:dyDescent="0.25">
      <c r="B66" s="355"/>
      <c r="E66" s="377" t="s">
        <v>519</v>
      </c>
      <c r="F66" s="388">
        <f>Equations!F40</f>
        <v>20.424320000000002</v>
      </c>
      <c r="G66" s="383" t="s">
        <v>520</v>
      </c>
    </row>
    <row r="67" spans="1:44" s="375" customFormat="1" ht="15" customHeight="1" x14ac:dyDescent="0.25">
      <c r="B67" s="355"/>
      <c r="E67" s="377" t="s">
        <v>521</v>
      </c>
      <c r="F67" s="382">
        <v>21</v>
      </c>
      <c r="G67" s="383" t="s">
        <v>520</v>
      </c>
    </row>
    <row r="68" spans="1:44" s="375" customFormat="1" ht="24" customHeight="1" x14ac:dyDescent="0.25">
      <c r="B68" s="355"/>
      <c r="E68" s="377" t="s">
        <v>320</v>
      </c>
      <c r="F68" s="388">
        <f>Equations!F42</f>
        <v>1022.3114487249051</v>
      </c>
      <c r="G68" s="383" t="s">
        <v>93</v>
      </c>
      <c r="I68" s="389" t="s">
        <v>522</v>
      </c>
      <c r="J68" s="389"/>
      <c r="K68" s="389"/>
      <c r="L68" s="389"/>
      <c r="M68" s="389"/>
    </row>
    <row r="69" spans="1:44" ht="13.8" x14ac:dyDescent="0.25">
      <c r="A69" s="19"/>
      <c r="B69" s="378" t="s">
        <v>146</v>
      </c>
      <c r="C69" s="23"/>
      <c r="D69" s="23"/>
      <c r="E69" s="37" t="s">
        <v>204</v>
      </c>
      <c r="F69" s="380">
        <v>0</v>
      </c>
      <c r="G69" s="176" t="s">
        <v>92</v>
      </c>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96"/>
      <c r="AN69" s="33"/>
    </row>
    <row r="70" spans="1:44" x14ac:dyDescent="0.25">
      <c r="A70" s="19"/>
      <c r="B70" s="91"/>
      <c r="C70" s="23"/>
      <c r="D70" s="23"/>
      <c r="E70" s="37" t="s">
        <v>147</v>
      </c>
      <c r="F70" s="202" t="s">
        <v>149</v>
      </c>
      <c r="G70" s="176"/>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96"/>
      <c r="AN70" s="33"/>
    </row>
    <row r="71" spans="1:44" x14ac:dyDescent="0.25">
      <c r="A71" s="19"/>
      <c r="B71" s="85"/>
      <c r="C71" s="23"/>
      <c r="D71" s="23"/>
      <c r="E71" s="37" t="s">
        <v>148</v>
      </c>
      <c r="F71" s="202">
        <v>0</v>
      </c>
      <c r="G71" s="176" t="str">
        <f>IF(F70="Constant Current","A","Ohms")</f>
        <v>A</v>
      </c>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96"/>
      <c r="AN71" t="s">
        <v>149</v>
      </c>
    </row>
    <row r="72" spans="1:44" x14ac:dyDescent="0.25">
      <c r="A72" s="19"/>
      <c r="B72" s="85"/>
      <c r="C72" s="23"/>
      <c r="D72" s="23"/>
      <c r="E72" s="66" t="s">
        <v>210</v>
      </c>
      <c r="F72" s="201" t="s">
        <v>211</v>
      </c>
      <c r="G72" s="176"/>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96"/>
      <c r="AN72" t="s">
        <v>150</v>
      </c>
    </row>
    <row r="73" spans="1:44" x14ac:dyDescent="0.25">
      <c r="A73" s="19"/>
      <c r="B73" s="85"/>
      <c r="C73" s="23"/>
      <c r="D73" s="23"/>
      <c r="E73" s="37" t="s">
        <v>336</v>
      </c>
      <c r="F73" s="56">
        <f>Start_up!M2</f>
        <v>5.2799999999999985</v>
      </c>
      <c r="G73" s="175" t="s">
        <v>8</v>
      </c>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96"/>
      <c r="AN73" s="33"/>
    </row>
    <row r="74" spans="1:44" x14ac:dyDescent="0.25">
      <c r="A74" s="19"/>
      <c r="B74" s="85"/>
      <c r="C74" s="23"/>
      <c r="D74" s="23"/>
      <c r="E74" s="37" t="s">
        <v>343</v>
      </c>
      <c r="F74" s="164">
        <f>Start_up!O2</f>
        <v>1</v>
      </c>
      <c r="G74" s="175"/>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96"/>
      <c r="AN74" s="33"/>
    </row>
    <row r="75" spans="1:44" ht="13.2" customHeight="1" x14ac:dyDescent="0.25">
      <c r="A75" s="19"/>
      <c r="B75" s="91"/>
      <c r="C75" s="23"/>
      <c r="D75" s="107"/>
      <c r="E75" s="171" t="s">
        <v>337</v>
      </c>
      <c r="F75" s="56">
        <f>Equations!F55</f>
        <v>9.2399999999999967</v>
      </c>
      <c r="G75" s="176" t="s">
        <v>8</v>
      </c>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96"/>
    </row>
    <row r="76" spans="1:44" ht="12.6" customHeight="1" x14ac:dyDescent="0.25">
      <c r="A76" s="19"/>
      <c r="B76" s="85"/>
      <c r="C76" s="23"/>
      <c r="D76" s="107"/>
      <c r="E76" s="172" t="s">
        <v>341</v>
      </c>
      <c r="F76" s="56">
        <f>Equations!F56</f>
        <v>489.17647058823513</v>
      </c>
      <c r="G76" s="175" t="s">
        <v>131</v>
      </c>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96"/>
    </row>
    <row r="77" spans="1:44" ht="15" customHeight="1" x14ac:dyDescent="0.25">
      <c r="A77" s="19"/>
      <c r="B77" s="85"/>
      <c r="C77" s="23"/>
      <c r="D77" s="107"/>
      <c r="E77" s="172" t="s">
        <v>344</v>
      </c>
      <c r="F77" s="202">
        <v>150</v>
      </c>
      <c r="G77" s="175" t="s">
        <v>131</v>
      </c>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96"/>
    </row>
    <row r="78" spans="1:44" ht="15" customHeight="1" x14ac:dyDescent="0.25">
      <c r="A78" s="19"/>
      <c r="B78" s="327" t="s">
        <v>146</v>
      </c>
      <c r="C78" s="23"/>
      <c r="D78" s="107"/>
      <c r="E78" s="172" t="s">
        <v>397</v>
      </c>
      <c r="F78" s="56">
        <f>Equations!F58</f>
        <v>2.8333333333333335</v>
      </c>
      <c r="G78" s="175" t="s">
        <v>8</v>
      </c>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96"/>
    </row>
    <row r="79" spans="1:44" ht="15" customHeight="1" x14ac:dyDescent="0.25">
      <c r="A79" s="19"/>
      <c r="B79" s="85"/>
      <c r="C79" s="23"/>
      <c r="D79" s="107"/>
      <c r="E79" s="172" t="s">
        <v>352</v>
      </c>
      <c r="F79" s="56">
        <f>Equations!F59</f>
        <v>2.1446968910333379</v>
      </c>
      <c r="G79" s="175"/>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96"/>
    </row>
    <row r="80" spans="1:44" ht="15" customHeight="1" x14ac:dyDescent="0.25">
      <c r="A80" s="19"/>
      <c r="B80" s="85"/>
      <c r="C80" s="23"/>
      <c r="D80" s="107"/>
      <c r="E80" s="172" t="s">
        <v>402</v>
      </c>
      <c r="F80" s="201" t="s">
        <v>211</v>
      </c>
      <c r="G80" s="175"/>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96"/>
    </row>
    <row r="81" spans="1:40" ht="15" customHeight="1" x14ac:dyDescent="0.25">
      <c r="A81" s="19"/>
      <c r="B81" s="85"/>
      <c r="C81" s="23"/>
      <c r="D81" s="107"/>
      <c r="E81" s="172" t="s">
        <v>407</v>
      </c>
      <c r="F81" s="56">
        <f>dv_dt_recommendations!J28</f>
        <v>10.337605835323144</v>
      </c>
      <c r="G81" s="175" t="s">
        <v>360</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96"/>
    </row>
    <row r="82" spans="1:40" ht="15" customHeight="1" x14ac:dyDescent="0.25">
      <c r="A82" s="19"/>
      <c r="B82" s="85"/>
      <c r="C82" s="23"/>
      <c r="D82" s="107"/>
      <c r="E82" s="172" t="s">
        <v>408</v>
      </c>
      <c r="F82" s="56">
        <f>dv_dt_recommendations!J29</f>
        <v>5.2699401826768279E-2</v>
      </c>
      <c r="G82" s="175" t="s">
        <v>360</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96"/>
    </row>
    <row r="83" spans="1:40" ht="15" customHeight="1" x14ac:dyDescent="0.25">
      <c r="A83" s="19"/>
      <c r="B83" s="343" t="s">
        <v>490</v>
      </c>
      <c r="C83" s="344"/>
      <c r="D83" s="107"/>
      <c r="E83" s="34" t="s">
        <v>394</v>
      </c>
      <c r="F83" s="202">
        <v>0.5</v>
      </c>
      <c r="G83" s="175" t="s">
        <v>360</v>
      </c>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96"/>
    </row>
    <row r="84" spans="1:40" ht="15" customHeight="1" x14ac:dyDescent="0.25">
      <c r="A84" s="19"/>
      <c r="B84" s="343"/>
      <c r="C84" s="344"/>
      <c r="D84" s="107"/>
      <c r="E84" s="34" t="s">
        <v>384</v>
      </c>
      <c r="F84" s="56">
        <f>Equations!F63</f>
        <v>110</v>
      </c>
      <c r="G84" s="173" t="s">
        <v>131</v>
      </c>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96"/>
    </row>
    <row r="85" spans="1:40" ht="15" customHeight="1" x14ac:dyDescent="0.25">
      <c r="A85" s="19"/>
      <c r="B85" s="343"/>
      <c r="C85" s="344"/>
      <c r="D85" s="107"/>
      <c r="E85" s="34" t="s">
        <v>385</v>
      </c>
      <c r="F85" s="202">
        <v>22</v>
      </c>
      <c r="G85" s="175" t="s">
        <v>131</v>
      </c>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96"/>
    </row>
    <row r="86" spans="1:40" ht="15" customHeight="1" x14ac:dyDescent="0.25">
      <c r="A86" s="19"/>
      <c r="B86" s="343"/>
      <c r="C86" s="344"/>
      <c r="D86" s="107"/>
      <c r="E86" s="34" t="s">
        <v>395</v>
      </c>
      <c r="F86" s="56">
        <f>Equations!F65</f>
        <v>2.5</v>
      </c>
      <c r="G86" s="175" t="s">
        <v>360</v>
      </c>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96"/>
    </row>
    <row r="87" spans="1:40" ht="16.95" customHeight="1" x14ac:dyDescent="0.25">
      <c r="A87" s="19"/>
      <c r="B87" s="343"/>
      <c r="C87" s="344"/>
      <c r="D87" s="107"/>
      <c r="E87" s="34" t="s">
        <v>390</v>
      </c>
      <c r="F87" s="56">
        <f>Equations!F72</f>
        <v>3.554030460583022</v>
      </c>
      <c r="G87" s="175"/>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96"/>
    </row>
    <row r="88" spans="1:40" ht="16.95" customHeight="1" x14ac:dyDescent="0.25">
      <c r="A88" s="19"/>
      <c r="B88" s="375"/>
      <c r="C88" s="375"/>
      <c r="D88" s="375"/>
      <c r="E88" s="376" t="s">
        <v>387</v>
      </c>
      <c r="F88" s="382">
        <v>0.4</v>
      </c>
      <c r="G88" s="383" t="s">
        <v>8</v>
      </c>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96"/>
    </row>
    <row r="89" spans="1:40" ht="16.95" customHeight="1" x14ac:dyDescent="0.25">
      <c r="A89" s="19"/>
      <c r="B89" s="375"/>
      <c r="C89" s="375"/>
      <c r="D89" s="375"/>
      <c r="E89" s="376" t="s">
        <v>388</v>
      </c>
      <c r="F89" s="384">
        <f>Equations!F77</f>
        <v>21.176470588235297</v>
      </c>
      <c r="G89" s="383" t="s">
        <v>131</v>
      </c>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96"/>
    </row>
    <row r="90" spans="1:40" ht="16.95" customHeight="1" x14ac:dyDescent="0.35">
      <c r="A90" s="19"/>
      <c r="B90" s="375"/>
      <c r="C90" s="375"/>
      <c r="D90" s="375"/>
      <c r="E90" s="376" t="s">
        <v>518</v>
      </c>
      <c r="F90" s="382">
        <v>0.1</v>
      </c>
      <c r="G90" s="383" t="s">
        <v>131</v>
      </c>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96"/>
    </row>
    <row r="91" spans="1:40" ht="15" customHeight="1" x14ac:dyDescent="0.25">
      <c r="A91" s="19"/>
      <c r="B91" s="375"/>
      <c r="C91" s="375"/>
      <c r="D91" s="375"/>
      <c r="E91" s="376" t="s">
        <v>393</v>
      </c>
      <c r="F91" s="384">
        <f>Equations!F79</f>
        <v>1.888888888888889E-3</v>
      </c>
      <c r="G91" s="383" t="s">
        <v>8</v>
      </c>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101" t="s">
        <v>293</v>
      </c>
    </row>
    <row r="92" spans="1:40" ht="15" customHeight="1" x14ac:dyDescent="0.25">
      <c r="A92" s="19"/>
      <c r="B92" s="375"/>
      <c r="C92" s="375"/>
      <c r="D92" s="375"/>
      <c r="E92" s="376" t="s">
        <v>398</v>
      </c>
      <c r="F92" s="384">
        <f>Equations!F81</f>
        <v>2.1446968910333379</v>
      </c>
      <c r="G92" s="38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101"/>
    </row>
    <row r="93" spans="1:40" ht="14.7" customHeight="1" x14ac:dyDescent="0.25">
      <c r="A93" s="19"/>
      <c r="B93" s="375"/>
      <c r="C93" s="375"/>
      <c r="D93" s="375"/>
      <c r="E93" s="377" t="s">
        <v>213</v>
      </c>
      <c r="F93" s="385">
        <f>Equations!F108</f>
        <v>3.090909090909091E-2</v>
      </c>
      <c r="G93" s="383" t="s">
        <v>8</v>
      </c>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96"/>
    </row>
    <row r="94" spans="1:40" ht="15" customHeight="1" x14ac:dyDescent="0.25">
      <c r="A94" s="19"/>
      <c r="B94" s="375"/>
      <c r="C94" s="375"/>
      <c r="D94" s="375"/>
      <c r="E94" s="377" t="s">
        <v>97</v>
      </c>
      <c r="F94" s="384">
        <f>Equations!F111</f>
        <v>0.23044444444444445</v>
      </c>
      <c r="G94" s="383" t="s">
        <v>8</v>
      </c>
      <c r="H94" s="118"/>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96"/>
    </row>
    <row r="95" spans="1:40" ht="15" hidden="1" customHeight="1" x14ac:dyDescent="0.25">
      <c r="A95" s="19"/>
      <c r="B95" s="378" t="s">
        <v>228</v>
      </c>
      <c r="C95" s="379"/>
      <c r="D95" s="23"/>
      <c r="E95" s="65" t="s">
        <v>24</v>
      </c>
      <c r="F95" s="380" t="s">
        <v>23</v>
      </c>
      <c r="G95" s="381"/>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117"/>
      <c r="AN95" s="33" t="s">
        <v>22</v>
      </c>
    </row>
    <row r="96" spans="1:40" ht="15" hidden="1" customHeight="1" x14ac:dyDescent="0.25">
      <c r="A96" s="19"/>
      <c r="B96" s="85"/>
      <c r="C96" s="23"/>
      <c r="D96" s="23"/>
      <c r="E96" s="66" t="s">
        <v>98</v>
      </c>
      <c r="F96" s="204">
        <v>10</v>
      </c>
      <c r="G96" s="181" t="s">
        <v>92</v>
      </c>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96"/>
      <c r="AN96" s="33" t="s">
        <v>23</v>
      </c>
    </row>
    <row r="97" spans="1:39" ht="15" hidden="1" customHeight="1" x14ac:dyDescent="0.25">
      <c r="A97" s="19"/>
      <c r="B97" s="85"/>
      <c r="C97" s="23"/>
      <c r="D97" s="23"/>
      <c r="E97" s="66" t="s">
        <v>99</v>
      </c>
      <c r="F97" s="204">
        <v>9</v>
      </c>
      <c r="G97" s="181" t="s">
        <v>92</v>
      </c>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96"/>
    </row>
    <row r="98" spans="1:39" ht="15" hidden="1" customHeight="1" x14ac:dyDescent="0.25">
      <c r="A98" s="19"/>
      <c r="B98" s="85"/>
      <c r="C98" s="23"/>
      <c r="D98" s="23"/>
      <c r="E98" s="66" t="s">
        <v>108</v>
      </c>
      <c r="F98" s="204">
        <v>15</v>
      </c>
      <c r="G98" s="181" t="s">
        <v>92</v>
      </c>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96"/>
    </row>
    <row r="99" spans="1:39" ht="15" hidden="1" customHeight="1" x14ac:dyDescent="0.25">
      <c r="A99" s="19"/>
      <c r="B99" s="85"/>
      <c r="C99" s="23"/>
      <c r="D99" s="23"/>
      <c r="E99" s="106" t="s">
        <v>100</v>
      </c>
      <c r="F99" s="146">
        <v>14</v>
      </c>
      <c r="G99" s="181" t="s">
        <v>92</v>
      </c>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96"/>
    </row>
    <row r="100" spans="1:39" ht="15" hidden="1" customHeight="1" x14ac:dyDescent="0.25">
      <c r="A100" s="19"/>
      <c r="B100" s="85"/>
      <c r="C100" s="23"/>
      <c r="D100" s="23"/>
      <c r="E100" s="105" t="s">
        <v>289</v>
      </c>
      <c r="F100" s="61">
        <f>IF(F95="Option A",Equations!F129,Equations!G129)</f>
        <v>43.478260869565219</v>
      </c>
      <c r="G100" s="182" t="s">
        <v>90</v>
      </c>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96"/>
    </row>
    <row r="101" spans="1:39" ht="15" hidden="1" customHeight="1" x14ac:dyDescent="0.25">
      <c r="A101" s="19"/>
      <c r="B101" s="85"/>
      <c r="C101" s="23"/>
      <c r="D101" s="23"/>
      <c r="E101" s="104" t="s">
        <v>25</v>
      </c>
      <c r="F101" s="61">
        <f>IF(F95="Option A",Equations!F130,Equations!G130)</f>
        <v>6.4330079858030169</v>
      </c>
      <c r="G101" s="182" t="s">
        <v>90</v>
      </c>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96"/>
    </row>
    <row r="102" spans="1:39" ht="15" hidden="1" customHeight="1" x14ac:dyDescent="0.25">
      <c r="A102" s="19"/>
      <c r="B102" s="326" t="s">
        <v>228</v>
      </c>
      <c r="C102" s="23"/>
      <c r="D102" s="23"/>
      <c r="E102" s="104" t="s">
        <v>26</v>
      </c>
      <c r="F102" s="61">
        <f>IF(F95="Option A",Equations!F131,Equations!G131)</f>
        <v>43.478260869565219</v>
      </c>
      <c r="G102" s="182" t="s">
        <v>90</v>
      </c>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96"/>
    </row>
    <row r="103" spans="1:39" ht="15" hidden="1" customHeight="1" x14ac:dyDescent="0.25">
      <c r="A103" s="19"/>
      <c r="B103" s="85"/>
      <c r="C103" s="23"/>
      <c r="D103" s="23"/>
      <c r="E103" s="104" t="s">
        <v>27</v>
      </c>
      <c r="F103" s="61">
        <f>IF(F95="Option A",Equations!F132,Equations!G132)</f>
        <v>3.6441316913797435</v>
      </c>
      <c r="G103" s="181" t="s">
        <v>90</v>
      </c>
      <c r="H103" s="23"/>
      <c r="I103" s="23"/>
      <c r="J103" s="99"/>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96"/>
    </row>
    <row r="104" spans="1:39" ht="15" hidden="1" customHeight="1" x14ac:dyDescent="0.25">
      <c r="A104" s="19"/>
      <c r="B104" s="85"/>
      <c r="C104" s="23"/>
      <c r="D104" s="23"/>
      <c r="E104" s="66" t="s">
        <v>111</v>
      </c>
      <c r="F104" s="204">
        <v>43.2</v>
      </c>
      <c r="G104" s="182" t="s">
        <v>90</v>
      </c>
      <c r="H104" s="23"/>
      <c r="I104" s="23"/>
      <c r="J104" s="99"/>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96"/>
    </row>
    <row r="105" spans="1:39" ht="15" hidden="1" customHeight="1" x14ac:dyDescent="0.25">
      <c r="A105" s="19"/>
      <c r="B105" s="85"/>
      <c r="C105" s="23"/>
      <c r="D105" s="23"/>
      <c r="E105" s="66" t="s">
        <v>112</v>
      </c>
      <c r="F105" s="204">
        <v>6.49</v>
      </c>
      <c r="G105" s="182" t="s">
        <v>90</v>
      </c>
      <c r="H105" s="23"/>
      <c r="I105" s="23"/>
      <c r="J105" s="99"/>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96"/>
    </row>
    <row r="106" spans="1:39" ht="15" hidden="1" customHeight="1" x14ac:dyDescent="0.25">
      <c r="A106" s="19"/>
      <c r="B106" s="85"/>
      <c r="C106" s="23"/>
      <c r="D106" s="23"/>
      <c r="E106" s="66" t="s">
        <v>113</v>
      </c>
      <c r="F106" s="204">
        <v>43.2</v>
      </c>
      <c r="G106" s="182" t="s">
        <v>90</v>
      </c>
      <c r="H106" s="23"/>
      <c r="I106" s="23"/>
      <c r="J106" s="99"/>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96"/>
    </row>
    <row r="107" spans="1:39" ht="15" hidden="1" customHeight="1" x14ac:dyDescent="0.25">
      <c r="A107" s="19"/>
      <c r="B107" s="85"/>
      <c r="C107" s="23"/>
      <c r="D107" s="23"/>
      <c r="E107" s="66" t="s">
        <v>114</v>
      </c>
      <c r="F107" s="146">
        <v>3.65</v>
      </c>
      <c r="G107" s="182" t="s">
        <v>90</v>
      </c>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96"/>
    </row>
    <row r="108" spans="1:39" ht="15" hidden="1" customHeight="1" x14ac:dyDescent="0.25">
      <c r="A108" s="19"/>
      <c r="B108" s="85"/>
      <c r="C108" s="23"/>
      <c r="D108" s="23"/>
      <c r="E108" s="23"/>
      <c r="F108" s="23"/>
      <c r="G108" s="18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96"/>
    </row>
    <row r="109" spans="1:39" ht="15" hidden="1" customHeight="1" thickBot="1" x14ac:dyDescent="0.3">
      <c r="A109" s="19"/>
      <c r="B109" s="85"/>
      <c r="C109" s="97" t="s">
        <v>57</v>
      </c>
      <c r="D109" s="98" t="s">
        <v>38</v>
      </c>
      <c r="E109" s="98" t="s">
        <v>39</v>
      </c>
      <c r="F109" s="98" t="s">
        <v>40</v>
      </c>
      <c r="G109" s="183"/>
      <c r="H109" s="107"/>
      <c r="I109" s="10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96"/>
    </row>
    <row r="110" spans="1:39" ht="15" hidden="1" customHeight="1" x14ac:dyDescent="0.25">
      <c r="A110" s="19"/>
      <c r="B110" s="85"/>
      <c r="C110" s="37" t="s">
        <v>101</v>
      </c>
      <c r="D110" s="52">
        <f>IF($F$95="Option A",Equations!F133,Equations!G133)</f>
        <v>9.5594844375963017</v>
      </c>
      <c r="E110" s="53">
        <f>IF($F$95="Option A",Equations!F134,Equations!G134)</f>
        <v>9.8750175654853614</v>
      </c>
      <c r="F110" s="54">
        <f>IF($F$95="Option A",Equations!F135,Equations!G135)</f>
        <v>10.190550693374423</v>
      </c>
      <c r="G110" s="181" t="s">
        <v>92</v>
      </c>
      <c r="H110" s="107"/>
      <c r="I110" s="10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96"/>
    </row>
    <row r="111" spans="1:39" ht="15" hidden="1" customHeight="1" x14ac:dyDescent="0.25">
      <c r="A111" s="19"/>
      <c r="B111" s="85"/>
      <c r="C111" s="37" t="s">
        <v>102</v>
      </c>
      <c r="D111" s="55">
        <f>IF($F$95="Option A",Equations!F136,Equations!G136)</f>
        <v>8.7818844375963039</v>
      </c>
      <c r="E111" s="56">
        <f>IF($F$95="Option A",Equations!F137,Equations!G137)</f>
        <v>8.8814175654853624</v>
      </c>
      <c r="F111" s="57">
        <f>IF($F$95="Option A",Equations!F138,Equations!G138)</f>
        <v>8.9809506933744228</v>
      </c>
      <c r="G111" s="181" t="s">
        <v>92</v>
      </c>
      <c r="H111" s="107"/>
      <c r="I111" s="10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96"/>
    </row>
    <row r="112" spans="1:39" ht="15" hidden="1" customHeight="1" x14ac:dyDescent="0.25">
      <c r="A112" s="19"/>
      <c r="B112" s="85"/>
      <c r="C112" s="37" t="s">
        <v>103</v>
      </c>
      <c r="D112" s="55">
        <f>IF($F$95="Option A",Equations!F139,Equations!G139)</f>
        <v>14.645438356164385</v>
      </c>
      <c r="E112" s="56">
        <f>IF($F$95="Option A",Equations!F140,Equations!G140)</f>
        <v>14.889315068493151</v>
      </c>
      <c r="F112" s="57">
        <f>IF($F$95="Option A",Equations!F141,Equations!G141)</f>
        <v>15.210205479452057</v>
      </c>
      <c r="G112" s="181" t="s">
        <v>92</v>
      </c>
      <c r="H112" s="107"/>
      <c r="I112" s="10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96"/>
    </row>
    <row r="113" spans="1:39" ht="15" hidden="1" customHeight="1" thickBot="1" x14ac:dyDescent="0.3">
      <c r="A113" s="19"/>
      <c r="B113" s="85"/>
      <c r="C113" s="37" t="s">
        <v>104</v>
      </c>
      <c r="D113" s="58">
        <f>IF($F$95="Option A",Equations!F142,Equations!G142)</f>
        <v>13.435838356164384</v>
      </c>
      <c r="E113" s="59">
        <f>IF($F$95="Option A",Equations!F143,Equations!G143)</f>
        <v>13.89571506849315</v>
      </c>
      <c r="F113" s="60">
        <f>IF($F$95="Option A",Equations!F144,Equations!G144)</f>
        <v>14.432605479452056</v>
      </c>
      <c r="G113" s="181" t="s">
        <v>92</v>
      </c>
      <c r="H113" s="107"/>
      <c r="I113" s="10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96"/>
    </row>
    <row r="114" spans="1:39" ht="15" hidden="1" customHeight="1" x14ac:dyDescent="0.25">
      <c r="A114" s="19"/>
      <c r="B114" s="85"/>
      <c r="C114" s="99" t="s">
        <v>224</v>
      </c>
      <c r="D114" s="9"/>
      <c r="E114" s="23"/>
      <c r="F114" s="23"/>
      <c r="G114" s="183"/>
      <c r="H114" s="107"/>
      <c r="I114" s="10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96"/>
    </row>
    <row r="115" spans="1:39" ht="15" hidden="1" customHeight="1" x14ac:dyDescent="0.35">
      <c r="A115" s="19"/>
      <c r="B115" s="84"/>
      <c r="C115" s="23"/>
      <c r="D115" s="23"/>
      <c r="E115" s="37" t="s">
        <v>125</v>
      </c>
      <c r="F115" s="205">
        <v>10</v>
      </c>
      <c r="G115" s="184" t="s">
        <v>90</v>
      </c>
      <c r="H115" s="23"/>
      <c r="I115" s="9"/>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96"/>
    </row>
    <row r="116" spans="1:39" ht="15" hidden="1" customHeight="1" x14ac:dyDescent="0.25">
      <c r="A116" s="19"/>
      <c r="B116" s="85"/>
      <c r="C116" s="23"/>
      <c r="D116" s="23"/>
      <c r="E116" s="37" t="s">
        <v>126</v>
      </c>
      <c r="F116" s="205">
        <v>9</v>
      </c>
      <c r="G116" s="185" t="s">
        <v>92</v>
      </c>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96"/>
    </row>
    <row r="117" spans="1:39" ht="15" hidden="1" customHeight="1" x14ac:dyDescent="0.25">
      <c r="A117" s="19"/>
      <c r="B117" s="85"/>
      <c r="C117" s="23"/>
      <c r="D117" s="23"/>
      <c r="E117" s="37" t="s">
        <v>127</v>
      </c>
      <c r="F117" s="205">
        <v>0.3</v>
      </c>
      <c r="G117" s="185" t="s">
        <v>92</v>
      </c>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96"/>
    </row>
    <row r="118" spans="1:39" ht="15" hidden="1" customHeight="1" x14ac:dyDescent="0.35">
      <c r="A118" s="19"/>
      <c r="B118" s="85"/>
      <c r="C118" s="23"/>
      <c r="D118" s="23"/>
      <c r="E118" s="110" t="s">
        <v>290</v>
      </c>
      <c r="F118" s="63">
        <f>F117/('Device Parmaters'!D52/1000)</f>
        <v>12.5</v>
      </c>
      <c r="G118" s="184" t="s">
        <v>90</v>
      </c>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96"/>
    </row>
    <row r="119" spans="1:39" ht="15" hidden="1" customHeight="1" x14ac:dyDescent="0.35">
      <c r="A119" s="19"/>
      <c r="B119" s="85"/>
      <c r="C119" s="23"/>
      <c r="D119" s="23"/>
      <c r="E119" s="110" t="s">
        <v>116</v>
      </c>
      <c r="F119" s="128">
        <f>F118*'Device Parmaters'!D51/(F116-'Device Parmaters'!D51)</f>
        <v>1.862313289927231</v>
      </c>
      <c r="G119" s="184" t="s">
        <v>90</v>
      </c>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96"/>
    </row>
    <row r="120" spans="1:39" ht="15" hidden="1" customHeight="1" x14ac:dyDescent="0.35">
      <c r="A120" s="19"/>
      <c r="B120" s="85"/>
      <c r="C120" s="23"/>
      <c r="D120" s="23"/>
      <c r="E120" s="37" t="s">
        <v>249</v>
      </c>
      <c r="F120" s="205">
        <v>10</v>
      </c>
      <c r="G120" s="184" t="s">
        <v>90</v>
      </c>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96"/>
    </row>
    <row r="121" spans="1:39" ht="15" hidden="1" customHeight="1" x14ac:dyDescent="0.35">
      <c r="A121" s="19"/>
      <c r="B121" s="85"/>
      <c r="C121" s="23"/>
      <c r="D121" s="23"/>
      <c r="E121" s="110" t="s">
        <v>116</v>
      </c>
      <c r="F121" s="205">
        <v>1.5</v>
      </c>
      <c r="G121" s="184" t="s">
        <v>90</v>
      </c>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96"/>
    </row>
    <row r="122" spans="1:39" ht="15" hidden="1" customHeight="1" x14ac:dyDescent="0.25">
      <c r="A122" s="19"/>
      <c r="B122" s="85"/>
      <c r="C122" s="23"/>
      <c r="D122" s="23"/>
      <c r="E122" s="110" t="s">
        <v>259</v>
      </c>
      <c r="F122" s="132">
        <f>Equations!F114</f>
        <v>8.947000000000001</v>
      </c>
      <c r="G122" s="185" t="s">
        <v>92</v>
      </c>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96"/>
    </row>
    <row r="123" spans="1:39" ht="15" hidden="1" customHeight="1" thickBot="1" x14ac:dyDescent="0.3">
      <c r="A123" s="19"/>
      <c r="B123" s="85"/>
      <c r="C123" s="87"/>
      <c r="D123" s="87"/>
      <c r="E123" s="110" t="s">
        <v>260</v>
      </c>
      <c r="F123" s="132">
        <f>Equations!F117</f>
        <v>240</v>
      </c>
      <c r="G123" s="185" t="s">
        <v>184</v>
      </c>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100"/>
    </row>
    <row r="124" spans="1:39" ht="18.75" hidden="1" customHeight="1" x14ac:dyDescent="0.25">
      <c r="A124" s="19"/>
      <c r="B124" s="147" t="s">
        <v>233</v>
      </c>
      <c r="C124" s="82"/>
      <c r="D124" s="82"/>
      <c r="E124" s="119" t="s">
        <v>120</v>
      </c>
      <c r="F124" s="95">
        <f>Rs</f>
        <v>0.13300000000000001</v>
      </c>
      <c r="G124" s="186" t="s">
        <v>91</v>
      </c>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117"/>
    </row>
    <row r="125" spans="1:39" ht="15" hidden="1" customHeight="1" x14ac:dyDescent="0.25">
      <c r="A125" s="19"/>
      <c r="B125" s="84"/>
      <c r="C125" s="23"/>
      <c r="D125" s="23"/>
      <c r="E125" s="102" t="s">
        <v>231</v>
      </c>
      <c r="F125" s="103" t="str">
        <f>IF(RsMAX&gt;Rs,"Open",RDIV1)</f>
        <v>Open</v>
      </c>
      <c r="G125" s="187" t="s">
        <v>93</v>
      </c>
      <c r="H125" s="23"/>
      <c r="I125" s="23"/>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48"/>
    </row>
    <row r="126" spans="1:39" ht="14.25" hidden="1" customHeight="1" thickBot="1" x14ac:dyDescent="0.3">
      <c r="A126" s="19"/>
      <c r="B126" s="84"/>
      <c r="C126" s="23"/>
      <c r="D126" s="23"/>
      <c r="E126" s="102" t="s">
        <v>232</v>
      </c>
      <c r="F126" s="103">
        <f>IF(RsMAX&gt;Rs,0,RDIV2)</f>
        <v>0</v>
      </c>
      <c r="G126" s="187" t="s">
        <v>93</v>
      </c>
      <c r="H126" s="23"/>
      <c r="I126" s="23"/>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48"/>
    </row>
    <row r="127" spans="1:39" ht="15" hidden="1" customHeight="1" x14ac:dyDescent="0.25">
      <c r="A127" s="19"/>
      <c r="B127" s="85"/>
      <c r="C127" s="23"/>
      <c r="D127" s="23"/>
      <c r="E127" s="65" t="s">
        <v>19</v>
      </c>
      <c r="F127" s="45">
        <f>F67</f>
        <v>21</v>
      </c>
      <c r="G127" s="188" t="s">
        <v>90</v>
      </c>
      <c r="H127" s="23"/>
      <c r="I127" s="283"/>
      <c r="J127" s="284"/>
      <c r="K127" s="285" t="s">
        <v>39</v>
      </c>
      <c r="L127" s="286" t="s">
        <v>173</v>
      </c>
      <c r="M127" s="98"/>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96"/>
    </row>
    <row r="128" spans="1:39" ht="15" hidden="1" customHeight="1" x14ac:dyDescent="0.25">
      <c r="A128" s="19"/>
      <c r="B128" s="85"/>
      <c r="C128" s="23"/>
      <c r="D128" s="23"/>
      <c r="E128" s="65" t="s">
        <v>20</v>
      </c>
      <c r="F128" s="56">
        <f>IF(F72="YES", F90, F77)</f>
        <v>0.1</v>
      </c>
      <c r="G128" s="189" t="s">
        <v>131</v>
      </c>
      <c r="H128" s="23"/>
      <c r="I128" s="287"/>
      <c r="J128" s="280" t="s">
        <v>234</v>
      </c>
      <c r="K128" s="129">
        <f>F47</f>
        <v>187.96992481203006</v>
      </c>
      <c r="L128" s="288" t="s">
        <v>28</v>
      </c>
      <c r="M128" s="232"/>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96"/>
    </row>
    <row r="129" spans="1:40" ht="15" hidden="1" customHeight="1" x14ac:dyDescent="0.25">
      <c r="A129" s="19"/>
      <c r="B129" s="85"/>
      <c r="C129" s="23"/>
      <c r="D129" s="23"/>
      <c r="E129" s="65" t="s">
        <v>13</v>
      </c>
      <c r="F129" s="46">
        <f>F104</f>
        <v>43.2</v>
      </c>
      <c r="G129" s="188" t="s">
        <v>90</v>
      </c>
      <c r="H129" s="23"/>
      <c r="I129" s="287"/>
      <c r="J129" s="280" t="s">
        <v>183</v>
      </c>
      <c r="K129" s="124">
        <f>F68</f>
        <v>1022.3114487249051</v>
      </c>
      <c r="L129" s="288" t="s">
        <v>93</v>
      </c>
      <c r="M129" s="23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96"/>
    </row>
    <row r="130" spans="1:40" ht="15" hidden="1" customHeight="1" x14ac:dyDescent="0.25">
      <c r="A130" s="19"/>
      <c r="B130" s="85"/>
      <c r="C130" s="23"/>
      <c r="D130" s="23"/>
      <c r="E130" s="65" t="s">
        <v>14</v>
      </c>
      <c r="F130" s="46">
        <f>F105</f>
        <v>6.49</v>
      </c>
      <c r="G130" s="188" t="s">
        <v>90</v>
      </c>
      <c r="H130" s="23"/>
      <c r="I130" s="287"/>
      <c r="J130" s="281" t="s">
        <v>244</v>
      </c>
      <c r="K130" s="129">
        <f xml:space="preserve"> IF(F51="1.8 x Current Limit",'Device Parmaters'!D34*'Design Calculator'!K128,'Device Parmaters'!D36*'Design Calculator'!K128)</f>
        <v>338.3458646616541</v>
      </c>
      <c r="L130" s="288" t="s">
        <v>28</v>
      </c>
      <c r="M130" s="232"/>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96"/>
    </row>
    <row r="131" spans="1:40" ht="15" hidden="1" customHeight="1" x14ac:dyDescent="0.25">
      <c r="A131" s="19"/>
      <c r="B131" s="85"/>
      <c r="C131" s="23"/>
      <c r="D131" s="23"/>
      <c r="E131" s="65" t="s">
        <v>15</v>
      </c>
      <c r="F131" s="46">
        <f>F106</f>
        <v>43.2</v>
      </c>
      <c r="G131" s="188" t="s">
        <v>90</v>
      </c>
      <c r="H131" s="23"/>
      <c r="I131" s="287"/>
      <c r="J131" s="280" t="s">
        <v>235</v>
      </c>
      <c r="K131" s="131">
        <f>IF(F72="YES",Equations!F67,Start_up!M2)</f>
        <v>5.2799999999999994</v>
      </c>
      <c r="L131" s="288" t="s">
        <v>8</v>
      </c>
      <c r="M131" s="234"/>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96"/>
    </row>
    <row r="132" spans="1:40" ht="15" hidden="1" customHeight="1" x14ac:dyDescent="0.25">
      <c r="A132" s="19"/>
      <c r="B132" s="85"/>
      <c r="C132" s="23"/>
      <c r="D132" s="23"/>
      <c r="E132" s="65" t="s">
        <v>16</v>
      </c>
      <c r="F132" s="47">
        <f>IF(F95="Option A","N/A",F107)</f>
        <v>3.65</v>
      </c>
      <c r="G132" s="188" t="s">
        <v>90</v>
      </c>
      <c r="H132" s="23"/>
      <c r="I132" s="287"/>
      <c r="J132" s="280" t="s">
        <v>236</v>
      </c>
      <c r="K132" s="129">
        <f>TINSERT</f>
        <v>3.090909090909091E-2</v>
      </c>
      <c r="L132" s="288" t="s">
        <v>8</v>
      </c>
      <c r="M132" s="232"/>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96"/>
    </row>
    <row r="133" spans="1:40" ht="15" hidden="1" customHeight="1" x14ac:dyDescent="0.25">
      <c r="A133" s="19"/>
      <c r="B133" s="85"/>
      <c r="C133" s="23"/>
      <c r="D133" s="23"/>
      <c r="E133" s="66" t="s">
        <v>117</v>
      </c>
      <c r="F133" s="48">
        <f>F120</f>
        <v>10</v>
      </c>
      <c r="G133" s="188" t="s">
        <v>90</v>
      </c>
      <c r="H133" s="23"/>
      <c r="I133" s="287"/>
      <c r="J133" s="280" t="s">
        <v>237</v>
      </c>
      <c r="K133" s="125">
        <f>IF(F72="YES", F91,F78)</f>
        <v>1.888888888888889E-3</v>
      </c>
      <c r="L133" s="288" t="s">
        <v>8</v>
      </c>
      <c r="M133" s="235"/>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96"/>
    </row>
    <row r="134" spans="1:40" ht="15" hidden="1" customHeight="1" x14ac:dyDescent="0.25">
      <c r="A134" s="19"/>
      <c r="B134" s="85"/>
      <c r="C134" s="23"/>
      <c r="D134" s="23"/>
      <c r="E134" s="66" t="s">
        <v>118</v>
      </c>
      <c r="F134" s="48">
        <f>F121</f>
        <v>1.5</v>
      </c>
      <c r="G134" s="188" t="s">
        <v>90</v>
      </c>
      <c r="H134" s="23"/>
      <c r="I134" s="287"/>
      <c r="J134" s="280" t="s">
        <v>238</v>
      </c>
      <c r="K134" s="125">
        <f>F94</f>
        <v>0.23044444444444445</v>
      </c>
      <c r="L134" s="288" t="s">
        <v>8</v>
      </c>
      <c r="M134" s="235"/>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96"/>
    </row>
    <row r="135" spans="1:40" ht="15" hidden="1" customHeight="1" x14ac:dyDescent="0.25">
      <c r="A135" s="19"/>
      <c r="B135" s="85"/>
      <c r="C135" s="23"/>
      <c r="D135" s="23"/>
      <c r="E135" s="65" t="s">
        <v>59</v>
      </c>
      <c r="F135" s="50">
        <f>F115</f>
        <v>10</v>
      </c>
      <c r="G135" s="188" t="s">
        <v>90</v>
      </c>
      <c r="H135" s="23"/>
      <c r="I135" s="287"/>
      <c r="J135" s="282" t="s">
        <v>239</v>
      </c>
      <c r="K135" s="125">
        <f>E110</f>
        <v>9.8750175654853614</v>
      </c>
      <c r="L135" s="288" t="s">
        <v>92</v>
      </c>
      <c r="M135" s="235"/>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96"/>
    </row>
    <row r="136" spans="1:40" ht="15" hidden="1" customHeight="1" x14ac:dyDescent="0.25">
      <c r="A136" s="19"/>
      <c r="B136" s="85"/>
      <c r="C136" s="23"/>
      <c r="D136" s="23"/>
      <c r="E136" s="65" t="s">
        <v>58</v>
      </c>
      <c r="F136" s="49">
        <v>0.01</v>
      </c>
      <c r="G136" s="188" t="s">
        <v>89</v>
      </c>
      <c r="H136" s="23"/>
      <c r="I136" s="287"/>
      <c r="J136" s="282" t="s">
        <v>241</v>
      </c>
      <c r="K136" s="125">
        <f>E111</f>
        <v>8.8814175654853624</v>
      </c>
      <c r="L136" s="288" t="s">
        <v>92</v>
      </c>
      <c r="M136" s="235"/>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96"/>
    </row>
    <row r="137" spans="1:40" ht="15" hidden="1" customHeight="1" x14ac:dyDescent="0.25">
      <c r="A137" s="19"/>
      <c r="B137" s="85"/>
      <c r="C137" s="23"/>
      <c r="D137" s="23"/>
      <c r="E137" s="66" t="s">
        <v>229</v>
      </c>
      <c r="F137" s="51">
        <v>1</v>
      </c>
      <c r="G137" s="188" t="s">
        <v>89</v>
      </c>
      <c r="H137" s="23"/>
      <c r="I137" s="287"/>
      <c r="J137" s="282" t="s">
        <v>242</v>
      </c>
      <c r="K137" s="125">
        <f>E112</f>
        <v>14.889315068493151</v>
      </c>
      <c r="L137" s="288" t="s">
        <v>92</v>
      </c>
      <c r="M137" s="235"/>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96"/>
    </row>
    <row r="138" spans="1:40" ht="15" hidden="1" customHeight="1" x14ac:dyDescent="0.25">
      <c r="A138" s="19"/>
      <c r="B138" s="85"/>
      <c r="C138" s="23"/>
      <c r="D138" s="23"/>
      <c r="E138" s="66" t="s">
        <v>230</v>
      </c>
      <c r="F138" s="51">
        <v>1</v>
      </c>
      <c r="G138" s="188" t="s">
        <v>89</v>
      </c>
      <c r="H138" s="23"/>
      <c r="I138" s="287"/>
      <c r="J138" s="282" t="s">
        <v>240</v>
      </c>
      <c r="K138" s="125">
        <f>E113</f>
        <v>13.89571506849315</v>
      </c>
      <c r="L138" s="288" t="s">
        <v>92</v>
      </c>
      <c r="M138" s="235"/>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96"/>
    </row>
    <row r="139" spans="1:40" ht="15" hidden="1" customHeight="1" x14ac:dyDescent="0.25">
      <c r="A139" s="19"/>
      <c r="B139" s="85"/>
      <c r="C139" s="23"/>
      <c r="D139" s="23"/>
      <c r="E139" s="66" t="s">
        <v>504</v>
      </c>
      <c r="F139" s="51" t="s">
        <v>494</v>
      </c>
      <c r="G139" s="189"/>
      <c r="H139" s="23"/>
      <c r="I139" s="287"/>
      <c r="J139" s="282" t="s">
        <v>245</v>
      </c>
      <c r="K139" s="21">
        <f>Equations!F114</f>
        <v>8.947000000000001</v>
      </c>
      <c r="L139" s="288" t="s">
        <v>92</v>
      </c>
      <c r="M139" s="190"/>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96"/>
    </row>
    <row r="140" spans="1:40" ht="15" hidden="1" customHeight="1" x14ac:dyDescent="0.25">
      <c r="A140" s="19"/>
      <c r="B140" s="85"/>
      <c r="C140" s="23"/>
      <c r="D140" s="23"/>
      <c r="E140" s="66" t="s">
        <v>498</v>
      </c>
      <c r="F140" s="51" t="s">
        <v>499</v>
      </c>
      <c r="G140" s="189"/>
      <c r="H140" s="23"/>
      <c r="I140" s="295"/>
      <c r="J140" s="296"/>
      <c r="K140" s="297"/>
      <c r="L140" s="298"/>
      <c r="M140" s="190"/>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96"/>
    </row>
    <row r="141" spans="1:40" ht="15" hidden="1" customHeight="1" thickBot="1" x14ac:dyDescent="0.3">
      <c r="A141" s="19"/>
      <c r="B141" s="85"/>
      <c r="C141" s="23"/>
      <c r="D141" s="23"/>
      <c r="E141" s="66" t="s">
        <v>493</v>
      </c>
      <c r="F141" s="51">
        <f>IF(F72="YES", F85, "DNP")</f>
        <v>22</v>
      </c>
      <c r="G141" s="189" t="s">
        <v>131</v>
      </c>
      <c r="H141" s="23"/>
      <c r="I141" s="289"/>
      <c r="J141" s="290" t="s">
        <v>243</v>
      </c>
      <c r="K141" s="123">
        <f>Equations!F117</f>
        <v>240</v>
      </c>
      <c r="L141" s="291" t="s">
        <v>184</v>
      </c>
      <c r="M141" s="190"/>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96"/>
    </row>
    <row r="142" spans="1:40" ht="15" hidden="1" customHeight="1" x14ac:dyDescent="0.25">
      <c r="A142" s="19"/>
      <c r="B142" s="85"/>
      <c r="C142" s="23"/>
      <c r="D142" s="23"/>
      <c r="E142" s="66" t="s">
        <v>258</v>
      </c>
      <c r="F142" s="46" t="str">
        <f>IF(F37="25 mV","GND","VDD")</f>
        <v>GND</v>
      </c>
      <c r="G142" s="188" t="s">
        <v>89</v>
      </c>
      <c r="H142" s="23"/>
      <c r="I142" s="118"/>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96"/>
    </row>
    <row r="143" spans="1:40" ht="15" hidden="1" customHeight="1" x14ac:dyDescent="0.25">
      <c r="A143" s="19"/>
      <c r="B143" s="85"/>
      <c r="C143" s="23"/>
      <c r="D143" s="23"/>
      <c r="E143" s="66" t="s">
        <v>257</v>
      </c>
      <c r="F143" s="51" t="str">
        <f>IF(F51="1.8 x Current Limit","GND","VDD")</f>
        <v>GND</v>
      </c>
      <c r="G143" s="188" t="s">
        <v>89</v>
      </c>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96"/>
    </row>
    <row r="144" spans="1:40" ht="15" hidden="1" customHeight="1" x14ac:dyDescent="0.25">
      <c r="A144" s="19"/>
      <c r="B144" s="85"/>
      <c r="C144" s="23"/>
      <c r="D144" s="23"/>
      <c r="E144" s="66" t="s">
        <v>261</v>
      </c>
      <c r="F144" s="115" t="str">
        <f>IF(F50="Retry","GND","VDD")</f>
        <v>VDD</v>
      </c>
      <c r="G144" s="188" t="s">
        <v>89</v>
      </c>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96"/>
      <c r="AN144" s="33"/>
    </row>
    <row r="145" spans="1:40" ht="15" hidden="1" customHeight="1" x14ac:dyDescent="0.25">
      <c r="A145" s="19"/>
      <c r="B145" s="85"/>
      <c r="C145" s="23"/>
      <c r="D145" s="23"/>
      <c r="E145" s="276" t="s">
        <v>500</v>
      </c>
      <c r="F145" s="279" t="str">
        <f>F52</f>
        <v>PPJQ5462A-AU</v>
      </c>
      <c r="G145" s="189"/>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96"/>
      <c r="AN145" s="33"/>
    </row>
    <row r="146" spans="1:40" ht="15" hidden="1" customHeight="1" x14ac:dyDescent="0.25">
      <c r="A146" s="19"/>
      <c r="B146" s="85"/>
      <c r="C146" s="23"/>
      <c r="D146" s="23"/>
      <c r="E146" s="278" t="s">
        <v>501</v>
      </c>
      <c r="F146" s="279" t="s">
        <v>487</v>
      </c>
      <c r="G146" s="189"/>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96"/>
      <c r="AN146" s="33"/>
    </row>
    <row r="147" spans="1:40" ht="15" hidden="1" customHeight="1" x14ac:dyDescent="0.25">
      <c r="A147" s="19"/>
      <c r="B147" s="85"/>
      <c r="C147" s="23"/>
      <c r="E147" s="278" t="s">
        <v>502</v>
      </c>
      <c r="F147" s="279" t="s">
        <v>495</v>
      </c>
      <c r="G147" s="189"/>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96"/>
      <c r="AN147" s="33"/>
    </row>
    <row r="148" spans="1:40" ht="15" hidden="1" customHeight="1" x14ac:dyDescent="0.25">
      <c r="A148" s="19"/>
      <c r="B148" s="85"/>
      <c r="C148" s="23"/>
      <c r="D148" s="23"/>
      <c r="E148" s="277" t="s">
        <v>503</v>
      </c>
      <c r="F148" s="279" t="s">
        <v>492</v>
      </c>
      <c r="G148" s="189"/>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96"/>
      <c r="AN148" s="33"/>
    </row>
    <row r="149" spans="1:40" ht="15" hidden="1" customHeight="1" x14ac:dyDescent="0.25">
      <c r="A149" s="19"/>
      <c r="B149" s="85"/>
      <c r="C149" s="23"/>
      <c r="D149" s="23"/>
      <c r="E149" s="278"/>
      <c r="F149" s="189"/>
      <c r="G149" s="189"/>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96"/>
      <c r="AN149" s="33"/>
    </row>
    <row r="150" spans="1:40" ht="15" hidden="1" customHeight="1" x14ac:dyDescent="0.25">
      <c r="A150" s="19"/>
      <c r="B150" s="85"/>
      <c r="C150" s="23"/>
      <c r="D150" s="23"/>
      <c r="E150" s="66"/>
      <c r="F150" s="133"/>
      <c r="G150" s="189"/>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96"/>
      <c r="AN150" s="33"/>
    </row>
    <row r="151" spans="1:40" ht="15.6" hidden="1" x14ac:dyDescent="0.35">
      <c r="A151" s="19"/>
      <c r="B151" s="275" t="s">
        <v>21</v>
      </c>
      <c r="C151" s="35" t="s">
        <v>96</v>
      </c>
      <c r="D151" s="22"/>
      <c r="E151" s="35"/>
      <c r="F151" s="120"/>
      <c r="G151" s="189"/>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96"/>
      <c r="AN151" s="33"/>
    </row>
    <row r="152" spans="1:40" hidden="1" x14ac:dyDescent="0.25">
      <c r="A152" s="19"/>
      <c r="B152" s="85"/>
      <c r="C152" s="35" t="s">
        <v>119</v>
      </c>
      <c r="D152" s="23"/>
      <c r="E152" s="35"/>
      <c r="F152" s="23"/>
      <c r="G152" s="189"/>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96"/>
    </row>
    <row r="153" spans="1:40" hidden="1" x14ac:dyDescent="0.25">
      <c r="A153" s="19"/>
      <c r="B153" s="85"/>
      <c r="C153" s="35" t="s">
        <v>288</v>
      </c>
      <c r="D153" s="23"/>
      <c r="E153" s="35"/>
      <c r="F153" s="23"/>
      <c r="G153" s="189"/>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96"/>
    </row>
    <row r="154" spans="1:40" ht="13.8" hidden="1" thickBot="1" x14ac:dyDescent="0.3">
      <c r="A154" s="19"/>
      <c r="B154" s="86"/>
      <c r="C154" s="87"/>
      <c r="D154" s="87"/>
      <c r="E154" s="121"/>
      <c r="F154" s="87"/>
      <c r="G154" s="191"/>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100"/>
    </row>
    <row r="155" spans="1:40" hidden="1" x14ac:dyDescent="0.25">
      <c r="A155" s="19"/>
      <c r="B155" s="19"/>
      <c r="C155" s="19"/>
      <c r="D155" s="19"/>
      <c r="E155" s="19"/>
      <c r="F155" s="32"/>
      <c r="G155" s="20"/>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40" ht="13.8" hidden="1" x14ac:dyDescent="0.25">
      <c r="A156" s="19"/>
      <c r="B156" s="43"/>
      <c r="C156" s="19"/>
      <c r="D156" s="19"/>
      <c r="E156" s="19"/>
      <c r="F156" s="36"/>
      <c r="G156" s="190"/>
      <c r="H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40" hidden="1" x14ac:dyDescent="0.25">
      <c r="A157" s="19"/>
      <c r="B157" s="19"/>
      <c r="C157" s="19"/>
      <c r="D157" s="19"/>
      <c r="E157" s="19"/>
      <c r="F157" s="36"/>
      <c r="G157" s="190"/>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40" hidden="1" x14ac:dyDescent="0.25">
      <c r="A158" s="19"/>
      <c r="B158" s="19"/>
      <c r="C158" s="19"/>
      <c r="D158" s="19"/>
      <c r="E158" s="19"/>
      <c r="F158" s="36"/>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40" hidden="1" x14ac:dyDescent="0.25">
      <c r="A159" s="19"/>
      <c r="B159" s="19"/>
      <c r="C159" s="19"/>
      <c r="D159" s="19"/>
      <c r="E159" s="19"/>
      <c r="F159" s="36"/>
      <c r="G159" s="192"/>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40" hidden="1" x14ac:dyDescent="0.25">
      <c r="A160" s="19"/>
      <c r="B160" s="19"/>
      <c r="C160" s="19"/>
      <c r="D160" s="19"/>
      <c r="E160" s="19"/>
      <c r="F160" s="36"/>
      <c r="G160" s="192"/>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hidden="1" x14ac:dyDescent="0.25">
      <c r="A161" s="19"/>
      <c r="B161" s="19"/>
      <c r="C161" s="19"/>
      <c r="D161" s="19"/>
      <c r="E161" s="19"/>
      <c r="F161" s="36"/>
      <c r="G161" s="192"/>
      <c r="H161" s="36"/>
      <c r="I161" s="36"/>
      <c r="J161" s="36"/>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hidden="1" x14ac:dyDescent="0.25">
      <c r="A162" s="19"/>
      <c r="B162" s="19"/>
      <c r="C162" s="19"/>
      <c r="D162" s="19"/>
      <c r="E162" s="19"/>
      <c r="F162" s="36"/>
      <c r="G162" s="192"/>
      <c r="H162" s="36"/>
      <c r="I162" s="36"/>
      <c r="J162" s="36"/>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hidden="1" x14ac:dyDescent="0.25">
      <c r="A163" s="19"/>
      <c r="B163" s="19"/>
      <c r="C163" s="19"/>
      <c r="D163" s="19"/>
      <c r="E163" s="19"/>
      <c r="F163" s="36"/>
      <c r="G163" s="192"/>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hidden="1" x14ac:dyDescent="0.25">
      <c r="A164" s="19"/>
      <c r="B164" s="19"/>
      <c r="C164" s="19"/>
      <c r="D164" s="19"/>
      <c r="E164" s="19"/>
      <c r="F164" s="19"/>
      <c r="G164" s="192"/>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hidden="1" x14ac:dyDescent="0.25">
      <c r="A165" s="19"/>
      <c r="B165" s="19"/>
      <c r="C165" s="19"/>
      <c r="D165" s="19"/>
      <c r="E165" s="19"/>
      <c r="F165" s="36"/>
      <c r="G165" s="192"/>
      <c r="H165" s="36"/>
      <c r="I165" s="36"/>
      <c r="J165" s="36"/>
      <c r="K165" s="36"/>
      <c r="L165" s="36"/>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5">
      <c r="A166" s="19"/>
      <c r="B166" s="19"/>
      <c r="C166" s="19"/>
      <c r="D166" s="19"/>
      <c r="E166" s="19"/>
      <c r="F166" s="36"/>
      <c r="G166" s="192"/>
      <c r="H166" s="36"/>
      <c r="I166" s="36"/>
      <c r="J166" s="36"/>
      <c r="K166" s="36"/>
      <c r="L166" s="36"/>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5">
      <c r="A167" s="19"/>
      <c r="B167" s="19"/>
      <c r="C167" s="19"/>
      <c r="D167" s="19"/>
      <c r="E167" s="19"/>
      <c r="F167" s="36"/>
      <c r="G167" s="20"/>
      <c r="H167" s="36"/>
      <c r="I167" s="36"/>
      <c r="J167" s="36"/>
      <c r="K167" s="36"/>
      <c r="L167" s="36"/>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x14ac:dyDescent="0.25">
      <c r="A168" s="19"/>
      <c r="B168" s="19"/>
      <c r="C168" s="19"/>
      <c r="D168" s="19"/>
      <c r="E168" s="19"/>
      <c r="F168" s="36"/>
      <c r="G168" s="192"/>
      <c r="H168" s="36"/>
      <c r="I168" s="36"/>
      <c r="J168" s="36"/>
      <c r="K168" s="36"/>
      <c r="L168" s="36"/>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5">
      <c r="A169" s="19"/>
      <c r="B169" s="19"/>
      <c r="C169" s="19"/>
      <c r="D169" s="19"/>
      <c r="E169" s="19"/>
      <c r="F169" s="36"/>
      <c r="G169" s="192"/>
      <c r="H169" s="36"/>
      <c r="I169" s="36"/>
      <c r="J169" s="36"/>
      <c r="K169" s="36"/>
      <c r="L169" s="36"/>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x14ac:dyDescent="0.25">
      <c r="A170" s="19"/>
      <c r="B170" s="19"/>
      <c r="C170" s="19"/>
      <c r="D170" s="19"/>
      <c r="E170" s="19"/>
      <c r="F170" s="36"/>
      <c r="G170" s="192"/>
      <c r="H170" s="36"/>
      <c r="I170" s="36"/>
      <c r="J170" s="36"/>
      <c r="K170" s="36"/>
      <c r="L170" s="36"/>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5">
      <c r="A171" s="19"/>
      <c r="B171" s="19"/>
      <c r="C171" s="19"/>
      <c r="D171" s="19"/>
      <c r="E171" s="19"/>
      <c r="F171" s="19"/>
      <c r="G171" s="192"/>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5">
      <c r="A172" s="19"/>
      <c r="B172" s="19"/>
      <c r="C172" s="19"/>
      <c r="D172" s="19"/>
      <c r="E172" s="19"/>
      <c r="F172" s="19"/>
      <c r="G172" s="192"/>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5">
      <c r="A173" s="19"/>
      <c r="B173" s="19"/>
      <c r="C173" s="19"/>
      <c r="D173" s="19"/>
      <c r="E173" s="19"/>
      <c r="F173" s="19"/>
      <c r="G173" s="192"/>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5">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5">
      <c r="A175" s="19"/>
      <c r="B175" s="19"/>
      <c r="C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5">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5">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5">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5">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5">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5">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ht="13.8" x14ac:dyDescent="0.25">
      <c r="A182" s="19"/>
      <c r="B182" s="44"/>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5">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5">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5">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5">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5">
      <c r="A187" s="19"/>
      <c r="B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5">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5">
      <c r="A189" s="19"/>
      <c r="B189" s="19"/>
      <c r="C189" s="19"/>
      <c r="D189" s="19"/>
      <c r="E189" s="19"/>
      <c r="F189" s="19"/>
      <c r="G189" s="20"/>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row>
    <row r="190" spans="1:39" x14ac:dyDescent="0.25">
      <c r="A190" s="19"/>
      <c r="B190" s="19"/>
      <c r="C190" s="19"/>
      <c r="D190" s="19"/>
      <c r="E190" s="19"/>
      <c r="F190" s="19"/>
      <c r="G190" s="20"/>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row>
    <row r="191" spans="1:39" x14ac:dyDescent="0.25">
      <c r="A191" s="19"/>
      <c r="B191" s="19"/>
      <c r="C191" s="19"/>
      <c r="D191" s="19"/>
      <c r="E191" s="19"/>
      <c r="F191" s="19"/>
      <c r="G191" s="20"/>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row>
    <row r="192" spans="1:39" x14ac:dyDescent="0.25">
      <c r="A192" s="19"/>
      <c r="B192" s="19"/>
      <c r="C192" s="19"/>
      <c r="D192" s="19"/>
      <c r="E192" s="19"/>
      <c r="F192" s="19"/>
      <c r="G192" s="20"/>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row>
    <row r="193" spans="1:39" x14ac:dyDescent="0.25">
      <c r="A193" s="19"/>
      <c r="B193" s="19"/>
      <c r="C193" s="19"/>
      <c r="D193" s="19"/>
      <c r="E193" s="19"/>
      <c r="F193" s="19"/>
      <c r="G193" s="20"/>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row>
    <row r="194" spans="1:39" x14ac:dyDescent="0.25">
      <c r="A194" s="19"/>
      <c r="B194" s="19"/>
      <c r="C194" s="19"/>
      <c r="D194" s="19"/>
      <c r="E194" s="19"/>
      <c r="F194" s="19"/>
      <c r="G194" s="20"/>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row>
    <row r="195" spans="1:39" x14ac:dyDescent="0.25">
      <c r="A195" s="19"/>
      <c r="B195" s="19"/>
      <c r="C195" s="19"/>
      <c r="D195" s="19"/>
      <c r="E195" s="19"/>
      <c r="F195" s="19"/>
      <c r="G195" s="20"/>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row>
    <row r="196" spans="1:39" x14ac:dyDescent="0.25">
      <c r="A196" s="19"/>
      <c r="B196" s="19"/>
      <c r="C196" s="19"/>
      <c r="D196" s="19"/>
      <c r="E196" s="19"/>
      <c r="F196" s="19"/>
      <c r="G196" s="20"/>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row>
    <row r="197" spans="1:39" x14ac:dyDescent="0.25">
      <c r="A197" s="19"/>
      <c r="B197" s="19"/>
      <c r="C197" s="19"/>
      <c r="D197" s="19"/>
      <c r="E197" s="19"/>
      <c r="F197" s="19"/>
      <c r="G197" s="20"/>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row>
    <row r="198" spans="1:39" x14ac:dyDescent="0.25">
      <c r="A198" s="19"/>
      <c r="B198" s="19"/>
      <c r="C198" s="19"/>
      <c r="D198" s="19"/>
      <c r="E198" s="19"/>
      <c r="F198" s="19"/>
      <c r="G198" s="20"/>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row>
    <row r="199" spans="1:39" x14ac:dyDescent="0.25">
      <c r="A199" s="19"/>
      <c r="B199" s="19"/>
      <c r="C199" s="19"/>
      <c r="D199" s="19"/>
      <c r="E199" s="19"/>
      <c r="F199" s="19"/>
      <c r="G199" s="20"/>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row>
    <row r="200" spans="1:39" x14ac:dyDescent="0.25">
      <c r="A200" s="19"/>
      <c r="B200" s="19"/>
      <c r="C200" s="19"/>
      <c r="D200" s="19"/>
      <c r="E200" s="19"/>
      <c r="F200" s="19"/>
      <c r="G200" s="20"/>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row>
    <row r="201" spans="1:39" x14ac:dyDescent="0.25">
      <c r="A201" s="19"/>
      <c r="B201" s="19"/>
      <c r="C201" s="19"/>
      <c r="D201" s="19"/>
      <c r="E201" s="19"/>
      <c r="F201" s="19"/>
      <c r="G201" s="20"/>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row>
    <row r="202" spans="1:39" x14ac:dyDescent="0.25">
      <c r="A202" s="19"/>
      <c r="B202" s="19"/>
      <c r="C202" s="19"/>
      <c r="D202" s="19"/>
      <c r="E202" s="19"/>
      <c r="F202" s="19"/>
      <c r="G202" s="20"/>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row>
    <row r="203" spans="1:39" x14ac:dyDescent="0.25">
      <c r="A203" s="19"/>
      <c r="B203" s="19"/>
      <c r="C203" s="19"/>
      <c r="D203" s="19"/>
      <c r="E203" s="19"/>
      <c r="F203" s="19"/>
      <c r="G203" s="20"/>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row>
    <row r="204" spans="1:39" x14ac:dyDescent="0.25">
      <c r="A204" s="19"/>
      <c r="B204" s="19"/>
      <c r="C204" s="19"/>
      <c r="D204" s="19"/>
      <c r="E204" s="19"/>
      <c r="F204" s="19"/>
      <c r="G204" s="20"/>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row>
    <row r="205" spans="1:39" x14ac:dyDescent="0.25">
      <c r="A205" s="19"/>
      <c r="B205" s="19"/>
      <c r="C205" s="19"/>
      <c r="D205" s="19"/>
      <c r="E205" s="19"/>
      <c r="F205" s="19"/>
      <c r="G205" s="20"/>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row>
    <row r="206" spans="1:39" x14ac:dyDescent="0.25">
      <c r="A206" s="19"/>
      <c r="B206" s="19"/>
      <c r="C206" s="19"/>
      <c r="D206" s="19"/>
      <c r="E206" s="19"/>
      <c r="F206" s="19"/>
      <c r="G206" s="20"/>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row>
    <row r="207" spans="1:39" x14ac:dyDescent="0.25">
      <c r="A207" s="19"/>
      <c r="B207" s="19"/>
      <c r="C207" s="19"/>
      <c r="D207" s="19"/>
      <c r="E207" s="19"/>
      <c r="F207" s="19"/>
      <c r="G207" s="20"/>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row>
    <row r="208" spans="1:39" x14ac:dyDescent="0.25">
      <c r="A208" s="19"/>
      <c r="B208" s="19"/>
      <c r="C208" s="19"/>
      <c r="D208" s="19"/>
      <c r="E208" s="19"/>
      <c r="F208" s="19"/>
      <c r="G208" s="20"/>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row>
    <row r="209" spans="1:39" x14ac:dyDescent="0.25">
      <c r="A209" s="19"/>
      <c r="B209" s="19"/>
      <c r="C209" s="19"/>
      <c r="D209" s="19"/>
      <c r="E209" s="19"/>
      <c r="F209" s="19"/>
      <c r="G209" s="20"/>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row>
    <row r="210" spans="1:39" x14ac:dyDescent="0.25">
      <c r="A210" s="19"/>
      <c r="B210" s="19"/>
      <c r="C210" s="19"/>
      <c r="D210" s="19"/>
      <c r="E210" s="19"/>
      <c r="F210" s="19"/>
      <c r="G210" s="20"/>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row>
    <row r="211" spans="1:39" x14ac:dyDescent="0.25">
      <c r="A211" s="19"/>
      <c r="B211" s="19"/>
      <c r="C211" s="19"/>
      <c r="D211" s="19"/>
      <c r="E211" s="19"/>
      <c r="F211" s="19"/>
      <c r="G211" s="20"/>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row>
    <row r="212" spans="1:39" x14ac:dyDescent="0.25">
      <c r="A212" s="19"/>
      <c r="B212" s="19"/>
      <c r="C212" s="19"/>
      <c r="D212" s="19"/>
      <c r="E212" s="19"/>
      <c r="F212" s="19"/>
      <c r="G212" s="20"/>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row>
    <row r="213" spans="1:39" x14ac:dyDescent="0.25">
      <c r="A213" s="19"/>
      <c r="B213" s="19"/>
      <c r="C213" s="19"/>
      <c r="D213" s="19"/>
      <c r="E213" s="19"/>
      <c r="F213" s="19"/>
      <c r="G213" s="20"/>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row>
    <row r="214" spans="1:39" x14ac:dyDescent="0.25">
      <c r="A214" s="19"/>
      <c r="B214" s="19"/>
      <c r="C214" s="19"/>
      <c r="D214" s="19"/>
      <c r="E214" s="19"/>
      <c r="F214" s="19"/>
      <c r="G214" s="20"/>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row>
    <row r="215" spans="1:39" x14ac:dyDescent="0.25">
      <c r="A215" s="19"/>
      <c r="B215" s="19"/>
      <c r="C215" s="19"/>
      <c r="D215" s="19"/>
      <c r="E215" s="19"/>
      <c r="F215" s="19"/>
      <c r="G215" s="20"/>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row>
    <row r="216" spans="1:39" x14ac:dyDescent="0.25">
      <c r="A216" s="19"/>
      <c r="B216" s="19"/>
      <c r="C216" s="19"/>
      <c r="D216" s="19"/>
      <c r="E216" s="19"/>
      <c r="F216" s="19"/>
      <c r="G216" s="20"/>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row>
    <row r="217" spans="1:39" x14ac:dyDescent="0.25">
      <c r="A217" s="19"/>
      <c r="B217" s="19"/>
      <c r="C217" s="19"/>
      <c r="D217" s="19"/>
      <c r="E217" s="19"/>
      <c r="F217" s="19"/>
      <c r="G217" s="20"/>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row>
    <row r="218" spans="1:39" x14ac:dyDescent="0.25">
      <c r="A218" s="19"/>
      <c r="B218" s="19"/>
      <c r="C218" s="19"/>
      <c r="D218" s="19"/>
      <c r="E218" s="19"/>
      <c r="F218" s="19"/>
      <c r="G218" s="20"/>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row>
    <row r="219" spans="1:39" x14ac:dyDescent="0.25">
      <c r="A219" s="19"/>
      <c r="B219" s="19"/>
      <c r="C219" s="19"/>
      <c r="D219" s="19"/>
      <c r="E219" s="19"/>
      <c r="F219" s="19"/>
      <c r="G219" s="20"/>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row>
    <row r="220" spans="1:39" x14ac:dyDescent="0.25">
      <c r="A220" s="19"/>
      <c r="B220" s="19"/>
      <c r="C220" s="19"/>
      <c r="D220" s="19"/>
      <c r="E220" s="19"/>
      <c r="F220" s="19"/>
      <c r="G220" s="20"/>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row>
    <row r="221" spans="1:39" x14ac:dyDescent="0.25">
      <c r="A221" s="19"/>
      <c r="B221" s="19"/>
      <c r="C221" s="19"/>
      <c r="D221" s="19"/>
      <c r="E221" s="19"/>
      <c r="F221" s="19"/>
      <c r="G221" s="20"/>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row>
    <row r="222" spans="1:39" x14ac:dyDescent="0.25">
      <c r="A222" s="19"/>
      <c r="B222" s="19"/>
      <c r="C222" s="19"/>
      <c r="D222" s="19"/>
      <c r="E222" s="19"/>
      <c r="F222" s="19"/>
      <c r="G222" s="20"/>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row>
    <row r="223" spans="1:39" x14ac:dyDescent="0.25">
      <c r="A223" s="19"/>
      <c r="B223" s="19"/>
      <c r="C223" s="19"/>
      <c r="D223" s="19"/>
      <c r="E223" s="19"/>
      <c r="F223" s="19"/>
      <c r="G223" s="20"/>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row>
    <row r="224" spans="1:39" x14ac:dyDescent="0.25">
      <c r="A224" s="19"/>
      <c r="B224" s="19"/>
      <c r="C224" s="19"/>
      <c r="D224" s="19"/>
      <c r="E224" s="19"/>
      <c r="F224" s="19"/>
      <c r="G224" s="20"/>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row>
    <row r="225" spans="1:39" x14ac:dyDescent="0.25">
      <c r="A225" s="19"/>
      <c r="B225" s="19"/>
      <c r="C225" s="19"/>
      <c r="D225" s="19"/>
      <c r="E225" s="19"/>
      <c r="F225" s="19"/>
      <c r="G225" s="20"/>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row>
    <row r="226" spans="1:39" x14ac:dyDescent="0.25">
      <c r="A226" s="19"/>
      <c r="B226" s="19"/>
      <c r="C226" s="19"/>
      <c r="D226" s="19"/>
      <c r="E226" s="19"/>
      <c r="F226" s="19"/>
      <c r="G226" s="20"/>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row>
    <row r="227" spans="1:39" x14ac:dyDescent="0.25">
      <c r="G227" s="20"/>
    </row>
    <row r="228" spans="1:39" x14ac:dyDescent="0.25">
      <c r="G228" s="20"/>
    </row>
    <row r="229" spans="1:39" x14ac:dyDescent="0.25">
      <c r="G229" s="20"/>
    </row>
  </sheetData>
  <sheetProtection selectLockedCells="1"/>
  <mergeCells count="18">
    <mergeCell ref="AR59:AR65"/>
    <mergeCell ref="B62:B68"/>
    <mergeCell ref="L2:M2"/>
    <mergeCell ref="A1:M1"/>
    <mergeCell ref="D11:E12"/>
    <mergeCell ref="D14:G15"/>
    <mergeCell ref="I68:M68"/>
    <mergeCell ref="D16:I16"/>
    <mergeCell ref="D17:I17"/>
    <mergeCell ref="D18:I18"/>
    <mergeCell ref="D19:I19"/>
    <mergeCell ref="B83:C87"/>
    <mergeCell ref="D23:F23"/>
    <mergeCell ref="B16:B19"/>
    <mergeCell ref="D22:F22"/>
    <mergeCell ref="D24:F25"/>
    <mergeCell ref="B33:B34"/>
    <mergeCell ref="B43:B45"/>
  </mergeCells>
  <phoneticPr fontId="6" type="noConversion"/>
  <conditionalFormatting sqref="F97">
    <cfRule type="cellIs" dxfId="38" priority="65" stopIfTrue="1" operator="greaterThanOrEqual">
      <formula>F96</formula>
    </cfRule>
  </conditionalFormatting>
  <conditionalFormatting sqref="F99">
    <cfRule type="expression" dxfId="37" priority="66" stopIfTrue="1">
      <formula>F95="Option A"</formula>
    </cfRule>
  </conditionalFormatting>
  <conditionalFormatting sqref="G99">
    <cfRule type="expression" dxfId="36" priority="67" stopIfTrue="1">
      <formula>F95="Option A"</formula>
    </cfRule>
  </conditionalFormatting>
  <conditionalFormatting sqref="E99">
    <cfRule type="expression" dxfId="35" priority="68" stopIfTrue="1">
      <formula>F95="Option A"</formula>
    </cfRule>
  </conditionalFormatting>
  <conditionalFormatting sqref="F103">
    <cfRule type="expression" dxfId="34" priority="69" stopIfTrue="1">
      <formula>F95="Option A"</formula>
    </cfRule>
  </conditionalFormatting>
  <conditionalFormatting sqref="E103">
    <cfRule type="expression" dxfId="33" priority="71" stopIfTrue="1">
      <formula>F95="Option A"</formula>
    </cfRule>
  </conditionalFormatting>
  <conditionalFormatting sqref="F40">
    <cfRule type="cellIs" dxfId="32" priority="72" stopIfTrue="1" operator="greaterThan">
      <formula>200</formula>
    </cfRule>
  </conditionalFormatting>
  <conditionalFormatting sqref="D110:F110 D112:F113">
    <cfRule type="cellIs" dxfId="31" priority="74" stopIfTrue="1" operator="notBetween">
      <formula>2.9</formula>
      <formula>17</formula>
    </cfRule>
  </conditionalFormatting>
  <conditionalFormatting sqref="D111:F111">
    <cfRule type="cellIs" dxfId="30" priority="75" stopIfTrue="1" operator="notBetween">
      <formula>2.65</formula>
      <formula>17</formula>
    </cfRule>
  </conditionalFormatting>
  <conditionalFormatting sqref="G103">
    <cfRule type="expression" dxfId="29" priority="62">
      <formula>F95="Option A"</formula>
    </cfRule>
  </conditionalFormatting>
  <conditionalFormatting sqref="G107">
    <cfRule type="expression" dxfId="28" priority="61">
      <formula>F95="Option A"</formula>
    </cfRule>
  </conditionalFormatting>
  <conditionalFormatting sqref="F107">
    <cfRule type="expression" dxfId="27" priority="60">
      <formula>F95="Option A"</formula>
    </cfRule>
  </conditionalFormatting>
  <conditionalFormatting sqref="E107">
    <cfRule type="expression" dxfId="26" priority="59">
      <formula>F95="Option A"</formula>
    </cfRule>
  </conditionalFormatting>
  <conditionalFormatting sqref="F63">
    <cfRule type="colorScale" priority="36">
      <colorScale>
        <cfvo type="min"/>
        <cfvo type="formula" val="$AN$56*0.8"/>
        <cfvo type="num" val="$AN$56"/>
        <color theme="0"/>
        <color rgb="FFFFC000"/>
        <color rgb="FFFF0000"/>
      </colorScale>
    </cfRule>
  </conditionalFormatting>
  <conditionalFormatting sqref="F41:F42">
    <cfRule type="cellIs" dxfId="25" priority="33" operator="equal">
      <formula>"NA"</formula>
    </cfRule>
    <cfRule type="cellIs" dxfId="24" priority="39" operator="equal">
      <formula>"""NA"""</formula>
    </cfRule>
  </conditionalFormatting>
  <conditionalFormatting sqref="F74">
    <cfRule type="cellIs" dxfId="23" priority="78" operator="lessThan">
      <formula>0.25</formula>
    </cfRule>
  </conditionalFormatting>
  <conditionalFormatting sqref="F77">
    <cfRule type="cellIs" dxfId="22" priority="29" operator="lessThan">
      <formula>$F$76</formula>
    </cfRule>
  </conditionalFormatting>
  <conditionalFormatting sqref="F79">
    <cfRule type="cellIs" dxfId="21" priority="26" operator="lessThan">
      <formula>1.1</formula>
    </cfRule>
    <cfRule type="cellIs" dxfId="20" priority="27" operator="between">
      <formula>1.1</formula>
      <formula>1.3</formula>
    </cfRule>
  </conditionalFormatting>
  <conditionalFormatting sqref="E72:F72">
    <cfRule type="expression" dxfId="19" priority="76">
      <formula>#REF!="Yes"</formula>
    </cfRule>
  </conditionalFormatting>
  <conditionalFormatting sqref="G83 G85:G90">
    <cfRule type="expression" dxfId="18" priority="24">
      <formula>#REF!="Yes"</formula>
    </cfRule>
  </conditionalFormatting>
  <conditionalFormatting sqref="E73:G79">
    <cfRule type="expression" dxfId="17" priority="22" stopIfTrue="1">
      <formula>$F$72="Yes"</formula>
    </cfRule>
  </conditionalFormatting>
  <conditionalFormatting sqref="B80:G92">
    <cfRule type="expression" dxfId="16" priority="16" stopIfTrue="1">
      <formula>$F$72="NO"</formula>
    </cfRule>
  </conditionalFormatting>
  <conditionalFormatting sqref="F83 F86">
    <cfRule type="cellIs" dxfId="15" priority="17" operator="greaterThanOrEqual">
      <formula>$F$81</formula>
    </cfRule>
  </conditionalFormatting>
  <conditionalFormatting sqref="F87 F92">
    <cfRule type="cellIs" dxfId="14" priority="18" operator="between">
      <formula>1.1</formula>
      <formula>1.2999</formula>
    </cfRule>
    <cfRule type="cellIs" dxfId="13" priority="19" operator="lessThan">
      <formula>1.1</formula>
    </cfRule>
  </conditionalFormatting>
  <conditionalFormatting sqref="F68">
    <cfRule type="cellIs" dxfId="12" priority="15" operator="lessThan">
      <formula>$F$64</formula>
    </cfRule>
  </conditionalFormatting>
  <conditionalFormatting sqref="F80">
    <cfRule type="expression" dxfId="11" priority="14">
      <formula>#REF!="Yes"</formula>
    </cfRule>
  </conditionalFormatting>
  <conditionalFormatting sqref="E41:G45">
    <cfRule type="expression" dxfId="10" priority="11" stopIfTrue="1">
      <formula>IF($F$39="No", "TRUE", "FALSE")</formula>
    </cfRule>
  </conditionalFormatting>
  <conditionalFormatting sqref="F46:F48">
    <cfRule type="cellIs" dxfId="9" priority="10" operator="lessThan">
      <formula>$F$30</formula>
    </cfRule>
  </conditionalFormatting>
  <conditionalFormatting sqref="B83">
    <cfRule type="expression" dxfId="8" priority="9" stopIfTrue="1">
      <formula>$F$72="NO"</formula>
    </cfRule>
  </conditionalFormatting>
  <conditionalFormatting sqref="B27:AM51 B69:AM154 C62:AM67 C68:I68 N68:AM68 B53:AM61 B52:E52 G52:AM52">
    <cfRule type="expression" dxfId="7" priority="7">
      <formula>$G$23="No"</formula>
    </cfRule>
    <cfRule type="expression" dxfId="6" priority="8">
      <formula>$G$22="No"</formula>
    </cfRule>
  </conditionalFormatting>
  <conditionalFormatting sqref="AR59:AR65">
    <cfRule type="expression" dxfId="5" priority="5">
      <formula>$G$23="No"</formula>
    </cfRule>
    <cfRule type="expression" dxfId="4" priority="6">
      <formula>$G$22="No"</formula>
    </cfRule>
  </conditionalFormatting>
  <conditionalFormatting sqref="B62:B68">
    <cfRule type="expression" dxfId="3" priority="3">
      <formula>$G$23="No"</formula>
    </cfRule>
    <cfRule type="expression" dxfId="2" priority="4">
      <formula>$G$22="No"</formula>
    </cfRule>
  </conditionalFormatting>
  <dataValidations xWindow="815" yWindow="414" count="20">
    <dataValidation type="decimal" allowBlank="1" showInputMessage="1" showErrorMessage="1" errorTitle="Lower UVLO Violation" error="The lower UVLO threshold MUST be at least 2.65V, and  less than the upper UVLO threshold. They cannot be equal." sqref="F97" xr:uid="{00000000-0002-0000-0100-000000000000}">
      <formula1>2.65</formula1>
      <formula2>F96</formula2>
    </dataValidation>
    <dataValidation type="decimal" allowBlank="1" showInputMessage="1" showErrorMessage="1" errorTitle="Upper OVLO Threshold Violation" error="The Upper OVLO Threshold must be greater than the upper UVLO threshold, and less than 17V." sqref="F98" xr:uid="{00000000-0002-0000-0100-000001000000}">
      <formula1>F96+0.01</formula1>
      <formula2>17</formula2>
    </dataValidation>
    <dataValidation type="decimal" allowBlank="1" showInputMessage="1" showErrorMessage="1" errorTitle="Lower OVLO Threshold Violation" error="The lower OVLO threshold must be greater than the upper UVLO threshold, and less than the upper OVLO threshold." sqref="F99" xr:uid="{00000000-0002-0000-0100-000002000000}">
      <formula1>F96+0.01</formula1>
      <formula2>F98</formula2>
    </dataValidation>
    <dataValidation type="decimal" allowBlank="1" showInputMessage="1" showErrorMessage="1" errorTitle="UVLO Threshold Violation" error="The upper UVLO threshold must be no less than 2.9V, and no greater than 17V." sqref="F96" xr:uid="{00000000-0002-0000-0100-000003000000}">
      <formula1>2.9</formula1>
      <formula2>17</formula2>
    </dataValidation>
    <dataValidation type="decimal" allowBlank="1" showInputMessage="1" showErrorMessage="1" errorTitle="Minimum System Voltage Violation" error="Input voltage should be between 2.9V and 17V." sqref="F28" xr:uid="{00000000-0002-0000-0100-000004000000}">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1" xr:uid="{00000000-0002-0000-0100-000005000000}">
      <formula1>10</formula1>
    </dataValidation>
    <dataValidation type="decimal" operator="greaterThan" allowBlank="1" showInputMessage="1" showErrorMessage="1" errorTitle="Maximum Load Current Violation" error="Maximum Load Current must be greater than 0." sqref="F30" xr:uid="{00000000-0002-0000-0100-000006000000}">
      <formula1>0</formula1>
    </dataValidation>
    <dataValidation type="list" allowBlank="1" showInputMessage="1" showErrorMessage="1" sqref="F95" xr:uid="{00000000-0002-0000-0100-000007000000}">
      <formula1>$AN$95:$AN$96</formula1>
    </dataValidation>
    <dataValidation type="list" allowBlank="1" showInputMessage="1" showErrorMessage="1" sqref="F51" xr:uid="{00000000-0002-0000-0100-000008000000}">
      <formula1>$AN$50:$AN$51</formula1>
    </dataValidation>
    <dataValidation type="list" allowBlank="1" showInputMessage="1" showErrorMessage="1" sqref="F50" xr:uid="{00000000-0002-0000-0100-000009000000}">
      <formula1>$AN$48:$AN$49</formula1>
    </dataValidation>
    <dataValidation type="whole" allowBlank="1" showInputMessage="1" showErrorMessage="1" sqref="F54" xr:uid="{00000000-0002-0000-0100-00000A000000}">
      <formula1>1</formula1>
      <formula2>8</formula2>
    </dataValidation>
    <dataValidation type="decimal" operator="greaterThan" allowBlank="1" showInputMessage="1" showErrorMessage="1" sqref="F43 F45" xr:uid="{00000000-0002-0000-0100-00000B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1" xr:uid="{00000000-0002-0000-0100-00000C000000}">
      <formula1>"""NA"""</formula1>
    </dataValidation>
    <dataValidation type="list" allowBlank="1" showInputMessage="1" showErrorMessage="1" sqref="F72 F80 F39" xr:uid="{00000000-0002-0000-0100-00000D000000}">
      <formula1>$AN$39:$AN$40</formula1>
    </dataValidation>
    <dataValidation type="list" allowBlank="1" showInputMessage="1" showErrorMessage="1" sqref="F37" xr:uid="{00000000-0002-0000-0100-00000E000000}">
      <formula1>$AN$37:$AN$38</formula1>
    </dataValidation>
    <dataValidation type="list" allowBlank="1" showInputMessage="1" showErrorMessage="1" sqref="F70" xr:uid="{00000000-0002-0000-0100-00000F000000}">
      <formula1>$AN$71:$AN$72</formula1>
    </dataValidation>
    <dataValidation type="decimal" allowBlank="1" showInputMessage="1" showErrorMessage="1" sqref="F56" xr:uid="{00000000-0002-0000-0100-000010000000}">
      <formula1>0</formula1>
      <formula2>200</formula2>
    </dataValidation>
    <dataValidation type="decimal" allowBlank="1" showInputMessage="1" showErrorMessage="1" sqref="F57:F61" xr:uid="{00000000-0002-0000-0100-000011000000}">
      <formula1>0.001</formula1>
      <formula2>400</formula2>
    </dataValidation>
    <dataValidation type="decimal" allowBlank="1" showInputMessage="1" showErrorMessage="1" error="Must enter value less than 10" sqref="F44" xr:uid="{00000000-0002-0000-0100-000012000000}">
      <formula1>0</formula1>
      <formula2>10</formula2>
    </dataValidation>
    <dataValidation type="list" allowBlank="1" showInputMessage="1" showErrorMessage="1" sqref="G22:G23" xr:uid="{00000000-0002-0000-0100-000013000000}">
      <formula1>yesno</formula1>
    </dataValidation>
  </dataValidations>
  <hyperlinks>
    <hyperlink ref="B2" r:id="rId1" xr:uid="{00000000-0004-0000-0100-000000000000}"/>
    <hyperlink ref="D24:F25" r:id="rId2" display="*For additional questions not addressed in the videos, please post on E2E.ti.com" xr:uid="{00000000-0004-0000-0100-000001000000}"/>
    <hyperlink ref="B33:B34" r:id="rId3" display="Steps 1 &amp; 2: Operating Conditions, Current Limit, &amp; Circuit Breaker" xr:uid="{00000000-0004-0000-0100-000002000000}"/>
    <hyperlink ref="B43:B45" r:id="rId4" display="Steps 1 &amp; 2: Operating Conditions, Current Limit, &amp; Circuit Breaker" xr:uid="{00000000-0004-0000-0100-000003000000}"/>
    <hyperlink ref="B59" r:id="rId5" xr:uid="{00000000-0004-0000-0100-000004000000}"/>
    <hyperlink ref="B78" r:id="rId6" xr:uid="{00000000-0004-0000-0100-000005000000}"/>
    <hyperlink ref="B102" r:id="rId7" xr:uid="{00000000-0004-0000-0100-000006000000}"/>
    <hyperlink ref="D19" r:id="rId8" display="Step 5: UVLO, OVLO &amp; PGD Thresholds" xr:uid="{00000000-0004-0000-0100-000007000000}"/>
    <hyperlink ref="D18" r:id="rId9" display="Step 4: Startup" xr:uid="{00000000-0004-0000-0100-000008000000}"/>
    <hyperlink ref="D17" r:id="rId10" display="Step 3: MOSFET Selection" xr:uid="{00000000-0004-0000-0100-000009000000}"/>
    <hyperlink ref="D16:F16" r:id="rId11" display="Steps 1 &amp; 2: Operating Conditions, Current Limit, &amp; Circuit Breaker" xr:uid="{00000000-0004-0000-0100-00000A000000}"/>
    <hyperlink ref="D20" r:id="rId12" xr:uid="{00000000-0004-0000-0100-00000B000000}"/>
    <hyperlink ref="D16:I16" r:id="rId13" display="Steps 1 &amp; 2: Operating Conditions, Current Limit, &amp; Circuit Breaker (7:41)" xr:uid="{00000000-0004-0000-0100-00000C000000}"/>
    <hyperlink ref="D17:I17" r:id="rId14" display="Step 3: MOSFET Selection (9:58)" xr:uid="{00000000-0004-0000-0100-00000D000000}"/>
    <hyperlink ref="D18:I18" r:id="rId15" display="Step 4: Startup (10:32)" xr:uid="{00000000-0004-0000-0100-00000E000000}"/>
    <hyperlink ref="D19:I19" r:id="rId16" display="Step 5: UVLO, OVLO &amp; PGD Thresholds (4:20)" xr:uid="{00000000-0004-0000-0100-00000F000000}"/>
  </hyperlinks>
  <pageMargins left="0.17" right="0.17" top="0.55000000000000004" bottom="0.92" header="0.48" footer="0.2"/>
  <pageSetup scale="62" fitToHeight="2" orientation="portrait" r:id="rId17"/>
  <headerFooter alignWithMargins="0"/>
  <drawing r:id="rId18"/>
  <legacyDrawing r:id="rId19"/>
  <extLst>
    <ext xmlns:x14="http://schemas.microsoft.com/office/spreadsheetml/2009/9/main" uri="{CCE6A557-97BC-4b89-ADB6-D9C93CAAB3DF}">
      <x14:dataValidations xmlns:xm="http://schemas.microsoft.com/office/excel/2006/main" xWindow="815" yWindow="414" count="5">
        <x14:dataValidation type="decimal" allowBlank="1" showInputMessage="1" showErrorMessage="1" xr:uid="{00000000-0002-0000-0100-000014000000}">
          <x14:formula1>
            <xm:f>0</xm:f>
          </x14:formula1>
          <x14:formula2>
            <xm:f>Equations!F92</xm:f>
          </x14:formula2>
          <xm:sqref>F69</xm:sqref>
        </x14:dataValidation>
        <x14:dataValidation type="decimal" allowBlank="1" showInputMessage="1" showErrorMessage="1" errorTitle="Ambient Temperature Violation" error="The Ambient Temperature must be between -40C and 125C" xr:uid="{00000000-0002-0000-0100-000015000000}">
          <x14:formula1>
            <xm:f>'Device Parmaters'!C5</xm:f>
          </x14:formula1>
          <x14:formula2>
            <xm:f>'Device Parmaters'!E5</xm:f>
          </x14:formula2>
          <xm:sqref>F36</xm:sqref>
        </x14:dataValidation>
        <x14:dataValidation type="decimal" operator="lessThanOrEqual" allowBlank="1" showInputMessage="1" showErrorMessage="1" errorTitle="Maximum System Voltage Violation" error="The maximum system voltage must be no greater than 17V." xr:uid="{00000000-0002-0000-0100-000016000000}">
          <x14:formula1>
            <xm:f>'Device Parmaters'!E5</xm:f>
          </x14:formula1>
          <xm:sqref>F29</xm:sqref>
        </x14:dataValidation>
        <x14:dataValidation type="decimal" allowBlank="1" showInputMessage="1" showErrorMessage="1" errorTitle="Ambient Temperature Violation" error="The Ambient Temperature must be between -40C and 125C" xr:uid="{00000000-0002-0000-0100-000017000000}">
          <x14:formula1>
            <xm:f>'Device Parmaters'!C4</xm:f>
          </x14:formula1>
          <x14:formula2>
            <xm:f>'Device Parmaters'!E4</xm:f>
          </x14:formula2>
          <xm:sqref>F32:F35</xm:sqref>
        </x14:dataValidation>
        <x14:dataValidation type="decimal" operator="greaterThanOrEqual" allowBlank="1" showInputMessage="1" showErrorMessage="1" errorTitle="Minimum System Voltage Violation" error="The minimum system voltage must be at least 2.9V." xr:uid="{00000000-0002-0000-0100-000018000000}">
          <x14:formula1>
            <xm:f>'Device Parmaters'!C5</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52"/>
  <sheetViews>
    <sheetView topLeftCell="A7" workbookViewId="0">
      <selection activeCell="C32" sqref="C32"/>
    </sheetView>
  </sheetViews>
  <sheetFormatPr defaultRowHeight="13.2" x14ac:dyDescent="0.25"/>
  <cols>
    <col min="1" max="1" width="9.44140625" customWidth="1"/>
    <col min="2" max="2" width="24.33203125" customWidth="1"/>
    <col min="12" max="12" width="13.5546875" customWidth="1"/>
  </cols>
  <sheetData>
    <row r="2" spans="1:17" x14ac:dyDescent="0.25">
      <c r="A2" s="33"/>
      <c r="C2" s="33" t="s">
        <v>76</v>
      </c>
      <c r="D2" s="33" t="s">
        <v>77</v>
      </c>
      <c r="E2" s="33" t="s">
        <v>78</v>
      </c>
      <c r="F2" s="33" t="s">
        <v>173</v>
      </c>
    </row>
    <row r="3" spans="1:17" x14ac:dyDescent="0.25">
      <c r="A3" s="27" t="s">
        <v>168</v>
      </c>
      <c r="C3" s="33"/>
      <c r="D3" s="33"/>
      <c r="E3" s="33"/>
    </row>
    <row r="4" spans="1:17" x14ac:dyDescent="0.25">
      <c r="A4" s="27"/>
      <c r="B4" s="33" t="s">
        <v>181</v>
      </c>
      <c r="C4" s="81">
        <v>-40</v>
      </c>
      <c r="D4" s="81"/>
      <c r="E4" s="81">
        <v>125</v>
      </c>
    </row>
    <row r="5" spans="1:17" x14ac:dyDescent="0.25">
      <c r="B5" s="34" t="s">
        <v>169</v>
      </c>
      <c r="C5" s="1">
        <v>2.9</v>
      </c>
      <c r="D5" s="1"/>
      <c r="E5" s="1">
        <v>17</v>
      </c>
      <c r="F5" s="33" t="s">
        <v>92</v>
      </c>
      <c r="J5" s="2"/>
    </row>
    <row r="6" spans="1:17" ht="16.5" customHeight="1" x14ac:dyDescent="0.25">
      <c r="A6" s="27" t="s">
        <v>145</v>
      </c>
      <c r="B6" s="34"/>
      <c r="C6" s="1"/>
      <c r="D6" s="1"/>
      <c r="E6" s="1"/>
      <c r="J6" s="2"/>
    </row>
    <row r="7" spans="1:17" x14ac:dyDescent="0.25">
      <c r="B7" s="34" t="s">
        <v>170</v>
      </c>
      <c r="C7" s="1">
        <v>23</v>
      </c>
      <c r="D7" s="1">
        <v>25</v>
      </c>
      <c r="E7" s="1">
        <v>27</v>
      </c>
      <c r="J7" s="2"/>
    </row>
    <row r="8" spans="1:17" x14ac:dyDescent="0.25">
      <c r="B8" s="34" t="s">
        <v>171</v>
      </c>
      <c r="C8" s="1">
        <v>42.3</v>
      </c>
      <c r="D8" s="1">
        <v>46</v>
      </c>
      <c r="E8" s="1">
        <v>49.7</v>
      </c>
      <c r="J8" s="34"/>
    </row>
    <row r="9" spans="1:17" x14ac:dyDescent="0.25">
      <c r="B9" s="34" t="s">
        <v>172</v>
      </c>
      <c r="C9" s="1"/>
      <c r="D9" s="1">
        <v>33</v>
      </c>
      <c r="E9" s="1"/>
      <c r="F9" s="33" t="s">
        <v>174</v>
      </c>
      <c r="J9" s="34"/>
    </row>
    <row r="10" spans="1:17" x14ac:dyDescent="0.25">
      <c r="C10" s="1"/>
      <c r="D10" s="1"/>
      <c r="E10" s="1"/>
    </row>
    <row r="11" spans="1:17" x14ac:dyDescent="0.25">
      <c r="A11" s="27" t="s">
        <v>183</v>
      </c>
      <c r="C11" s="1"/>
      <c r="D11" s="1"/>
      <c r="E11" s="1"/>
    </row>
    <row r="12" spans="1:17" x14ac:dyDescent="0.25">
      <c r="B12" s="33" t="s">
        <v>299</v>
      </c>
      <c r="C12" s="1"/>
      <c r="D12" s="1"/>
      <c r="E12" s="1">
        <v>2.0999999999999999E-3</v>
      </c>
      <c r="F12" s="33" t="s">
        <v>92</v>
      </c>
    </row>
    <row r="13" spans="1:17" x14ac:dyDescent="0.25">
      <c r="B13" s="33" t="s">
        <v>300</v>
      </c>
      <c r="C13" s="149"/>
      <c r="D13" s="149"/>
      <c r="E13" s="149">
        <v>4.0000000000000001E-3</v>
      </c>
      <c r="F13" s="33" t="s">
        <v>92</v>
      </c>
      <c r="G13" s="33" t="s">
        <v>301</v>
      </c>
    </row>
    <row r="14" spans="1:17" x14ac:dyDescent="0.25">
      <c r="B14" s="33" t="s">
        <v>302</v>
      </c>
      <c r="C14" s="149"/>
      <c r="D14" s="149"/>
      <c r="E14" s="154">
        <v>194000</v>
      </c>
      <c r="F14" s="33"/>
    </row>
    <row r="15" spans="1:17" x14ac:dyDescent="0.25">
      <c r="B15" s="33"/>
      <c r="C15" s="149"/>
      <c r="D15" s="149"/>
      <c r="E15" s="154"/>
      <c r="F15" s="33"/>
    </row>
    <row r="16" spans="1:17" x14ac:dyDescent="0.25">
      <c r="B16" s="33" t="s">
        <v>311</v>
      </c>
      <c r="C16" s="153" t="s">
        <v>303</v>
      </c>
      <c r="D16" s="149"/>
      <c r="E16" s="149"/>
      <c r="F16" s="33"/>
      <c r="I16" s="33" t="s">
        <v>305</v>
      </c>
      <c r="J16" s="33" t="s">
        <v>75</v>
      </c>
      <c r="K16" s="33" t="s">
        <v>306</v>
      </c>
      <c r="L16" s="33" t="s">
        <v>308</v>
      </c>
      <c r="M16" s="33" t="s">
        <v>307</v>
      </c>
      <c r="N16" s="33" t="s">
        <v>309</v>
      </c>
      <c r="P16" s="33" t="s">
        <v>307</v>
      </c>
      <c r="Q16" s="33" t="s">
        <v>306</v>
      </c>
    </row>
    <row r="17" spans="1:17" x14ac:dyDescent="0.25">
      <c r="B17" s="33"/>
      <c r="C17" s="153" t="s">
        <v>304</v>
      </c>
      <c r="D17" s="149"/>
      <c r="E17" s="149"/>
      <c r="F17" s="33"/>
      <c r="J17">
        <v>12</v>
      </c>
      <c r="K17">
        <v>25</v>
      </c>
      <c r="L17">
        <f>0.5</f>
        <v>0.5</v>
      </c>
      <c r="M17" s="156">
        <f>1/(0.001*L17)*(K17*1000/$E$14+J17*$E$12)</f>
        <v>308.1319587628866</v>
      </c>
      <c r="N17" s="155">
        <f>K17*1000/$E$14/J17+$E$12</f>
        <v>1.2838831615120273E-2</v>
      </c>
      <c r="P17">
        <v>82</v>
      </c>
      <c r="Q17">
        <f>E14*(P17*L17*0.001-J17*E12)</f>
        <v>3065.2000000000003</v>
      </c>
    </row>
    <row r="18" spans="1:17" x14ac:dyDescent="0.25">
      <c r="B18" s="33"/>
      <c r="C18" s="153" t="s">
        <v>310</v>
      </c>
      <c r="D18" s="149"/>
      <c r="E18" s="149"/>
      <c r="F18" s="33"/>
      <c r="J18">
        <v>12</v>
      </c>
      <c r="K18">
        <v>5</v>
      </c>
      <c r="L18">
        <f>0.5</f>
        <v>0.5</v>
      </c>
      <c r="M18" s="156">
        <f>1/(0.001*L18)*(K18*1000/$E$14+J18*$E$12)</f>
        <v>101.94639175257731</v>
      </c>
      <c r="N18" s="155">
        <f>K18*1000/$E$14/J18+$E$12*0.001</f>
        <v>2.1498663230240548E-3</v>
      </c>
    </row>
    <row r="19" spans="1:17" x14ac:dyDescent="0.25">
      <c r="B19" s="33" t="s">
        <v>312</v>
      </c>
      <c r="E19" s="149"/>
      <c r="F19" s="33"/>
      <c r="I19" s="33" t="s">
        <v>314</v>
      </c>
      <c r="M19" s="156"/>
      <c r="N19" s="155"/>
    </row>
    <row r="20" spans="1:17" x14ac:dyDescent="0.25">
      <c r="C20" s="1"/>
      <c r="D20" s="1"/>
      <c r="E20" s="1"/>
    </row>
    <row r="21" spans="1:17" x14ac:dyDescent="0.25">
      <c r="A21" s="27" t="s">
        <v>176</v>
      </c>
      <c r="C21" s="1"/>
      <c r="D21" s="1"/>
      <c r="E21" s="1"/>
    </row>
    <row r="22" spans="1:17" x14ac:dyDescent="0.25">
      <c r="B22" s="34" t="s">
        <v>177</v>
      </c>
      <c r="C22" s="1">
        <v>1.54</v>
      </c>
      <c r="D22" s="1">
        <v>1.7</v>
      </c>
      <c r="E22" s="1">
        <v>1.85</v>
      </c>
      <c r="F22" s="33" t="s">
        <v>92</v>
      </c>
    </row>
    <row r="23" spans="1:17" x14ac:dyDescent="0.25">
      <c r="B23" s="34" t="s">
        <v>178</v>
      </c>
      <c r="C23" s="1">
        <v>-3</v>
      </c>
      <c r="D23" s="1">
        <v>-5.5</v>
      </c>
      <c r="E23" s="1">
        <v>-8</v>
      </c>
      <c r="F23" s="33" t="s">
        <v>174</v>
      </c>
    </row>
    <row r="24" spans="1:17" x14ac:dyDescent="0.25">
      <c r="B24" s="34" t="s">
        <v>399</v>
      </c>
      <c r="C24" s="195"/>
      <c r="D24" s="195"/>
      <c r="E24" s="195"/>
      <c r="F24" s="33"/>
    </row>
    <row r="25" spans="1:17" x14ac:dyDescent="0.25">
      <c r="B25" s="34" t="s">
        <v>179</v>
      </c>
      <c r="C25" s="1">
        <v>120</v>
      </c>
      <c r="D25" s="1">
        <v>90</v>
      </c>
      <c r="E25" s="1">
        <v>60</v>
      </c>
      <c r="F25" s="33" t="s">
        <v>174</v>
      </c>
    </row>
    <row r="26" spans="1:17" x14ac:dyDescent="0.25">
      <c r="B26" s="34" t="s">
        <v>335</v>
      </c>
      <c r="C26" s="151"/>
      <c r="D26" s="151">
        <f>SQRT(0.66^2+ ((120-90)/90)^2+ 0.1^2)</f>
        <v>0.74613076006227697</v>
      </c>
      <c r="E26" s="151"/>
      <c r="F26" s="33"/>
      <c r="G26" s="33" t="s">
        <v>334</v>
      </c>
    </row>
    <row r="27" spans="1:17" x14ac:dyDescent="0.25">
      <c r="B27" s="34" t="s">
        <v>332</v>
      </c>
      <c r="C27" s="151"/>
      <c r="D27" s="151">
        <v>0.75</v>
      </c>
      <c r="E27" s="151"/>
      <c r="F27" s="33"/>
      <c r="G27" s="33" t="s">
        <v>333</v>
      </c>
    </row>
    <row r="28" spans="1:17" x14ac:dyDescent="0.25">
      <c r="B28" s="2"/>
      <c r="C28" s="1"/>
      <c r="D28" s="1"/>
      <c r="E28" s="1"/>
    </row>
    <row r="29" spans="1:17" x14ac:dyDescent="0.25">
      <c r="A29" s="27" t="s">
        <v>212</v>
      </c>
      <c r="B29" s="2"/>
      <c r="C29" s="1"/>
      <c r="D29" s="1"/>
      <c r="E29" s="1"/>
    </row>
    <row r="30" spans="1:17" x14ac:dyDescent="0.25">
      <c r="B30" s="34" t="s">
        <v>216</v>
      </c>
      <c r="C30" s="1">
        <v>39</v>
      </c>
      <c r="D30" s="1">
        <v>55</v>
      </c>
      <c r="E30" s="1">
        <v>75</v>
      </c>
    </row>
    <row r="31" spans="1:17" x14ac:dyDescent="0.25">
      <c r="B31" s="2"/>
      <c r="C31" s="1"/>
      <c r="D31" s="1"/>
      <c r="E31" s="1"/>
    </row>
    <row r="32" spans="1:17" x14ac:dyDescent="0.25">
      <c r="A32" s="27" t="s">
        <v>175</v>
      </c>
      <c r="B32" s="2"/>
      <c r="C32" s="1"/>
      <c r="D32" s="1"/>
      <c r="E32" s="1"/>
    </row>
    <row r="33" spans="1:5" x14ac:dyDescent="0.25">
      <c r="B33" s="34" t="s">
        <v>252</v>
      </c>
      <c r="C33" s="1">
        <v>35</v>
      </c>
      <c r="D33" s="1">
        <v>45</v>
      </c>
      <c r="E33" s="1">
        <v>55</v>
      </c>
    </row>
    <row r="34" spans="1:5" x14ac:dyDescent="0.25">
      <c r="B34" s="34" t="s">
        <v>253</v>
      </c>
      <c r="C34" s="1">
        <v>1.6</v>
      </c>
      <c r="D34" s="1">
        <v>1.8</v>
      </c>
      <c r="E34" s="1">
        <v>2</v>
      </c>
    </row>
    <row r="35" spans="1:5" x14ac:dyDescent="0.25">
      <c r="B35" s="34" t="s">
        <v>254</v>
      </c>
      <c r="C35" s="1">
        <v>70</v>
      </c>
      <c r="D35" s="1">
        <v>90</v>
      </c>
      <c r="E35" s="1">
        <v>110</v>
      </c>
    </row>
    <row r="36" spans="1:5" x14ac:dyDescent="0.25">
      <c r="B36" s="34" t="s">
        <v>255</v>
      </c>
      <c r="C36" s="1">
        <v>3.1</v>
      </c>
      <c r="D36" s="1">
        <v>3.6</v>
      </c>
      <c r="E36" s="1">
        <v>4</v>
      </c>
    </row>
    <row r="37" spans="1:5" x14ac:dyDescent="0.25">
      <c r="B37" s="2"/>
      <c r="C37" s="1"/>
      <c r="D37" s="1"/>
      <c r="E37" s="1"/>
    </row>
    <row r="38" spans="1:5" x14ac:dyDescent="0.25">
      <c r="A38" s="27" t="s">
        <v>265</v>
      </c>
      <c r="B38" s="2"/>
    </row>
    <row r="39" spans="1:5" x14ac:dyDescent="0.25">
      <c r="B39" s="34" t="s">
        <v>177</v>
      </c>
      <c r="C39">
        <v>1.54</v>
      </c>
      <c r="D39">
        <v>1.7</v>
      </c>
      <c r="E39">
        <v>1.85</v>
      </c>
    </row>
    <row r="40" spans="1:5" x14ac:dyDescent="0.25">
      <c r="B40" s="34" t="s">
        <v>266</v>
      </c>
      <c r="C40">
        <v>0.85</v>
      </c>
      <c r="D40">
        <v>1</v>
      </c>
      <c r="E40">
        <v>1.07</v>
      </c>
    </row>
    <row r="41" spans="1:5" x14ac:dyDescent="0.25">
      <c r="B41" s="34" t="s">
        <v>267</v>
      </c>
      <c r="D41">
        <v>0.3</v>
      </c>
    </row>
    <row r="42" spans="1:5" x14ac:dyDescent="0.25">
      <c r="B42" s="34" t="s">
        <v>268</v>
      </c>
      <c r="D42">
        <v>0.3</v>
      </c>
    </row>
    <row r="43" spans="1:5" x14ac:dyDescent="0.25">
      <c r="B43" s="34" t="s">
        <v>269</v>
      </c>
      <c r="C43">
        <v>3</v>
      </c>
      <c r="D43">
        <v>5.5</v>
      </c>
      <c r="E43">
        <v>8</v>
      </c>
    </row>
    <row r="44" spans="1:5" x14ac:dyDescent="0.25">
      <c r="B44" s="34" t="s">
        <v>270</v>
      </c>
      <c r="C44">
        <v>1.4</v>
      </c>
      <c r="D44">
        <v>1.9</v>
      </c>
      <c r="E44">
        <v>2.4</v>
      </c>
    </row>
    <row r="45" spans="1:5" x14ac:dyDescent="0.25">
      <c r="B45" s="34" t="s">
        <v>179</v>
      </c>
      <c r="C45">
        <v>60</v>
      </c>
      <c r="D45">
        <v>90</v>
      </c>
      <c r="E45">
        <v>120</v>
      </c>
    </row>
    <row r="46" spans="1:5" x14ac:dyDescent="0.25">
      <c r="B46" s="34" t="s">
        <v>271</v>
      </c>
      <c r="D46">
        <v>2.8</v>
      </c>
    </row>
    <row r="48" spans="1:5" x14ac:dyDescent="0.25">
      <c r="A48" s="27" t="s">
        <v>275</v>
      </c>
    </row>
    <row r="49" spans="1:8" x14ac:dyDescent="0.25">
      <c r="B49" s="34" t="s">
        <v>276</v>
      </c>
      <c r="D49">
        <v>25</v>
      </c>
      <c r="E49">
        <v>60</v>
      </c>
      <c r="F49" s="33" t="s">
        <v>184</v>
      </c>
      <c r="G49">
        <v>2</v>
      </c>
      <c r="H49" s="33" t="s">
        <v>277</v>
      </c>
    </row>
    <row r="50" spans="1:8" x14ac:dyDescent="0.25">
      <c r="A50" s="27" t="s">
        <v>278</v>
      </c>
    </row>
    <row r="51" spans="1:8" x14ac:dyDescent="0.25">
      <c r="B51" s="33" t="s">
        <v>279</v>
      </c>
      <c r="C51">
        <v>1.141</v>
      </c>
      <c r="D51">
        <v>1.167</v>
      </c>
      <c r="E51">
        <v>1.19</v>
      </c>
      <c r="F51" s="33" t="s">
        <v>92</v>
      </c>
    </row>
    <row r="52" spans="1:8" x14ac:dyDescent="0.25">
      <c r="B52" s="33" t="s">
        <v>280</v>
      </c>
      <c r="C52">
        <v>18</v>
      </c>
      <c r="D52">
        <v>24</v>
      </c>
      <c r="E52">
        <v>31</v>
      </c>
      <c r="F52" s="33" t="s">
        <v>174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219"/>
  <sheetViews>
    <sheetView workbookViewId="0">
      <selection activeCell="I73" sqref="I73"/>
    </sheetView>
  </sheetViews>
  <sheetFormatPr defaultRowHeight="13.2" x14ac:dyDescent="0.25"/>
  <cols>
    <col min="6" max="6" width="12.44140625" bestFit="1" customWidth="1"/>
    <col min="8" max="8" width="14" customWidth="1"/>
    <col min="9" max="9" width="12.6640625" customWidth="1"/>
    <col min="10" max="10" width="11.6640625" customWidth="1"/>
  </cols>
  <sheetData>
    <row r="13" spans="1:6" x14ac:dyDescent="0.25">
      <c r="A13" s="27" t="s">
        <v>145</v>
      </c>
    </row>
    <row r="14" spans="1:6" x14ac:dyDescent="0.25">
      <c r="E14" s="2"/>
    </row>
    <row r="15" spans="1:6" x14ac:dyDescent="0.25">
      <c r="D15" t="s">
        <v>223</v>
      </c>
      <c r="E15">
        <f>IF('Design Calculator'!$F$37="25 mV",'Device Parmaters'!C7,'Device Parmaters'!C8)</f>
        <v>23</v>
      </c>
      <c r="F15" s="92" t="s">
        <v>184</v>
      </c>
    </row>
    <row r="16" spans="1:6" x14ac:dyDescent="0.25">
      <c r="D16" t="s">
        <v>222</v>
      </c>
      <c r="E16">
        <f>IF('Design Calculator'!$F$37="25 mV",'Device Parmaters'!D7,'Device Parmaters'!D8)</f>
        <v>25</v>
      </c>
      <c r="F16" s="92" t="s">
        <v>184</v>
      </c>
    </row>
    <row r="17" spans="1:8" x14ac:dyDescent="0.25">
      <c r="D17" t="s">
        <v>221</v>
      </c>
      <c r="E17">
        <f>IF('Design Calculator'!$F$37="25 mV",'Device Parmaters'!E7,'Device Parmaters'!E8)</f>
        <v>27</v>
      </c>
      <c r="F17" s="92" t="s">
        <v>184</v>
      </c>
    </row>
    <row r="18" spans="1:8" x14ac:dyDescent="0.25">
      <c r="E18" s="2"/>
    </row>
    <row r="19" spans="1:8" x14ac:dyDescent="0.25">
      <c r="A19" s="27"/>
      <c r="E19" s="2"/>
    </row>
    <row r="20" spans="1:8" x14ac:dyDescent="0.25">
      <c r="E20" s="2" t="s">
        <v>0</v>
      </c>
      <c r="F20">
        <f>CLMIN_Threshold/('Design Calculator'!F30*1.01)</f>
        <v>3.2531824611032532</v>
      </c>
    </row>
    <row r="21" spans="1:8" x14ac:dyDescent="0.25">
      <c r="E21" s="34" t="s">
        <v>225</v>
      </c>
      <c r="F21" s="33" t="str">
        <f>IF(Rs&gt;RsMAX,10,"NA")</f>
        <v>NA</v>
      </c>
    </row>
    <row r="22" spans="1:8" x14ac:dyDescent="0.25">
      <c r="E22" s="34" t="s">
        <v>226</v>
      </c>
      <c r="F22" t="str">
        <f>IF(Rs&gt;RsMAX,(((IOUTMAX*Rs)/CLMIN_Threshold)-1)*F21,"NA")</f>
        <v>NA</v>
      </c>
    </row>
    <row r="23" spans="1:8" x14ac:dyDescent="0.25">
      <c r="E23" s="34" t="s">
        <v>227</v>
      </c>
      <c r="F23">
        <f>IF(RsMAX&gt;Rs,Rs,IF('Design Calculator'!F39="Yes",IF(Rs&gt;RsMAX,Rs/(1+RDIV2/RDIV1),Rs),Rs))</f>
        <v>0.13300000000000001</v>
      </c>
      <c r="H23" s="126"/>
    </row>
    <row r="24" spans="1:8" x14ac:dyDescent="0.25">
      <c r="E24" s="2" t="s">
        <v>1</v>
      </c>
      <c r="F24" s="4">
        <f>CLMIN_Threshold/RsEFF</f>
        <v>172.93233082706766</v>
      </c>
      <c r="G24" s="4"/>
    </row>
    <row r="25" spans="1:8" x14ac:dyDescent="0.25">
      <c r="E25" s="2" t="s">
        <v>2</v>
      </c>
      <c r="F25">
        <f>CLNOM_Threshold/RsEFF</f>
        <v>187.96992481203006</v>
      </c>
    </row>
    <row r="26" spans="1:8" x14ac:dyDescent="0.25">
      <c r="E26" s="2" t="s">
        <v>3</v>
      </c>
      <c r="F26">
        <f>CLMAX_Threshold/RsEFF</f>
        <v>203.00751879699246</v>
      </c>
    </row>
    <row r="27" spans="1:8" x14ac:dyDescent="0.25">
      <c r="E27" s="2" t="s">
        <v>4</v>
      </c>
      <c r="F27">
        <f>F26^2*'Design Calculator'!F40</f>
        <v>5481.2030075187959</v>
      </c>
    </row>
    <row r="30" spans="1:8" x14ac:dyDescent="0.25">
      <c r="E30" s="2"/>
    </row>
    <row r="31" spans="1:8" x14ac:dyDescent="0.25">
      <c r="A31" s="27" t="s">
        <v>165</v>
      </c>
    </row>
    <row r="32" spans="1:8" x14ac:dyDescent="0.25">
      <c r="A32" s="33"/>
      <c r="F32" s="33" t="s">
        <v>166</v>
      </c>
      <c r="H32" s="33" t="s">
        <v>167</v>
      </c>
    </row>
    <row r="33" spans="1:8" x14ac:dyDescent="0.25">
      <c r="A33" s="33"/>
      <c r="E33" s="67" t="s">
        <v>141</v>
      </c>
      <c r="F33" s="68">
        <f>VINMAX*'Design Calculator'!F57</f>
        <v>660</v>
      </c>
      <c r="G33" s="33" t="s">
        <v>93</v>
      </c>
      <c r="H33">
        <f>F33*(TJMAX-TJ)/(TJMAX-25)</f>
        <v>307.56</v>
      </c>
    </row>
    <row r="34" spans="1:8" x14ac:dyDescent="0.25">
      <c r="A34" s="33"/>
      <c r="E34" s="67" t="s">
        <v>142</v>
      </c>
      <c r="F34" s="68">
        <f>VINMAX*'Design Calculator'!F58</f>
        <v>211.2</v>
      </c>
      <c r="G34" s="33" t="s">
        <v>93</v>
      </c>
      <c r="H34">
        <f>F34*(TJMAX-TJ)/(TJMAX-25)</f>
        <v>98.419200000000004</v>
      </c>
    </row>
    <row r="35" spans="1:8" x14ac:dyDescent="0.25">
      <c r="A35" s="33"/>
      <c r="E35" s="67" t="s">
        <v>143</v>
      </c>
      <c r="F35" s="68">
        <f>VINMAX*'Design Calculator'!F59</f>
        <v>118.8</v>
      </c>
      <c r="G35" s="33" t="s">
        <v>93</v>
      </c>
      <c r="H35">
        <f>F35*(TJMAX-TJ)/(TJMAX-25)</f>
        <v>55.360799999999998</v>
      </c>
    </row>
    <row r="36" spans="1:8" x14ac:dyDescent="0.25">
      <c r="A36" s="33"/>
      <c r="E36" s="67" t="s">
        <v>144</v>
      </c>
      <c r="F36" s="68">
        <f>VINMAX*'Design Calculator'!F60</f>
        <v>52.8</v>
      </c>
      <c r="G36" s="76" t="s">
        <v>93</v>
      </c>
      <c r="H36">
        <f>F36*(TJMAX-TJ)/(TJMAX-25)</f>
        <v>24.604800000000001</v>
      </c>
    </row>
    <row r="37" spans="1:8" x14ac:dyDescent="0.25">
      <c r="A37" s="33"/>
      <c r="E37" s="78"/>
      <c r="F37" s="77"/>
      <c r="G37" s="76"/>
    </row>
    <row r="38" spans="1:8" x14ac:dyDescent="0.25">
      <c r="A38" s="33"/>
      <c r="E38" s="78" t="s">
        <v>185</v>
      </c>
      <c r="F38" s="77">
        <f>VINMAX*'Device Parmaters'!E13/RsEFF/0.001</f>
        <v>396.99248120300751</v>
      </c>
      <c r="G38" s="76" t="s">
        <v>93</v>
      </c>
    </row>
    <row r="39" spans="1:8" x14ac:dyDescent="0.25">
      <c r="A39" s="33"/>
      <c r="E39" s="78" t="s">
        <v>316</v>
      </c>
      <c r="F39" s="77">
        <f>'Design Calculator'!F65</f>
        <v>1000</v>
      </c>
      <c r="G39" s="76" t="s">
        <v>93</v>
      </c>
    </row>
    <row r="40" spans="1:8" x14ac:dyDescent="0.25">
      <c r="A40" s="33"/>
      <c r="E40" s="78" t="s">
        <v>306</v>
      </c>
      <c r="F40">
        <f>'Device Parmaters'!E14*(F39*RsEFF*0.001-VINMAX*'Device Parmaters'!$E$12)/1000</f>
        <v>20.424320000000002</v>
      </c>
      <c r="G40" s="76" t="s">
        <v>317</v>
      </c>
    </row>
    <row r="41" spans="1:8" x14ac:dyDescent="0.25">
      <c r="A41" s="33"/>
      <c r="E41" s="78" t="s">
        <v>318</v>
      </c>
      <c r="F41" s="77">
        <f>RPWR</f>
        <v>21</v>
      </c>
      <c r="G41" s="76" t="s">
        <v>317</v>
      </c>
    </row>
    <row r="42" spans="1:8" x14ac:dyDescent="0.25">
      <c r="A42" s="33"/>
      <c r="E42" s="78" t="s">
        <v>319</v>
      </c>
      <c r="F42" s="294">
        <f>1/RsEFF*1000*(Equations!F41*1000/'Device Parmaters'!E14+VINMAX*'Device Parmaters'!E12)</f>
        <v>1022.3114487249051</v>
      </c>
      <c r="G42" s="76" t="s">
        <v>93</v>
      </c>
    </row>
    <row r="43" spans="1:8" x14ac:dyDescent="0.25">
      <c r="A43" s="33"/>
      <c r="E43" s="78"/>
      <c r="G43" s="76"/>
    </row>
    <row r="44" spans="1:8" x14ac:dyDescent="0.25">
      <c r="A44" s="33"/>
      <c r="E44" s="78"/>
      <c r="G44" s="76"/>
    </row>
    <row r="45" spans="1:8" x14ac:dyDescent="0.25">
      <c r="A45" s="33"/>
      <c r="E45" s="78"/>
      <c r="G45" s="76"/>
    </row>
    <row r="46" spans="1:8" x14ac:dyDescent="0.25">
      <c r="E46" s="2" t="s">
        <v>5</v>
      </c>
      <c r="F46" s="4">
        <f>F47*(1-0.24)</f>
        <v>776.95670103092789</v>
      </c>
      <c r="G46" t="s">
        <v>17</v>
      </c>
    </row>
    <row r="47" spans="1:8" x14ac:dyDescent="0.25">
      <c r="E47" s="2" t="s">
        <v>6</v>
      </c>
      <c r="F47" s="4">
        <f>F42</f>
        <v>1022.3114487249051</v>
      </c>
    </row>
    <row r="48" spans="1:8" x14ac:dyDescent="0.25">
      <c r="E48" s="2" t="s">
        <v>7</v>
      </c>
      <c r="F48" s="4">
        <f>F47*(1+0.24)</f>
        <v>1267.6661964188822</v>
      </c>
    </row>
    <row r="49" spans="1:12" x14ac:dyDescent="0.25">
      <c r="E49" s="2"/>
      <c r="F49" s="1"/>
      <c r="H49" s="2"/>
      <c r="I49" s="1"/>
      <c r="K49" s="2"/>
      <c r="L49" s="1"/>
    </row>
    <row r="50" spans="1:12" x14ac:dyDescent="0.25">
      <c r="E50" s="2"/>
      <c r="F50" s="1"/>
      <c r="H50" s="2"/>
      <c r="I50" s="1"/>
      <c r="K50" s="2"/>
      <c r="L50" s="1"/>
    </row>
    <row r="51" spans="1:12" x14ac:dyDescent="0.25">
      <c r="A51" s="27" t="s">
        <v>164</v>
      </c>
    </row>
    <row r="52" spans="1:12" x14ac:dyDescent="0.25">
      <c r="A52" s="27"/>
      <c r="D52" s="364" t="s">
        <v>358</v>
      </c>
      <c r="E52" s="365"/>
      <c r="F52" s="365"/>
      <c r="G52" s="365"/>
    </row>
    <row r="53" spans="1:12" x14ac:dyDescent="0.25">
      <c r="A53" s="27"/>
      <c r="E53" s="34" t="s">
        <v>338</v>
      </c>
      <c r="F53" s="4">
        <f>Start_up!M2</f>
        <v>5.2799999999999985</v>
      </c>
      <c r="G53" s="33" t="s">
        <v>8</v>
      </c>
    </row>
    <row r="54" spans="1:12" x14ac:dyDescent="0.25">
      <c r="A54" s="27"/>
      <c r="E54" s="34" t="s">
        <v>339</v>
      </c>
      <c r="F54" s="4">
        <f>'Device Parmaters'!D27</f>
        <v>0.75</v>
      </c>
    </row>
    <row r="55" spans="1:12" x14ac:dyDescent="0.25">
      <c r="A55" s="27"/>
      <c r="E55" s="34" t="s">
        <v>340</v>
      </c>
      <c r="F55">
        <f>F53*(1+F54)</f>
        <v>9.2399999999999967</v>
      </c>
      <c r="G55" s="33" t="s">
        <v>8</v>
      </c>
    </row>
    <row r="56" spans="1:12" x14ac:dyDescent="0.25">
      <c r="A56" s="27"/>
      <c r="E56" s="34" t="s">
        <v>341</v>
      </c>
      <c r="F56">
        <f>'Device Parmaters'!D25/'Device Parmaters'!D22*F55</f>
        <v>489.17647058823513</v>
      </c>
      <c r="G56" s="33" t="s">
        <v>131</v>
      </c>
    </row>
    <row r="57" spans="1:12" x14ac:dyDescent="0.25">
      <c r="A57" s="27"/>
      <c r="E57" s="34" t="s">
        <v>342</v>
      </c>
      <c r="F57" s="4">
        <f>'Design Calculator'!F77</f>
        <v>150</v>
      </c>
      <c r="G57" s="33" t="s">
        <v>131</v>
      </c>
    </row>
    <row r="58" spans="1:12" x14ac:dyDescent="0.25">
      <c r="A58" s="27"/>
      <c r="E58" s="34" t="s">
        <v>345</v>
      </c>
      <c r="F58">
        <f>'Device Parmaters'!D22/'Device Parmaters'!D25*F57</f>
        <v>2.8333333333333335</v>
      </c>
      <c r="G58" s="33" t="s">
        <v>8</v>
      </c>
    </row>
    <row r="59" spans="1:12" x14ac:dyDescent="0.25">
      <c r="A59" s="27"/>
      <c r="E59" s="34" t="s">
        <v>353</v>
      </c>
      <c r="F59">
        <f>SOA!C26/F47</f>
        <v>2.1446968910333379</v>
      </c>
      <c r="G59" s="33"/>
    </row>
    <row r="60" spans="1:12" x14ac:dyDescent="0.25">
      <c r="A60" s="27"/>
      <c r="E60" s="34"/>
      <c r="G60" s="33"/>
    </row>
    <row r="61" spans="1:12" x14ac:dyDescent="0.25">
      <c r="A61" s="27"/>
      <c r="D61" s="364" t="s">
        <v>363</v>
      </c>
      <c r="E61" s="365"/>
      <c r="F61" s="365"/>
      <c r="G61" s="365"/>
    </row>
    <row r="62" spans="1:12" x14ac:dyDescent="0.25">
      <c r="A62" s="27"/>
      <c r="C62" s="33"/>
      <c r="D62" s="170"/>
      <c r="E62" s="34" t="s">
        <v>359</v>
      </c>
      <c r="F62" s="162">
        <f>'Design Calculator'!F83</f>
        <v>0.5</v>
      </c>
      <c r="G62" s="150" t="s">
        <v>360</v>
      </c>
    </row>
    <row r="63" spans="1:12" x14ac:dyDescent="0.25">
      <c r="A63" s="27"/>
      <c r="C63" s="33"/>
      <c r="D63" s="170"/>
      <c r="E63" s="34" t="s">
        <v>384</v>
      </c>
      <c r="F63" s="163">
        <f>'Device Parmaters'!D30/ss_rate</f>
        <v>110</v>
      </c>
      <c r="G63" s="33" t="s">
        <v>131</v>
      </c>
    </row>
    <row r="64" spans="1:12" x14ac:dyDescent="0.25">
      <c r="A64" s="27"/>
      <c r="C64" s="33"/>
      <c r="D64" s="170"/>
      <c r="E64" s="34" t="s">
        <v>385</v>
      </c>
      <c r="F64" s="162">
        <f>'Design Calculator'!F85</f>
        <v>22</v>
      </c>
      <c r="G64" s="33" t="s">
        <v>131</v>
      </c>
    </row>
    <row r="65" spans="1:8" x14ac:dyDescent="0.25">
      <c r="A65" s="27"/>
      <c r="C65" s="33"/>
      <c r="D65" s="170"/>
      <c r="E65" s="34" t="s">
        <v>386</v>
      </c>
      <c r="F65" s="163">
        <f>ss_rate*F63/F64</f>
        <v>2.5</v>
      </c>
      <c r="G65" s="33" t="s">
        <v>360</v>
      </c>
    </row>
    <row r="66" spans="1:8" x14ac:dyDescent="0.25">
      <c r="A66" s="27"/>
      <c r="C66" s="33"/>
      <c r="D66" s="170"/>
      <c r="E66" s="34" t="s">
        <v>361</v>
      </c>
      <c r="F66" s="162">
        <f>COUTMAX*F65/1000</f>
        <v>1.65</v>
      </c>
      <c r="G66" s="150" t="s">
        <v>28</v>
      </c>
    </row>
    <row r="67" spans="1:8" x14ac:dyDescent="0.25">
      <c r="A67" s="27"/>
      <c r="C67" s="33"/>
      <c r="D67" s="170"/>
      <c r="E67" s="34" t="s">
        <v>377</v>
      </c>
      <c r="F67" s="162">
        <f>VINMAX/F65</f>
        <v>5.2799999999999994</v>
      </c>
      <c r="G67" s="150" t="s">
        <v>8</v>
      </c>
    </row>
    <row r="68" spans="1:8" x14ac:dyDescent="0.25">
      <c r="A68" s="27"/>
      <c r="C68" s="33"/>
      <c r="D68" s="170"/>
      <c r="E68" s="34" t="s">
        <v>378</v>
      </c>
      <c r="F68" s="162">
        <f>Start_up!N5</f>
        <v>5.6946323076923072E-2</v>
      </c>
      <c r="G68" s="162" t="s">
        <v>367</v>
      </c>
    </row>
    <row r="69" spans="1:8" x14ac:dyDescent="0.25">
      <c r="A69" s="27"/>
      <c r="C69" s="33"/>
      <c r="D69" s="170"/>
      <c r="E69" s="34" t="s">
        <v>379</v>
      </c>
      <c r="F69" s="162">
        <f>Start_up!Q4</f>
        <v>21.779999999999998</v>
      </c>
      <c r="G69" s="162" t="s">
        <v>93</v>
      </c>
    </row>
    <row r="70" spans="1:8" x14ac:dyDescent="0.25">
      <c r="A70" s="27"/>
      <c r="D70" s="169"/>
      <c r="E70" s="34" t="s">
        <v>380</v>
      </c>
      <c r="F70" s="162">
        <f>F68/F69*1000</f>
        <v>2.6146153846153846</v>
      </c>
      <c r="G70" s="162" t="s">
        <v>8</v>
      </c>
    </row>
    <row r="71" spans="1:8" x14ac:dyDescent="0.25">
      <c r="A71" s="27"/>
      <c r="E71" s="34" t="s">
        <v>381</v>
      </c>
      <c r="F71" s="33">
        <f>SOA!H28</f>
        <v>77.406783431498212</v>
      </c>
      <c r="G71" s="162" t="s">
        <v>93</v>
      </c>
    </row>
    <row r="72" spans="1:8" x14ac:dyDescent="0.25">
      <c r="A72" s="27"/>
      <c r="E72" s="34" t="s">
        <v>382</v>
      </c>
      <c r="F72" s="33">
        <f>F71/F69</f>
        <v>3.554030460583022</v>
      </c>
      <c r="G72" s="33"/>
    </row>
    <row r="73" spans="1:8" x14ac:dyDescent="0.25">
      <c r="A73" s="27"/>
      <c r="E73" s="34"/>
      <c r="F73" s="33"/>
      <c r="G73" s="33"/>
    </row>
    <row r="74" spans="1:8" x14ac:dyDescent="0.25">
      <c r="A74" s="27"/>
      <c r="E74" s="34"/>
      <c r="F74" s="33">
        <v>1</v>
      </c>
      <c r="G74" s="162" t="s">
        <v>8</v>
      </c>
    </row>
    <row r="75" spans="1:8" x14ac:dyDescent="0.25">
      <c r="A75" s="27"/>
      <c r="D75" s="366" t="s">
        <v>391</v>
      </c>
      <c r="E75" s="366"/>
      <c r="F75" s="366"/>
      <c r="G75" s="366"/>
      <c r="H75" s="366"/>
    </row>
    <row r="76" spans="1:8" x14ac:dyDescent="0.25">
      <c r="A76" s="27"/>
      <c r="E76" s="34" t="s">
        <v>387</v>
      </c>
      <c r="F76" s="194">
        <f>'Design Calculator'!F88</f>
        <v>0.4</v>
      </c>
      <c r="G76" s="33"/>
    </row>
    <row r="77" spans="1:8" x14ac:dyDescent="0.25">
      <c r="A77" s="27"/>
      <c r="E77" s="34" t="s">
        <v>388</v>
      </c>
      <c r="F77" s="33">
        <f>'Device Parmaters'!D25/'Device Parmaters'!D22*F76</f>
        <v>21.176470588235297</v>
      </c>
      <c r="G77" s="33" t="s">
        <v>131</v>
      </c>
    </row>
    <row r="78" spans="1:8" x14ac:dyDescent="0.25">
      <c r="A78" s="27"/>
      <c r="E78" s="193" t="s">
        <v>389</v>
      </c>
      <c r="F78" s="194">
        <f>'Design Calculator'!F90</f>
        <v>0.1</v>
      </c>
      <c r="G78" s="33" t="s">
        <v>131</v>
      </c>
    </row>
    <row r="79" spans="1:8" x14ac:dyDescent="0.25">
      <c r="A79" s="27"/>
      <c r="E79" s="172" t="s">
        <v>393</v>
      </c>
      <c r="F79" s="33">
        <f>'Device Parmaters'!D22/'Device Parmaters'!D25*F78</f>
        <v>1.888888888888889E-3</v>
      </c>
      <c r="G79" s="33" t="s">
        <v>8</v>
      </c>
    </row>
    <row r="80" spans="1:8" x14ac:dyDescent="0.25">
      <c r="A80" s="27"/>
      <c r="E80" s="193" t="s">
        <v>392</v>
      </c>
      <c r="F80" s="33">
        <f>SOA!C26</f>
        <v>2192.5481857480918</v>
      </c>
      <c r="G80" s="33" t="s">
        <v>93</v>
      </c>
    </row>
    <row r="81" spans="1:13" x14ac:dyDescent="0.25">
      <c r="A81" s="27"/>
      <c r="E81" s="172" t="s">
        <v>382</v>
      </c>
      <c r="F81" s="33">
        <f>F80/F42</f>
        <v>2.1446968910333379</v>
      </c>
      <c r="G81" s="33"/>
    </row>
    <row r="82" spans="1:13" x14ac:dyDescent="0.25">
      <c r="A82" s="27"/>
      <c r="E82" s="34"/>
      <c r="F82" s="33"/>
      <c r="G82" s="33"/>
    </row>
    <row r="83" spans="1:13" x14ac:dyDescent="0.25">
      <c r="A83" s="27"/>
      <c r="E83" s="34"/>
      <c r="F83" s="33"/>
      <c r="G83" s="33"/>
    </row>
    <row r="84" spans="1:13" x14ac:dyDescent="0.25">
      <c r="A84" s="27"/>
      <c r="E84" s="34"/>
      <c r="F84" s="33"/>
      <c r="G84" s="33"/>
    </row>
    <row r="85" spans="1:13" x14ac:dyDescent="0.25">
      <c r="A85" s="27"/>
      <c r="E85" s="34"/>
      <c r="F85" s="33"/>
      <c r="G85" s="33"/>
    </row>
    <row r="86" spans="1:13" x14ac:dyDescent="0.25">
      <c r="A86" s="27"/>
      <c r="E86" s="34"/>
      <c r="F86" s="33"/>
      <c r="G86" s="33"/>
    </row>
    <row r="87" spans="1:13" x14ac:dyDescent="0.25">
      <c r="A87" s="27"/>
      <c r="E87" s="34"/>
      <c r="F87" s="33"/>
      <c r="G87" s="33"/>
    </row>
    <row r="88" spans="1:13" x14ac:dyDescent="0.25">
      <c r="A88" s="27"/>
      <c r="E88" s="34"/>
      <c r="F88" s="33"/>
      <c r="G88" s="33"/>
    </row>
    <row r="89" spans="1:13" x14ac:dyDescent="0.25">
      <c r="A89" s="27"/>
      <c r="E89" s="34"/>
      <c r="F89" s="33"/>
      <c r="G89" s="33"/>
    </row>
    <row r="90" spans="1:13" x14ac:dyDescent="0.25">
      <c r="A90" s="27"/>
    </row>
    <row r="91" spans="1:13" x14ac:dyDescent="0.25">
      <c r="A91" s="33"/>
      <c r="E91" s="34"/>
    </row>
    <row r="92" spans="1:13" x14ac:dyDescent="0.25">
      <c r="A92" s="33"/>
      <c r="E92" s="34"/>
    </row>
    <row r="93" spans="1:13" x14ac:dyDescent="0.25">
      <c r="D93" s="33"/>
      <c r="E93" s="34"/>
    </row>
    <row r="94" spans="1:13" x14ac:dyDescent="0.25">
      <c r="D94" s="33"/>
      <c r="E94" s="34"/>
    </row>
    <row r="95" spans="1:13" x14ac:dyDescent="0.25">
      <c r="D95" s="33"/>
      <c r="E95" s="34"/>
    </row>
    <row r="96" spans="1:13" x14ac:dyDescent="0.25">
      <c r="E96" s="34"/>
      <c r="J96" s="6"/>
      <c r="M96" s="6"/>
    </row>
    <row r="97" spans="5:13" x14ac:dyDescent="0.25">
      <c r="E97" s="34"/>
      <c r="J97" s="6"/>
      <c r="M97" s="6"/>
    </row>
    <row r="98" spans="5:13" x14ac:dyDescent="0.25">
      <c r="E98" s="2"/>
      <c r="G98" t="s">
        <v>18</v>
      </c>
      <c r="J98" s="7"/>
      <c r="M98" s="7"/>
    </row>
    <row r="99" spans="5:13" x14ac:dyDescent="0.25">
      <c r="E99" s="34"/>
      <c r="J99" s="7"/>
      <c r="M99" s="7"/>
    </row>
    <row r="100" spans="5:13" x14ac:dyDescent="0.25">
      <c r="E100" s="2"/>
    </row>
    <row r="101" spans="5:13" x14ac:dyDescent="0.25">
      <c r="E101" s="2"/>
      <c r="I101" t="s">
        <v>30</v>
      </c>
      <c r="L101" t="s">
        <v>53</v>
      </c>
    </row>
    <row r="102" spans="5:13" x14ac:dyDescent="0.25">
      <c r="E102" s="34"/>
      <c r="G102" s="33" t="s">
        <v>28</v>
      </c>
    </row>
    <row r="103" spans="5:13" x14ac:dyDescent="0.25">
      <c r="E103" s="34"/>
      <c r="G103" s="33" t="s">
        <v>215</v>
      </c>
    </row>
    <row r="104" spans="5:13" x14ac:dyDescent="0.25">
      <c r="E104" s="34"/>
      <c r="G104" s="33" t="s">
        <v>131</v>
      </c>
    </row>
    <row r="105" spans="5:13" x14ac:dyDescent="0.25">
      <c r="E105" s="34"/>
      <c r="G105" s="33"/>
    </row>
    <row r="106" spans="5:13" x14ac:dyDescent="0.25">
      <c r="E106" s="34"/>
      <c r="G106" s="33"/>
    </row>
    <row r="107" spans="5:13" x14ac:dyDescent="0.25">
      <c r="E107" s="34" t="s">
        <v>262</v>
      </c>
      <c r="F107" s="4">
        <f>IF('Design Calculator'!F72="YES", Equations!F78, Equations!F57)*'Device Parmaters'!C39*1000/'Device Parmaters'!E43*0.001</f>
        <v>1.9250000000000003E-2</v>
      </c>
      <c r="G107" s="33" t="s">
        <v>8</v>
      </c>
    </row>
    <row r="108" spans="5:13" x14ac:dyDescent="0.25">
      <c r="E108" s="34" t="s">
        <v>11</v>
      </c>
      <c r="F108" s="4">
        <f>IF('Design Calculator'!F72="YES", Equations!F78, Equations!F57)*0.001*'Device Parmaters'!D39*1000/'Device Parmaters'!D43</f>
        <v>3.090909090909091E-2</v>
      </c>
      <c r="G108" s="33" t="s">
        <v>8</v>
      </c>
    </row>
    <row r="109" spans="5:13" x14ac:dyDescent="0.25">
      <c r="E109" s="34" t="s">
        <v>263</v>
      </c>
      <c r="F109" s="4">
        <f>IF('Design Calculator'!F72="YES", Equations!F78, Equations!F57)*0.001*'Device Parmaters'!E39*1000/'Device Parmaters'!C43</f>
        <v>6.1666666666666675E-2</v>
      </c>
      <c r="G109" s="33" t="s">
        <v>8</v>
      </c>
    </row>
    <row r="110" spans="5:13" x14ac:dyDescent="0.25">
      <c r="E110" s="34" t="s">
        <v>264</v>
      </c>
      <c r="F110">
        <f>IF('Design Calculator'!F72="YES", Equations!F78, Equations!F57)*(H110+I110+J110)</f>
        <v>0.219527380952381</v>
      </c>
      <c r="G110" s="33" t="s">
        <v>8</v>
      </c>
      <c r="H110">
        <f>(('Device Parmaters'!C39-'Device Parmaters'!E40)/'Device Parmaters'!E45)*7</f>
        <v>2.7416666666666666E-2</v>
      </c>
      <c r="I110">
        <f>(('Device Parmaters'!C39-'Device Parmaters'!C40)/'Device Parmaters'!D46)*8</f>
        <v>1.9714285714285718</v>
      </c>
      <c r="J110">
        <f>(('Device Parmaters'!C40-'Device Parmaters'!D41)/'Device Parmaters'!D46)</f>
        <v>0.19642857142857145</v>
      </c>
    </row>
    <row r="111" spans="5:13" x14ac:dyDescent="0.25">
      <c r="E111" s="34" t="s">
        <v>12</v>
      </c>
      <c r="F111">
        <f>IF('Design Calculator'!F72="YES", Equations!F78, Equations!F57)*(H111+I111+J111)</f>
        <v>0.23044444444444445</v>
      </c>
      <c r="G111" s="33" t="s">
        <v>8</v>
      </c>
      <c r="H111">
        <f>(('Device Parmaters'!D39-'Device Parmaters'!D40)/'Device Parmaters'!D45)*7</f>
        <v>5.4444444444444441E-2</v>
      </c>
      <c r="I111">
        <f>(('Device Parmaters'!D39-'Device Parmaters'!D40)/'Device Parmaters'!D46)*8</f>
        <v>2</v>
      </c>
      <c r="J111">
        <f>(('Device Parmaters'!D40-'Device Parmaters'!D41)/'Device Parmaters'!D46)</f>
        <v>0.25</v>
      </c>
    </row>
    <row r="112" spans="5:13" x14ac:dyDescent="0.25">
      <c r="E112" s="34" t="s">
        <v>284</v>
      </c>
      <c r="F112">
        <f>IF('Design Calculator'!F72="YES", Equations!F78, Equations!F57)*(H112+I112+J112)</f>
        <v>0.26202380952380955</v>
      </c>
      <c r="G112" s="33" t="s">
        <v>8</v>
      </c>
      <c r="H112">
        <f>(('Device Parmaters'!E39-'Device Parmaters'!C40)/'Device Parmaters'!C45)*7</f>
        <v>0.11666666666666667</v>
      </c>
      <c r="I112">
        <f>(('Device Parmaters'!E39-'Device Parmaters'!E40)/'Device Parmaters'!D46)*8</f>
        <v>2.2285714285714286</v>
      </c>
      <c r="J112">
        <f>(('Device Parmaters'!E40-'Device Parmaters'!D41)/'Device Parmaters'!D46)</f>
        <v>0.27500000000000002</v>
      </c>
    </row>
    <row r="113" spans="4:12" x14ac:dyDescent="0.25">
      <c r="E113" s="34" t="s">
        <v>283</v>
      </c>
      <c r="F113">
        <f>(1+'Design Calculator'!F120/'Design Calculator'!F121)*'Device Parmaters'!C51</f>
        <v>8.7476666666666674</v>
      </c>
      <c r="G113" s="33"/>
    </row>
    <row r="114" spans="4:12" x14ac:dyDescent="0.25">
      <c r="E114" s="34" t="s">
        <v>282</v>
      </c>
      <c r="F114">
        <f>(1+'Design Calculator'!F120/'Design Calculator'!F121)*'Device Parmaters'!D51</f>
        <v>8.947000000000001</v>
      </c>
      <c r="G114" s="33"/>
    </row>
    <row r="115" spans="4:12" x14ac:dyDescent="0.25">
      <c r="E115" s="34" t="s">
        <v>281</v>
      </c>
      <c r="F115">
        <f>(1+'Design Calculator'!F120/'Design Calculator'!F121)*'Device Parmaters'!E51</f>
        <v>9.1233333333333331</v>
      </c>
    </row>
    <row r="116" spans="4:12" x14ac:dyDescent="0.25">
      <c r="E116" s="34" t="s">
        <v>285</v>
      </c>
      <c r="F116">
        <f>('Design Calculator'!F120*'Device Parmaters'!C52)</f>
        <v>180</v>
      </c>
    </row>
    <row r="117" spans="4:12" x14ac:dyDescent="0.25">
      <c r="E117" s="34" t="s">
        <v>286</v>
      </c>
      <c r="F117">
        <f>('Design Calculator'!F120*'Device Parmaters'!$D$52)</f>
        <v>240</v>
      </c>
    </row>
    <row r="118" spans="4:12" x14ac:dyDescent="0.25">
      <c r="E118" s="34" t="s">
        <v>287</v>
      </c>
      <c r="F118">
        <f>('Design Calculator'!F120*'Device Parmaters'!$E$52)</f>
        <v>310</v>
      </c>
    </row>
    <row r="119" spans="4:12" x14ac:dyDescent="0.25">
      <c r="E119" s="34"/>
    </row>
    <row r="120" spans="4:12" x14ac:dyDescent="0.25">
      <c r="E120" s="34"/>
    </row>
    <row r="121" spans="4:12" x14ac:dyDescent="0.25">
      <c r="D121" s="27"/>
      <c r="I121" t="s">
        <v>31</v>
      </c>
      <c r="L121" t="s">
        <v>54</v>
      </c>
    </row>
    <row r="122" spans="4:12" x14ac:dyDescent="0.25">
      <c r="D122" s="27"/>
      <c r="I122" t="s">
        <v>32</v>
      </c>
      <c r="L122" t="s">
        <v>55</v>
      </c>
    </row>
    <row r="123" spans="4:12" x14ac:dyDescent="0.25">
      <c r="D123" s="27"/>
      <c r="I123" t="s">
        <v>33</v>
      </c>
      <c r="L123" t="s">
        <v>56</v>
      </c>
    </row>
    <row r="126" spans="4:12" x14ac:dyDescent="0.25">
      <c r="E126" s="2" t="s">
        <v>22</v>
      </c>
    </row>
    <row r="127" spans="4:12" x14ac:dyDescent="0.25">
      <c r="E127" s="2" t="s">
        <v>23</v>
      </c>
    </row>
    <row r="128" spans="4:12" x14ac:dyDescent="0.25">
      <c r="E128" s="2"/>
      <c r="F128" s="1" t="s">
        <v>28</v>
      </c>
      <c r="G128" s="1" t="s">
        <v>29</v>
      </c>
    </row>
    <row r="129" spans="2:7" x14ac:dyDescent="0.25">
      <c r="E129" s="2" t="s">
        <v>36</v>
      </c>
      <c r="F129" s="18">
        <f>('Design Calculator'!F96-'Design Calculator'!F97)*1000/23</f>
        <v>43.478260869565219</v>
      </c>
      <c r="G129" s="18">
        <f>('Design Calculator'!F96-'Design Calculator'!F97)*1000/23</f>
        <v>43.478260869565219</v>
      </c>
    </row>
    <row r="130" spans="2:7" x14ac:dyDescent="0.25">
      <c r="E130" s="2" t="s">
        <v>35</v>
      </c>
      <c r="F130" s="18">
        <f>(1.16*F129/('Design Calculator'!F97-1.16))-F131</f>
        <v>2.573203194321207</v>
      </c>
      <c r="G130" s="18">
        <f>1.16*G129/('Design Calculator'!F97-1.16)</f>
        <v>6.4330079858030169</v>
      </c>
    </row>
    <row r="131" spans="2:7" x14ac:dyDescent="0.25">
      <c r="E131" s="2" t="s">
        <v>34</v>
      </c>
      <c r="F131" s="18">
        <f>1.16*F129*'Design Calculator'!F97/('Design Calculator'!F98*('Design Calculator'!F97-1.16))</f>
        <v>3.8598047914818099</v>
      </c>
      <c r="G131" s="18">
        <f>('Design Calculator'!F98-'Design Calculator'!F99)*1000/23</f>
        <v>43.478260869565219</v>
      </c>
    </row>
    <row r="132" spans="2:7" x14ac:dyDescent="0.25">
      <c r="E132" s="2" t="s">
        <v>37</v>
      </c>
      <c r="F132" s="1"/>
      <c r="G132" s="18">
        <f>1.16*G131/('Design Calculator'!F98-1.16)</f>
        <v>3.6441316913797435</v>
      </c>
    </row>
    <row r="133" spans="2:7" x14ac:dyDescent="0.25">
      <c r="B133" s="10"/>
      <c r="C133" s="11"/>
      <c r="D133" s="11"/>
      <c r="E133" s="12" t="s">
        <v>41</v>
      </c>
      <c r="F133" s="18">
        <f>1.147+('Design Calculator'!F104*((1.147/('Design Calculator'!F105+'Design Calculator'!F106))+(18/1000)))</f>
        <v>2.9217905816059568</v>
      </c>
      <c r="G133" s="18">
        <f>1.147+('Design Calculator'!F$104*((1.147/'Design Calculator'!F$105)+(18/1000)))</f>
        <v>9.5594844375963017</v>
      </c>
    </row>
    <row r="134" spans="2:7" x14ac:dyDescent="0.25">
      <c r="B134" s="13"/>
      <c r="C134" s="9"/>
      <c r="D134" s="9"/>
      <c r="E134" s="14" t="s">
        <v>42</v>
      </c>
      <c r="F134" s="18">
        <f>1.16+('Design Calculator'!F104*((1.16/('Design Calculator'!F105+'Design Calculator'!F106))+(23/1000)))</f>
        <v>3.1620926544576378</v>
      </c>
      <c r="G134" s="18">
        <f>1.16+('Design Calculator'!F$104*((1.16/'Design Calculator'!F$105)+(23/1000)))</f>
        <v>9.8750175654853614</v>
      </c>
    </row>
    <row r="135" spans="2:7" x14ac:dyDescent="0.25">
      <c r="B135" s="15"/>
      <c r="C135" s="16"/>
      <c r="D135" s="16"/>
      <c r="E135" s="17" t="s">
        <v>43</v>
      </c>
      <c r="F135" s="18">
        <f>1.173+('Design Calculator'!F104*((1.173/('Design Calculator'!F105+'Design Calculator'!F106))+(28/1000)))</f>
        <v>3.4023947273093178</v>
      </c>
      <c r="G135" s="18">
        <f>1.173+('Design Calculator'!F$104*((1.173/'Design Calculator'!F$105)+(28/1000)))</f>
        <v>10.190550693374423</v>
      </c>
    </row>
    <row r="136" spans="2:7" x14ac:dyDescent="0.25">
      <c r="E136" s="3" t="s">
        <v>44</v>
      </c>
      <c r="F136" s="18">
        <f>1.147*('Design Calculator'!F104+'Design Calculator'!F105+'Design Calculator'!F106)/('Design Calculator'!F105+'Design Calculator'!F106)</f>
        <v>2.1441905816059572</v>
      </c>
      <c r="G136" s="18">
        <f>1.147*('Design Calculator'!F$104+'Design Calculator'!F$105)/'Design Calculator'!F$105</f>
        <v>8.7818844375963039</v>
      </c>
    </row>
    <row r="137" spans="2:7" x14ac:dyDescent="0.25">
      <c r="E137" s="3" t="s">
        <v>45</v>
      </c>
      <c r="F137" s="18">
        <f>1.16*('Design Calculator'!F104+'Design Calculator'!F105+'Design Calculator'!F106)/('Design Calculator'!F105+'Design Calculator'!F106)</f>
        <v>2.1684926544576375</v>
      </c>
      <c r="G137" s="18">
        <f>1.16*('Design Calculator'!F$104+'Design Calculator'!F$105)/'Design Calculator'!F$105</f>
        <v>8.8814175654853624</v>
      </c>
    </row>
    <row r="138" spans="2:7" x14ac:dyDescent="0.25">
      <c r="E138" s="3" t="s">
        <v>46</v>
      </c>
      <c r="F138" s="18">
        <f>1.173*('Design Calculator'!F104+'Design Calculator'!F105+'Design Calculator'!F106)/('Design Calculator'!F105+'Design Calculator'!F106)</f>
        <v>2.1927947273093182</v>
      </c>
      <c r="G138" s="18">
        <f>1.173*('Design Calculator'!F$104+'Design Calculator'!F$105)/'Design Calculator'!F$105</f>
        <v>8.9809506933744228</v>
      </c>
    </row>
    <row r="139" spans="2:7" x14ac:dyDescent="0.25">
      <c r="B139" s="10"/>
      <c r="C139" s="11"/>
      <c r="D139" s="11"/>
      <c r="E139" s="12" t="s">
        <v>47</v>
      </c>
      <c r="F139" s="18">
        <f>1.141*('Design Calculator'!F$104+'Design Calculator'!F$105+'Design Calculator'!F$106)/'Design Calculator'!F$106</f>
        <v>2.4534141203703705</v>
      </c>
      <c r="G139" s="18">
        <f>1.141*('Design Calculator'!F$106+'Design Calculator'!F$107)/'Design Calculator'!F$107</f>
        <v>14.645438356164385</v>
      </c>
    </row>
    <row r="140" spans="2:7" x14ac:dyDescent="0.25">
      <c r="B140" s="13"/>
      <c r="C140" s="9"/>
      <c r="D140" s="9"/>
      <c r="E140" s="14" t="s">
        <v>48</v>
      </c>
      <c r="F140" s="18">
        <f>1.16*('Design Calculator'!F$104+'Design Calculator'!F$105+'Design Calculator'!F$106)/'Design Calculator'!F$106</f>
        <v>2.4942685185185187</v>
      </c>
      <c r="G140" s="18">
        <f>1.16*('Design Calculator'!F$106+'Design Calculator'!F$107)/'Design Calculator'!F$107</f>
        <v>14.889315068493151</v>
      </c>
    </row>
    <row r="141" spans="2:7" x14ac:dyDescent="0.25">
      <c r="B141" s="15"/>
      <c r="C141" s="16"/>
      <c r="D141" s="16"/>
      <c r="E141" s="17" t="s">
        <v>49</v>
      </c>
      <c r="F141" s="18">
        <f>1.185*('Design Calculator'!F$104+'Design Calculator'!F$105+'Design Calculator'!F$106)/'Design Calculator'!F$106</f>
        <v>2.5480243055555558</v>
      </c>
      <c r="G141" s="18">
        <f>1.185*('Design Calculator'!F$106+'Design Calculator'!F$107)/'Design Calculator'!F$107</f>
        <v>15.210205479452057</v>
      </c>
    </row>
    <row r="142" spans="2:7" x14ac:dyDescent="0.25">
      <c r="E142" s="3" t="s">
        <v>50</v>
      </c>
      <c r="F142" s="18">
        <f>1.141+(('Design Calculator'!F$104+'Design Calculator'!F$105)*((1.142/'Design Calculator'!F$106)-(28/1000)))</f>
        <v>1.0632443518518515</v>
      </c>
      <c r="G142" s="18">
        <f>1.141+('Design Calculator'!F$106*((1.141/'Design Calculator'!F$107)-(28/1000)))</f>
        <v>13.435838356164384</v>
      </c>
    </row>
    <row r="143" spans="2:7" x14ac:dyDescent="0.25">
      <c r="E143" s="3" t="s">
        <v>51</v>
      </c>
      <c r="F143" s="18">
        <f>1.16+(('Design Calculator'!F$104+'Design Calculator'!F$105)*((1.16/'Design Calculator'!F$106)-(23/1000)))</f>
        <v>1.3513985185185184</v>
      </c>
      <c r="G143" s="18">
        <f>1.16+('Design Calculator'!F$106*((1.16/'Design Calculator'!F$107)-(23/1000)))</f>
        <v>13.89571506849315</v>
      </c>
    </row>
    <row r="144" spans="2:7" x14ac:dyDescent="0.25">
      <c r="E144" s="3" t="s">
        <v>52</v>
      </c>
      <c r="F144" s="18">
        <f>1.185+(('Design Calculator'!F$104+'Design Calculator'!F$105)*((1.185/'Design Calculator'!F$106)-(18/1000)))</f>
        <v>1.6536043055555556</v>
      </c>
      <c r="G144" s="18">
        <f>1.185+('Design Calculator'!F$106*((1.185/'Design Calculator'!F$107)-(18/1000)))</f>
        <v>14.432605479452056</v>
      </c>
    </row>
    <row r="152" spans="5:7" x14ac:dyDescent="0.25">
      <c r="E152" s="34" t="s">
        <v>128</v>
      </c>
      <c r="F152" s="33" t="e">
        <f>'Design Calculator'!#REF!</f>
        <v>#REF!</v>
      </c>
      <c r="G152" s="33" t="s">
        <v>8</v>
      </c>
    </row>
    <row r="153" spans="5:7" x14ac:dyDescent="0.25">
      <c r="E153" s="34" t="s">
        <v>129</v>
      </c>
      <c r="F153" s="33">
        <f>'Design Calculator'!F28</f>
        <v>12</v>
      </c>
      <c r="G153" s="33" t="s">
        <v>92</v>
      </c>
    </row>
    <row r="154" spans="5:7" x14ac:dyDescent="0.25">
      <c r="E154" s="34" t="s">
        <v>130</v>
      </c>
      <c r="F154" t="e">
        <f>22/F153*F152</f>
        <v>#REF!</v>
      </c>
      <c r="G154" s="33" t="s">
        <v>131</v>
      </c>
    </row>
    <row r="175" spans="3:6" x14ac:dyDescent="0.25">
      <c r="C175" s="27" t="s">
        <v>61</v>
      </c>
    </row>
    <row r="176" spans="3:6" x14ac:dyDescent="0.25">
      <c r="E176" s="2" t="s">
        <v>62</v>
      </c>
      <c r="F176" s="1">
        <f>'Design Calculator'!F40</f>
        <v>0.13300000000000001</v>
      </c>
    </row>
    <row r="177" spans="4:18" ht="15.6" x14ac:dyDescent="0.35">
      <c r="E177" s="2" t="s">
        <v>63</v>
      </c>
      <c r="F177" s="1">
        <f>'Design Calculator'!F67</f>
        <v>21</v>
      </c>
    </row>
    <row r="178" spans="4:18" x14ac:dyDescent="0.25">
      <c r="E178" s="2" t="s">
        <v>64</v>
      </c>
      <c r="F178" s="1">
        <f>'Design Calculator'!F29</f>
        <v>13.2</v>
      </c>
    </row>
    <row r="180" spans="4:18" x14ac:dyDescent="0.25">
      <c r="E180" s="2" t="s">
        <v>65</v>
      </c>
      <c r="F180" s="18">
        <f>F24</f>
        <v>172.93233082706766</v>
      </c>
    </row>
    <row r="181" spans="4:18" x14ac:dyDescent="0.25">
      <c r="E181" s="2" t="s">
        <v>66</v>
      </c>
      <c r="F181" s="18">
        <f>F25</f>
        <v>187.96992481203006</v>
      </c>
    </row>
    <row r="182" spans="4:18" x14ac:dyDescent="0.25">
      <c r="E182" s="2" t="s">
        <v>67</v>
      </c>
      <c r="F182" s="18">
        <f>F26</f>
        <v>203.00751879699246</v>
      </c>
    </row>
    <row r="184" spans="4:18" x14ac:dyDescent="0.25">
      <c r="E184" s="2" t="s">
        <v>68</v>
      </c>
      <c r="F184" s="6">
        <f>F46</f>
        <v>776.95670103092789</v>
      </c>
    </row>
    <row r="185" spans="4:18" x14ac:dyDescent="0.25">
      <c r="E185" s="2" t="s">
        <v>69</v>
      </c>
      <c r="F185" s="6">
        <f>F47</f>
        <v>1022.3114487249051</v>
      </c>
    </row>
    <row r="186" spans="4:18" x14ac:dyDescent="0.25">
      <c r="E186" s="2" t="s">
        <v>70</v>
      </c>
      <c r="F186" s="6">
        <f>F48</f>
        <v>1267.6661964188822</v>
      </c>
    </row>
    <row r="191" spans="4:18" x14ac:dyDescent="0.25">
      <c r="D191" t="s">
        <v>71</v>
      </c>
      <c r="E191" s="2"/>
      <c r="I191" t="s">
        <v>72</v>
      </c>
      <c r="N191" t="s">
        <v>87</v>
      </c>
      <c r="R191" s="33" t="s">
        <v>94</v>
      </c>
    </row>
    <row r="192" spans="4:18" x14ac:dyDescent="0.25">
      <c r="D192" t="s">
        <v>73</v>
      </c>
      <c r="I192" t="s">
        <v>74</v>
      </c>
      <c r="N192" t="s">
        <v>79</v>
      </c>
      <c r="R192" s="33" t="s">
        <v>95</v>
      </c>
    </row>
    <row r="193" spans="2:25" x14ac:dyDescent="0.25">
      <c r="B193" s="33" t="s">
        <v>157</v>
      </c>
      <c r="D193" s="5" t="s">
        <v>75</v>
      </c>
      <c r="E193" s="5" t="s">
        <v>76</v>
      </c>
      <c r="F193" s="152" t="s">
        <v>77</v>
      </c>
      <c r="G193" s="5" t="s">
        <v>78</v>
      </c>
      <c r="I193" s="5" t="s">
        <v>75</v>
      </c>
      <c r="J193" s="5" t="s">
        <v>76</v>
      </c>
      <c r="K193" s="5" t="s">
        <v>77</v>
      </c>
      <c r="L193" s="5" t="s">
        <v>78</v>
      </c>
      <c r="N193" t="s">
        <v>80</v>
      </c>
      <c r="R193" s="5" t="s">
        <v>75</v>
      </c>
      <c r="S193" s="26" t="s">
        <v>76</v>
      </c>
      <c r="T193" s="26" t="s">
        <v>77</v>
      </c>
      <c r="U193" s="26" t="s">
        <v>78</v>
      </c>
      <c r="V193" s="165" t="s">
        <v>86</v>
      </c>
      <c r="X193" s="166" t="s">
        <v>351</v>
      </c>
    </row>
    <row r="194" spans="2:25" x14ac:dyDescent="0.25">
      <c r="B194">
        <f>D194*F194</f>
        <v>829.67986977753662</v>
      </c>
      <c r="D194" s="5">
        <v>1</v>
      </c>
      <c r="E194" s="28">
        <f>(1-$F$217)*F194</f>
        <v>622.25990233315247</v>
      </c>
      <c r="F194" s="28">
        <f t="shared" ref="F194:F210" si="0">($F$185+(D194-VINMAX)*$E$214/$E$215)/D194</f>
        <v>829.67986977753662</v>
      </c>
      <c r="G194" s="28">
        <f>F194*(1+$F$217)</f>
        <v>1037.0998372219208</v>
      </c>
      <c r="I194" s="5">
        <v>1</v>
      </c>
      <c r="J194" s="28">
        <f t="shared" ref="J194:J210" si="1">IF(E194&gt;$F$180,$F$180,E194)</f>
        <v>172.93233082706766</v>
      </c>
      <c r="K194" s="28">
        <f t="shared" ref="K194:K210" si="2">IF(F194&gt;$F$181,$F$181,F194)</f>
        <v>187.96992481203006</v>
      </c>
      <c r="L194" s="28">
        <f t="shared" ref="L194:L210" si="3">IF(G194&gt;$F$182,$F$182,G194)</f>
        <v>203.00751879699246</v>
      </c>
      <c r="N194" t="s">
        <v>81</v>
      </c>
      <c r="R194" s="5">
        <v>1</v>
      </c>
      <c r="S194" s="28">
        <f t="shared" ref="S194:S213" si="4">IF($R194&gt;$F$178,0.0000000005,J194)</f>
        <v>172.93233082706766</v>
      </c>
      <c r="T194" s="28">
        <f t="shared" ref="T194:T213" si="5">IF($R194&gt;$F$178,0.0000000005,K194)</f>
        <v>187.96992481203006</v>
      </c>
      <c r="U194" s="28">
        <f t="shared" ref="U194:U213" si="6">IF($R194&gt;$F$178,0.0000000005,L194)</f>
        <v>203.00751879699246</v>
      </c>
      <c r="V194" s="28">
        <f>$X$194/R194</f>
        <v>2192.5481857480918</v>
      </c>
      <c r="X194">
        <f>SOA!C26</f>
        <v>2192.5481857480918</v>
      </c>
      <c r="Y194" s="33" t="s">
        <v>93</v>
      </c>
    </row>
    <row r="195" spans="2:25" x14ac:dyDescent="0.25">
      <c r="B195">
        <f t="shared" ref="B195:B210" si="7">D195*F195</f>
        <v>845.46934346174726</v>
      </c>
      <c r="D195" s="5">
        <v>2</v>
      </c>
      <c r="E195" s="28">
        <f t="shared" ref="E195:E210" si="8">(1-$F$217)*F195</f>
        <v>317.05100379815519</v>
      </c>
      <c r="F195" s="28">
        <f t="shared" si="0"/>
        <v>422.73467173087363</v>
      </c>
      <c r="G195" s="28">
        <f t="shared" ref="G195:G210" si="9">F195*(1+$F$217)</f>
        <v>528.41833966359206</v>
      </c>
      <c r="I195" s="5">
        <v>2</v>
      </c>
      <c r="J195" s="28">
        <f t="shared" si="1"/>
        <v>172.93233082706766</v>
      </c>
      <c r="K195" s="28">
        <f t="shared" si="2"/>
        <v>187.96992481203006</v>
      </c>
      <c r="L195" s="28">
        <f t="shared" si="3"/>
        <v>203.00751879699246</v>
      </c>
      <c r="R195" s="5">
        <v>2</v>
      </c>
      <c r="S195" s="28">
        <f t="shared" si="4"/>
        <v>172.93233082706766</v>
      </c>
      <c r="T195" s="28">
        <f t="shared" si="5"/>
        <v>187.96992481203006</v>
      </c>
      <c r="U195" s="28">
        <f t="shared" si="6"/>
        <v>203.00751879699246</v>
      </c>
      <c r="V195" s="28">
        <f t="shared" ref="V195:V213" si="10">$X$194/R195</f>
        <v>1096.2740928740459</v>
      </c>
    </row>
    <row r="196" spans="2:25" x14ac:dyDescent="0.25">
      <c r="B196">
        <f t="shared" si="7"/>
        <v>861.25881714595766</v>
      </c>
      <c r="D196" s="5">
        <v>3</v>
      </c>
      <c r="E196" s="28">
        <f t="shared" si="8"/>
        <v>215.31470428648942</v>
      </c>
      <c r="F196" s="28">
        <f t="shared" si="0"/>
        <v>287.08627238198591</v>
      </c>
      <c r="G196" s="28">
        <f t="shared" si="9"/>
        <v>358.8578404774824</v>
      </c>
      <c r="I196" s="5">
        <v>3</v>
      </c>
      <c r="J196" s="28">
        <f t="shared" si="1"/>
        <v>172.93233082706766</v>
      </c>
      <c r="K196" s="28">
        <f t="shared" si="2"/>
        <v>187.96992481203006</v>
      </c>
      <c r="L196" s="28">
        <f t="shared" si="3"/>
        <v>203.00751879699246</v>
      </c>
      <c r="O196" s="29" t="s">
        <v>82</v>
      </c>
      <c r="R196" s="5">
        <v>3</v>
      </c>
      <c r="S196" s="28">
        <f t="shared" si="4"/>
        <v>172.93233082706766</v>
      </c>
      <c r="T196" s="28">
        <f t="shared" si="5"/>
        <v>187.96992481203006</v>
      </c>
      <c r="U196" s="28">
        <f t="shared" si="6"/>
        <v>203.00751879699246</v>
      </c>
      <c r="V196" s="28">
        <f t="shared" si="10"/>
        <v>730.84939524936397</v>
      </c>
    </row>
    <row r="197" spans="2:25" x14ac:dyDescent="0.25">
      <c r="B197">
        <f t="shared" si="7"/>
        <v>877.0482908301683</v>
      </c>
      <c r="D197" s="5">
        <v>4</v>
      </c>
      <c r="E197" s="28">
        <f t="shared" si="8"/>
        <v>164.44655453065656</v>
      </c>
      <c r="F197" s="28">
        <f t="shared" si="0"/>
        <v>219.26207270754207</v>
      </c>
      <c r="G197" s="28">
        <f t="shared" si="9"/>
        <v>274.07759088442759</v>
      </c>
      <c r="I197" s="5">
        <v>4</v>
      </c>
      <c r="J197" s="28">
        <f t="shared" si="1"/>
        <v>164.44655453065656</v>
      </c>
      <c r="K197" s="28">
        <f t="shared" si="2"/>
        <v>187.96992481203006</v>
      </c>
      <c r="L197" s="28">
        <f t="shared" si="3"/>
        <v>203.00751879699246</v>
      </c>
      <c r="N197" s="8" t="s">
        <v>75</v>
      </c>
      <c r="O197" s="30" t="s">
        <v>83</v>
      </c>
      <c r="R197" s="5">
        <v>4</v>
      </c>
      <c r="S197" s="28">
        <f t="shared" si="4"/>
        <v>164.44655453065656</v>
      </c>
      <c r="T197" s="28">
        <f t="shared" si="5"/>
        <v>187.96992481203006</v>
      </c>
      <c r="U197" s="28">
        <f t="shared" si="6"/>
        <v>203.00751879699246</v>
      </c>
      <c r="V197" s="28">
        <f t="shared" si="10"/>
        <v>548.13704643702295</v>
      </c>
    </row>
    <row r="198" spans="2:25" x14ac:dyDescent="0.25">
      <c r="B198">
        <f t="shared" si="7"/>
        <v>892.83776451437893</v>
      </c>
      <c r="D198" s="5">
        <v>5</v>
      </c>
      <c r="E198" s="28">
        <f t="shared" si="8"/>
        <v>133.92566467715682</v>
      </c>
      <c r="F198" s="28">
        <f t="shared" si="0"/>
        <v>178.56755290287578</v>
      </c>
      <c r="G198" s="28">
        <f t="shared" si="9"/>
        <v>223.20944112859473</v>
      </c>
      <c r="I198" s="5">
        <v>5</v>
      </c>
      <c r="J198" s="28">
        <f t="shared" si="1"/>
        <v>133.92566467715682</v>
      </c>
      <c r="K198" s="28">
        <f t="shared" si="2"/>
        <v>178.56755290287578</v>
      </c>
      <c r="L198" s="28">
        <f t="shared" si="3"/>
        <v>203.00751879699246</v>
      </c>
      <c r="N198" s="5">
        <v>1</v>
      </c>
      <c r="O198" s="5">
        <f>SOA!C39</f>
        <v>2192.5481857480918</v>
      </c>
      <c r="P198" t="s">
        <v>84</v>
      </c>
      <c r="R198" s="5">
        <v>5</v>
      </c>
      <c r="S198" s="28">
        <f t="shared" si="4"/>
        <v>133.92566467715682</v>
      </c>
      <c r="T198" s="28">
        <f t="shared" si="5"/>
        <v>178.56755290287578</v>
      </c>
      <c r="U198" s="28">
        <f t="shared" si="6"/>
        <v>203.00751879699246</v>
      </c>
      <c r="V198" s="28">
        <f t="shared" si="10"/>
        <v>438.50963714961836</v>
      </c>
    </row>
    <row r="199" spans="2:25" x14ac:dyDescent="0.25">
      <c r="B199">
        <f t="shared" si="7"/>
        <v>908.62723819858934</v>
      </c>
      <c r="D199" s="5">
        <v>6</v>
      </c>
      <c r="E199" s="28">
        <f t="shared" si="8"/>
        <v>113.57840477482367</v>
      </c>
      <c r="F199" s="28">
        <f t="shared" si="0"/>
        <v>151.43787303309821</v>
      </c>
      <c r="G199" s="28">
        <f t="shared" si="9"/>
        <v>189.29734129137276</v>
      </c>
      <c r="I199" s="5">
        <v>6</v>
      </c>
      <c r="J199" s="28">
        <f t="shared" si="1"/>
        <v>113.57840477482367</v>
      </c>
      <c r="K199" s="28">
        <f t="shared" si="2"/>
        <v>151.43787303309821</v>
      </c>
      <c r="L199" s="28">
        <f t="shared" si="3"/>
        <v>189.29734129137276</v>
      </c>
      <c r="N199" s="5">
        <v>2</v>
      </c>
      <c r="O199" s="28">
        <f>O202+((O198-O202)*3/7)</f>
        <v>1983.7340728197021</v>
      </c>
      <c r="R199" s="5">
        <v>6</v>
      </c>
      <c r="S199" s="28">
        <f t="shared" si="4"/>
        <v>113.57840477482367</v>
      </c>
      <c r="T199" s="28">
        <f t="shared" si="5"/>
        <v>151.43787303309821</v>
      </c>
      <c r="U199" s="28">
        <f t="shared" si="6"/>
        <v>189.29734129137276</v>
      </c>
      <c r="V199" s="28">
        <f t="shared" si="10"/>
        <v>365.42469762468198</v>
      </c>
    </row>
    <row r="200" spans="2:25" x14ac:dyDescent="0.25">
      <c r="B200">
        <f t="shared" si="7"/>
        <v>924.41671188279975</v>
      </c>
      <c r="D200" s="5">
        <v>7</v>
      </c>
      <c r="E200" s="28">
        <f t="shared" si="8"/>
        <v>99.04464770172855</v>
      </c>
      <c r="F200" s="28">
        <f t="shared" si="0"/>
        <v>132.0595302689714</v>
      </c>
      <c r="G200" s="28">
        <f t="shared" si="9"/>
        <v>165.07441283621426</v>
      </c>
      <c r="I200" s="5">
        <v>7</v>
      </c>
      <c r="J200" s="28">
        <f t="shared" si="1"/>
        <v>99.04464770172855</v>
      </c>
      <c r="K200" s="28">
        <f t="shared" si="2"/>
        <v>132.0595302689714</v>
      </c>
      <c r="L200" s="28">
        <f t="shared" si="3"/>
        <v>165.07441283621426</v>
      </c>
      <c r="N200" s="5">
        <v>3</v>
      </c>
      <c r="O200" s="28">
        <f>O202+((O198-O202)*2/8)</f>
        <v>1918.4796625295803</v>
      </c>
      <c r="R200" s="5">
        <v>7</v>
      </c>
      <c r="S200" s="28">
        <f t="shared" si="4"/>
        <v>99.04464770172855</v>
      </c>
      <c r="T200" s="28">
        <f t="shared" si="5"/>
        <v>132.0595302689714</v>
      </c>
      <c r="U200" s="28">
        <f t="shared" si="6"/>
        <v>165.07441283621426</v>
      </c>
      <c r="V200" s="28">
        <f t="shared" si="10"/>
        <v>313.22116939258456</v>
      </c>
    </row>
    <row r="201" spans="2:25" x14ac:dyDescent="0.25">
      <c r="B201">
        <f t="shared" si="7"/>
        <v>940.20618556701038</v>
      </c>
      <c r="D201" s="5">
        <v>8</v>
      </c>
      <c r="E201" s="28">
        <f t="shared" si="8"/>
        <v>88.144329896907223</v>
      </c>
      <c r="F201" s="28">
        <f t="shared" si="0"/>
        <v>117.5257731958763</v>
      </c>
      <c r="G201" s="28">
        <f t="shared" si="9"/>
        <v>146.90721649484539</v>
      </c>
      <c r="I201" s="5">
        <v>8</v>
      </c>
      <c r="J201" s="28">
        <f t="shared" si="1"/>
        <v>88.144329896907223</v>
      </c>
      <c r="K201" s="28">
        <f t="shared" si="2"/>
        <v>117.5257731958763</v>
      </c>
      <c r="L201" s="28">
        <f t="shared" si="3"/>
        <v>146.90721649484539</v>
      </c>
      <c r="N201" s="5">
        <v>4</v>
      </c>
      <c r="O201" s="28">
        <f>O202+((O198-O202)*1/9)</f>
        <v>1867.7262323039301</v>
      </c>
      <c r="R201" s="5">
        <v>8</v>
      </c>
      <c r="S201" s="28">
        <f t="shared" si="4"/>
        <v>88.144329896907223</v>
      </c>
      <c r="T201" s="28">
        <f t="shared" si="5"/>
        <v>117.5257731958763</v>
      </c>
      <c r="U201" s="28">
        <f t="shared" si="6"/>
        <v>146.90721649484539</v>
      </c>
      <c r="V201" s="28">
        <f t="shared" si="10"/>
        <v>274.06852321851147</v>
      </c>
    </row>
    <row r="202" spans="2:25" x14ac:dyDescent="0.25">
      <c r="B202">
        <f t="shared" si="7"/>
        <v>955.9956592512209</v>
      </c>
      <c r="D202" s="5">
        <v>9</v>
      </c>
      <c r="E202" s="28">
        <f t="shared" si="8"/>
        <v>79.666304937601737</v>
      </c>
      <c r="F202" s="28">
        <f t="shared" si="0"/>
        <v>106.22173991680232</v>
      </c>
      <c r="G202" s="28">
        <f t="shared" si="9"/>
        <v>132.77717489600289</v>
      </c>
      <c r="I202" s="5">
        <v>9</v>
      </c>
      <c r="J202" s="28">
        <f t="shared" si="1"/>
        <v>79.666304937601737</v>
      </c>
      <c r="K202" s="28">
        <f t="shared" si="2"/>
        <v>106.22173991680232</v>
      </c>
      <c r="L202" s="28">
        <f t="shared" si="3"/>
        <v>132.77717489600289</v>
      </c>
      <c r="N202" s="5">
        <v>5</v>
      </c>
      <c r="O202" s="28">
        <f>SOA!C40</f>
        <v>1827.12348812341</v>
      </c>
      <c r="P202" t="s">
        <v>85</v>
      </c>
      <c r="R202" s="5">
        <v>9</v>
      </c>
      <c r="S202" s="28">
        <f t="shared" si="4"/>
        <v>79.666304937601737</v>
      </c>
      <c r="T202" s="28">
        <f t="shared" si="5"/>
        <v>106.22173991680232</v>
      </c>
      <c r="U202" s="28">
        <f t="shared" si="6"/>
        <v>132.77717489600289</v>
      </c>
      <c r="V202" s="28">
        <f t="shared" si="10"/>
        <v>243.61646508312131</v>
      </c>
    </row>
    <row r="203" spans="2:25" x14ac:dyDescent="0.25">
      <c r="B203">
        <f t="shared" si="7"/>
        <v>971.78513293543142</v>
      </c>
      <c r="D203" s="5">
        <v>10</v>
      </c>
      <c r="E203" s="28">
        <f t="shared" si="8"/>
        <v>72.883884970157368</v>
      </c>
      <c r="F203" s="28">
        <f t="shared" si="0"/>
        <v>97.178513293543148</v>
      </c>
      <c r="G203" s="28">
        <f t="shared" si="9"/>
        <v>121.47314161692893</v>
      </c>
      <c r="I203" s="5">
        <v>10</v>
      </c>
      <c r="J203" s="28">
        <f t="shared" si="1"/>
        <v>72.883884970157368</v>
      </c>
      <c r="K203" s="28">
        <f t="shared" si="2"/>
        <v>97.178513293543148</v>
      </c>
      <c r="L203" s="28">
        <f t="shared" si="3"/>
        <v>121.47314161692893</v>
      </c>
      <c r="N203" s="5">
        <v>6</v>
      </c>
      <c r="O203" s="28">
        <f>O$207+((O$202-O$207)*4/6)</f>
        <v>1242.4439719239188</v>
      </c>
      <c r="R203" s="5">
        <v>10</v>
      </c>
      <c r="S203" s="28">
        <f t="shared" si="4"/>
        <v>72.883884970157368</v>
      </c>
      <c r="T203" s="28">
        <f t="shared" si="5"/>
        <v>97.178513293543148</v>
      </c>
      <c r="U203" s="28">
        <f t="shared" si="6"/>
        <v>121.47314161692893</v>
      </c>
      <c r="V203" s="28">
        <f t="shared" si="10"/>
        <v>219.25481857480918</v>
      </c>
    </row>
    <row r="204" spans="2:25" x14ac:dyDescent="0.25">
      <c r="B204">
        <f t="shared" si="7"/>
        <v>987.57460661964183</v>
      </c>
      <c r="D204" s="5">
        <v>11</v>
      </c>
      <c r="E204" s="28">
        <f t="shared" si="8"/>
        <v>67.334632269521038</v>
      </c>
      <c r="F204" s="28">
        <f t="shared" si="0"/>
        <v>89.779509692694717</v>
      </c>
      <c r="G204" s="28">
        <f t="shared" si="9"/>
        <v>112.2243871158684</v>
      </c>
      <c r="I204" s="5">
        <v>11</v>
      </c>
      <c r="J204" s="28">
        <f t="shared" si="1"/>
        <v>67.334632269521038</v>
      </c>
      <c r="K204" s="28">
        <f t="shared" si="2"/>
        <v>89.779509692694717</v>
      </c>
      <c r="L204" s="28">
        <f t="shared" si="3"/>
        <v>112.2243871158684</v>
      </c>
      <c r="N204" s="5">
        <v>7</v>
      </c>
      <c r="O204" s="28">
        <f>O$207+((O$202-O$207)*3/7)</f>
        <v>824.81574606713946</v>
      </c>
      <c r="R204" s="5">
        <v>11</v>
      </c>
      <c r="S204" s="28">
        <f t="shared" si="4"/>
        <v>67.334632269521038</v>
      </c>
      <c r="T204" s="28">
        <f t="shared" si="5"/>
        <v>89.779509692694717</v>
      </c>
      <c r="U204" s="28">
        <f t="shared" si="6"/>
        <v>112.2243871158684</v>
      </c>
      <c r="V204" s="28">
        <f t="shared" si="10"/>
        <v>199.32256234073563</v>
      </c>
    </row>
    <row r="205" spans="2:25" x14ac:dyDescent="0.25">
      <c r="B205">
        <f t="shared" si="7"/>
        <v>1003.3640803038525</v>
      </c>
      <c r="D205" s="5">
        <v>12</v>
      </c>
      <c r="E205" s="28">
        <f t="shared" si="8"/>
        <v>62.710255018990779</v>
      </c>
      <c r="F205" s="28">
        <f t="shared" si="0"/>
        <v>83.613673358654367</v>
      </c>
      <c r="G205" s="28">
        <f t="shared" si="9"/>
        <v>104.51709169831796</v>
      </c>
      <c r="I205" s="5">
        <v>12</v>
      </c>
      <c r="J205" s="28">
        <f t="shared" si="1"/>
        <v>62.710255018990779</v>
      </c>
      <c r="K205" s="28">
        <f t="shared" si="2"/>
        <v>83.613673358654367</v>
      </c>
      <c r="L205" s="28">
        <f t="shared" si="3"/>
        <v>104.51709169831796</v>
      </c>
      <c r="N205" s="5">
        <v>8</v>
      </c>
      <c r="O205" s="28">
        <f>O$207+((O$202-O$207)*2/8)</f>
        <v>511.59457667455479</v>
      </c>
      <c r="R205" s="5">
        <v>12</v>
      </c>
      <c r="S205" s="28">
        <f t="shared" si="4"/>
        <v>62.710255018990779</v>
      </c>
      <c r="T205" s="28">
        <f t="shared" si="5"/>
        <v>83.613673358654367</v>
      </c>
      <c r="U205" s="28">
        <f t="shared" si="6"/>
        <v>104.51709169831796</v>
      </c>
      <c r="V205" s="28">
        <f t="shared" si="10"/>
        <v>182.71234881234099</v>
      </c>
    </row>
    <row r="206" spans="2:25" x14ac:dyDescent="0.25">
      <c r="B206">
        <f t="shared" si="7"/>
        <v>1019.153553988063</v>
      </c>
      <c r="D206" s="5">
        <v>13</v>
      </c>
      <c r="E206" s="28">
        <f t="shared" si="8"/>
        <v>58.797320422388253</v>
      </c>
      <c r="F206" s="28">
        <f t="shared" si="0"/>
        <v>78.396427229851</v>
      </c>
      <c r="G206" s="28">
        <f t="shared" si="9"/>
        <v>97.995534037313746</v>
      </c>
      <c r="I206" s="5">
        <v>13</v>
      </c>
      <c r="J206" s="28">
        <f t="shared" si="1"/>
        <v>58.797320422388253</v>
      </c>
      <c r="K206" s="28">
        <f t="shared" si="2"/>
        <v>78.396427229851</v>
      </c>
      <c r="L206" s="28">
        <f t="shared" si="3"/>
        <v>97.995534037313746</v>
      </c>
      <c r="N206" s="5">
        <v>9</v>
      </c>
      <c r="O206" s="28">
        <f>O$207+((O$202-O$207)*1/9)</f>
        <v>267.97811159143345</v>
      </c>
      <c r="R206" s="5">
        <v>13</v>
      </c>
      <c r="S206" s="28">
        <f t="shared" si="4"/>
        <v>58.797320422388253</v>
      </c>
      <c r="T206" s="28">
        <f t="shared" si="5"/>
        <v>78.396427229851</v>
      </c>
      <c r="U206" s="28">
        <f t="shared" si="6"/>
        <v>97.995534037313746</v>
      </c>
      <c r="V206" s="28">
        <f t="shared" si="10"/>
        <v>168.65755274985321</v>
      </c>
    </row>
    <row r="207" spans="2:25" x14ac:dyDescent="0.25">
      <c r="B207">
        <f t="shared" si="7"/>
        <v>1034.9430276722735</v>
      </c>
      <c r="D207" s="5">
        <v>14</v>
      </c>
      <c r="E207" s="28">
        <f t="shared" si="8"/>
        <v>55.44337648244322</v>
      </c>
      <c r="F207" s="28">
        <f t="shared" si="0"/>
        <v>73.92450197659096</v>
      </c>
      <c r="G207" s="28">
        <f t="shared" si="9"/>
        <v>92.405627470738693</v>
      </c>
      <c r="I207" s="5">
        <v>14</v>
      </c>
      <c r="J207" s="28">
        <f t="shared" si="1"/>
        <v>55.44337648244322</v>
      </c>
      <c r="K207" s="28">
        <f t="shared" si="2"/>
        <v>73.92450197659096</v>
      </c>
      <c r="L207" s="28">
        <f t="shared" si="3"/>
        <v>92.405627470738693</v>
      </c>
      <c r="N207" s="5">
        <v>10</v>
      </c>
      <c r="O207" s="28">
        <f>SOA!C41</f>
        <v>73.084939524936388</v>
      </c>
      <c r="P207" t="s">
        <v>85</v>
      </c>
      <c r="R207" s="5">
        <v>14</v>
      </c>
      <c r="S207" s="28">
        <f t="shared" si="4"/>
        <v>5.0000000000000003E-10</v>
      </c>
      <c r="T207" s="28">
        <f t="shared" si="5"/>
        <v>5.0000000000000003E-10</v>
      </c>
      <c r="U207" s="28">
        <f t="shared" si="6"/>
        <v>5.0000000000000003E-10</v>
      </c>
      <c r="V207" s="28">
        <f t="shared" si="10"/>
        <v>156.61058469629228</v>
      </c>
    </row>
    <row r="208" spans="2:25" x14ac:dyDescent="0.25">
      <c r="B208">
        <f t="shared" si="7"/>
        <v>1050.7325013564839</v>
      </c>
      <c r="D208" s="5">
        <v>15</v>
      </c>
      <c r="E208" s="28">
        <f t="shared" si="8"/>
        <v>52.536625067824204</v>
      </c>
      <c r="F208" s="28">
        <f t="shared" si="0"/>
        <v>70.048833423765601</v>
      </c>
      <c r="G208" s="28">
        <f t="shared" si="9"/>
        <v>87.561041779706997</v>
      </c>
      <c r="I208" s="5">
        <v>15</v>
      </c>
      <c r="J208" s="28">
        <f t="shared" si="1"/>
        <v>52.536625067824204</v>
      </c>
      <c r="K208" s="28">
        <f t="shared" si="2"/>
        <v>70.048833423765601</v>
      </c>
      <c r="L208" s="28">
        <f t="shared" si="3"/>
        <v>87.561041779706997</v>
      </c>
      <c r="N208" s="5">
        <v>11</v>
      </c>
      <c r="O208" s="28">
        <f>O$212+((O$207-O$212)*4/6)</f>
        <v>48.723293016624261</v>
      </c>
      <c r="R208" s="5">
        <v>15</v>
      </c>
      <c r="S208" s="28">
        <f t="shared" si="4"/>
        <v>5.0000000000000003E-10</v>
      </c>
      <c r="T208" s="28">
        <f t="shared" si="5"/>
        <v>5.0000000000000003E-10</v>
      </c>
      <c r="U208" s="28">
        <f t="shared" si="6"/>
        <v>5.0000000000000003E-10</v>
      </c>
      <c r="V208" s="28">
        <f t="shared" si="10"/>
        <v>146.16987904987278</v>
      </c>
    </row>
    <row r="209" spans="2:22" x14ac:dyDescent="0.25">
      <c r="B209">
        <f t="shared" si="7"/>
        <v>1066.5219750406945</v>
      </c>
      <c r="D209" s="5">
        <v>16</v>
      </c>
      <c r="E209" s="28">
        <f t="shared" si="8"/>
        <v>49.993217580032557</v>
      </c>
      <c r="F209" s="28">
        <f t="shared" si="0"/>
        <v>66.657623440043409</v>
      </c>
      <c r="G209" s="28">
        <f t="shared" si="9"/>
        <v>83.322029300054254</v>
      </c>
      <c r="I209" s="5">
        <v>16</v>
      </c>
      <c r="J209" s="28">
        <f t="shared" si="1"/>
        <v>49.993217580032557</v>
      </c>
      <c r="K209" s="28">
        <f t="shared" si="2"/>
        <v>66.657623440043409</v>
      </c>
      <c r="L209" s="28">
        <f t="shared" si="3"/>
        <v>83.322029300054254</v>
      </c>
      <c r="N209" s="5">
        <v>12</v>
      </c>
      <c r="O209" s="28">
        <f>O$212+((O$207-O$212)*3/7)</f>
        <v>31.322116939258454</v>
      </c>
      <c r="R209" s="5">
        <v>16</v>
      </c>
      <c r="S209" s="28">
        <f t="shared" si="4"/>
        <v>5.0000000000000003E-10</v>
      </c>
      <c r="T209" s="28">
        <f t="shared" si="5"/>
        <v>5.0000000000000003E-10</v>
      </c>
      <c r="U209" s="28">
        <f t="shared" si="6"/>
        <v>5.0000000000000003E-10</v>
      </c>
      <c r="V209" s="28">
        <f t="shared" si="10"/>
        <v>137.03426160925574</v>
      </c>
    </row>
    <row r="210" spans="2:22" x14ac:dyDescent="0.25">
      <c r="B210">
        <f t="shared" si="7"/>
        <v>1082.3114487249052</v>
      </c>
      <c r="D210" s="5">
        <v>17</v>
      </c>
      <c r="E210" s="28">
        <f t="shared" si="8"/>
        <v>47.749034502569344</v>
      </c>
      <c r="F210" s="28">
        <f t="shared" si="0"/>
        <v>63.665379336759131</v>
      </c>
      <c r="G210" s="28">
        <f t="shared" si="9"/>
        <v>79.581724170948917</v>
      </c>
      <c r="I210" s="5">
        <v>17</v>
      </c>
      <c r="J210" s="28">
        <f t="shared" si="1"/>
        <v>47.749034502569344</v>
      </c>
      <c r="K210" s="28">
        <f t="shared" si="2"/>
        <v>63.665379336759131</v>
      </c>
      <c r="L210" s="28">
        <f t="shared" si="3"/>
        <v>79.581724170948917</v>
      </c>
      <c r="N210" s="5">
        <v>13</v>
      </c>
      <c r="O210" s="28">
        <f>O$212+((O$207-O$212)*2/8)</f>
        <v>18.271234881234097</v>
      </c>
      <c r="R210" s="5">
        <v>17</v>
      </c>
      <c r="S210" s="28">
        <f t="shared" si="4"/>
        <v>5.0000000000000003E-10</v>
      </c>
      <c r="T210" s="28">
        <f t="shared" si="5"/>
        <v>5.0000000000000003E-10</v>
      </c>
      <c r="U210" s="28">
        <f t="shared" si="6"/>
        <v>5.0000000000000003E-10</v>
      </c>
      <c r="V210" s="28">
        <f t="shared" si="10"/>
        <v>128.97342269106423</v>
      </c>
    </row>
    <row r="211" spans="2:22" x14ac:dyDescent="0.25">
      <c r="N211" s="5">
        <v>14</v>
      </c>
      <c r="O211" s="28">
        <f>O$212+((O$207-O$212)*1/9)</f>
        <v>8.1205488361040423</v>
      </c>
      <c r="R211" s="26">
        <v>18</v>
      </c>
      <c r="S211" s="28">
        <f t="shared" si="4"/>
        <v>5.0000000000000003E-10</v>
      </c>
      <c r="T211" s="28">
        <f t="shared" si="5"/>
        <v>5.0000000000000003E-10</v>
      </c>
      <c r="U211" s="28">
        <f t="shared" si="6"/>
        <v>5.0000000000000003E-10</v>
      </c>
      <c r="V211" s="28">
        <f t="shared" si="10"/>
        <v>121.80823254156066</v>
      </c>
    </row>
    <row r="212" spans="2:22" x14ac:dyDescent="0.25">
      <c r="D212" s="33" t="s">
        <v>346</v>
      </c>
      <c r="N212" s="5">
        <v>15</v>
      </c>
      <c r="O212" s="28">
        <f>SOA!C42</f>
        <v>0</v>
      </c>
      <c r="P212" t="s">
        <v>85</v>
      </c>
      <c r="R212" s="26">
        <v>19</v>
      </c>
      <c r="S212" s="28">
        <f t="shared" si="4"/>
        <v>5.0000000000000003E-10</v>
      </c>
      <c r="T212" s="28">
        <f t="shared" si="5"/>
        <v>5.0000000000000003E-10</v>
      </c>
      <c r="U212" s="28">
        <f t="shared" si="6"/>
        <v>5.0000000000000003E-10</v>
      </c>
      <c r="V212" s="28">
        <f t="shared" si="10"/>
        <v>115.39727293411009</v>
      </c>
    </row>
    <row r="213" spans="2:22" x14ac:dyDescent="0.25">
      <c r="N213" s="5">
        <v>16</v>
      </c>
      <c r="O213" s="28">
        <f>O$217+((O$212-O$217)*4/6)</f>
        <v>0</v>
      </c>
      <c r="R213" s="26">
        <v>20</v>
      </c>
      <c r="S213" s="28">
        <f t="shared" si="4"/>
        <v>5.0000000000000003E-10</v>
      </c>
      <c r="T213" s="28">
        <f t="shared" si="5"/>
        <v>5.0000000000000003E-10</v>
      </c>
      <c r="U213" s="28">
        <f t="shared" si="6"/>
        <v>5.0000000000000003E-10</v>
      </c>
      <c r="V213" s="28">
        <f t="shared" si="10"/>
        <v>109.62740928740459</v>
      </c>
    </row>
    <row r="214" spans="2:22" x14ac:dyDescent="0.25">
      <c r="D214" s="33" t="s">
        <v>347</v>
      </c>
      <c r="E214">
        <f>'Device Parmaters'!E12</f>
        <v>2.0999999999999999E-3</v>
      </c>
      <c r="N214" s="5">
        <v>17</v>
      </c>
      <c r="O214" s="28">
        <f>O$217+((O$212-O$217)*3/7)</f>
        <v>0</v>
      </c>
    </row>
    <row r="215" spans="2:22" x14ac:dyDescent="0.25">
      <c r="D215" s="33" t="s">
        <v>348</v>
      </c>
      <c r="E215">
        <f>RsEFF*0.001</f>
        <v>1.3300000000000001E-4</v>
      </c>
      <c r="N215" s="26">
        <v>18</v>
      </c>
      <c r="O215" s="28">
        <f>O$217+((O$212-O$217)*2/8)</f>
        <v>0</v>
      </c>
    </row>
    <row r="216" spans="2:22" x14ac:dyDescent="0.25">
      <c r="D216" s="33" t="s">
        <v>349</v>
      </c>
      <c r="E216">
        <f>VINMAX</f>
        <v>13.2</v>
      </c>
      <c r="N216" s="26">
        <v>19</v>
      </c>
      <c r="O216" s="28">
        <f>O$217+((O$212-O$217)*1/9)</f>
        <v>0</v>
      </c>
    </row>
    <row r="217" spans="2:22" x14ac:dyDescent="0.25">
      <c r="D217" s="33" t="s">
        <v>350</v>
      </c>
      <c r="E217" s="149"/>
      <c r="F217">
        <v>0.25</v>
      </c>
      <c r="N217" s="26">
        <v>20</v>
      </c>
      <c r="O217" s="28">
        <f>SOA!C43</f>
        <v>0</v>
      </c>
      <c r="P217" t="s">
        <v>85</v>
      </c>
    </row>
    <row r="219" spans="2:22" x14ac:dyDescent="0.25">
      <c r="D219" s="153" t="s">
        <v>313</v>
      </c>
    </row>
  </sheetData>
  <mergeCells count="3">
    <mergeCell ref="D52:G52"/>
    <mergeCell ref="D61:G61"/>
    <mergeCell ref="D75:H7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5"/>
  <sheetViews>
    <sheetView zoomScale="85" zoomScaleNormal="85" workbookViewId="0">
      <selection activeCell="N5" sqref="N5"/>
    </sheetView>
  </sheetViews>
  <sheetFormatPr defaultColWidth="9.33203125" defaultRowHeight="13.2" x14ac:dyDescent="0.25"/>
  <cols>
    <col min="1" max="1" width="11" style="70" customWidth="1"/>
    <col min="2" max="3" width="9.33203125" style="70"/>
    <col min="4" max="5" width="15" style="70" customWidth="1"/>
    <col min="6" max="6" width="15.44140625" style="70" customWidth="1"/>
    <col min="7" max="7" width="14.6640625" style="70" customWidth="1"/>
    <col min="8" max="8" width="10.6640625" style="70" customWidth="1"/>
    <col min="9" max="9" width="12.44140625" style="70" bestFit="1" customWidth="1"/>
    <col min="10" max="10" width="14.6640625" style="70" customWidth="1"/>
    <col min="11" max="11" width="12.6640625" style="70" customWidth="1"/>
    <col min="12" max="12" width="14.33203125" style="70" customWidth="1"/>
    <col min="13" max="13" width="20.6640625" style="70" customWidth="1"/>
    <col min="14" max="14" width="12.6640625" style="70" customWidth="1"/>
    <col min="15" max="15" width="10.33203125" style="70" bestFit="1" customWidth="1"/>
    <col min="16" max="16" width="18.6640625" style="70" customWidth="1"/>
    <col min="17" max="17" width="10.6640625" style="70" customWidth="1"/>
    <col min="18" max="16384" width="9.33203125" style="70"/>
  </cols>
  <sheetData>
    <row r="1" spans="1:25" x14ac:dyDescent="0.25">
      <c r="B1" s="70" t="s">
        <v>157</v>
      </c>
      <c r="C1" s="70" t="s">
        <v>321</v>
      </c>
      <c r="D1" s="70" t="s">
        <v>322</v>
      </c>
      <c r="F1" s="167" t="s">
        <v>356</v>
      </c>
      <c r="G1" s="167" t="s">
        <v>323</v>
      </c>
      <c r="H1" s="167" t="s">
        <v>324</v>
      </c>
      <c r="I1" s="167" t="s">
        <v>325</v>
      </c>
      <c r="J1" s="167" t="s">
        <v>326</v>
      </c>
      <c r="K1" s="167"/>
      <c r="L1" s="167"/>
      <c r="M1" s="167" t="s">
        <v>330</v>
      </c>
      <c r="N1" s="167"/>
      <c r="O1" s="167" t="s">
        <v>331</v>
      </c>
      <c r="Q1" s="70" t="s">
        <v>372</v>
      </c>
      <c r="R1" s="70" t="s">
        <v>373</v>
      </c>
    </row>
    <row r="2" spans="1:25" x14ac:dyDescent="0.25">
      <c r="B2" s="157">
        <f>'Design Calculator'!F68</f>
        <v>1022.3114487249051</v>
      </c>
      <c r="C2" s="70">
        <f>'Design Calculator'!F47</f>
        <v>187.96992481203006</v>
      </c>
      <c r="D2" s="70" t="str">
        <f>IF( 'Design Calculator'!F70 = "Constant Current", "CC", "R")</f>
        <v>CC</v>
      </c>
      <c r="F2" s="70" t="str">
        <f>'Design Calculator'!F72</f>
        <v>Yes</v>
      </c>
      <c r="G2" s="70">
        <f>'Design Calculator'!F71</f>
        <v>0</v>
      </c>
      <c r="H2" s="70">
        <f>'Design Calculator'!F69</f>
        <v>0</v>
      </c>
      <c r="I2" s="70">
        <f>RsEFF</f>
        <v>0.13300000000000001</v>
      </c>
      <c r="J2" s="70">
        <f>'Device Parmaters'!E12</f>
        <v>2.0999999999999999E-3</v>
      </c>
      <c r="M2" s="157">
        <f>J114*1000</f>
        <v>5.2799999999999985</v>
      </c>
      <c r="N2" s="70" t="s">
        <v>8</v>
      </c>
      <c r="O2" s="161">
        <f>MIN(L10:L111)</f>
        <v>1</v>
      </c>
      <c r="Q2" s="70">
        <f>'Device Parmaters'!E30/'Device Parmaters'!D30</f>
        <v>1.3636363636363635</v>
      </c>
      <c r="R2" s="70">
        <f>'Device Parmaters'!C30/'Device Parmaters'!D30</f>
        <v>0.70909090909090911</v>
      </c>
    </row>
    <row r="3" spans="1:25" x14ac:dyDescent="0.25">
      <c r="B3" s="157"/>
      <c r="M3" s="157"/>
      <c r="O3" s="161"/>
    </row>
    <row r="4" spans="1:25" x14ac:dyDescent="0.25">
      <c r="B4" s="157"/>
      <c r="D4" s="70" t="s">
        <v>364</v>
      </c>
      <c r="M4" s="157" t="s">
        <v>365</v>
      </c>
      <c r="N4" s="70">
        <f>MIN(M10:M114)</f>
        <v>58.672603806525771</v>
      </c>
      <c r="O4" s="161" t="s">
        <v>360</v>
      </c>
      <c r="P4" s="70" t="s">
        <v>374</v>
      </c>
      <c r="Q4" s="70">
        <f>MAX(O10:O114)</f>
        <v>21.779999999999998</v>
      </c>
      <c r="R4" s="70" t="s">
        <v>93</v>
      </c>
    </row>
    <row r="5" spans="1:25" x14ac:dyDescent="0.25">
      <c r="B5" s="157"/>
      <c r="M5" s="70" t="s">
        <v>366</v>
      </c>
      <c r="N5" s="70">
        <f>SUM(N10:N114)</f>
        <v>5.6946323076923072E-2</v>
      </c>
      <c r="O5" s="161" t="s">
        <v>367</v>
      </c>
      <c r="P5" s="70" t="s">
        <v>376</v>
      </c>
      <c r="Q5" s="70">
        <f>MAX(P10:P114)</f>
        <v>29.699999999999992</v>
      </c>
      <c r="R5" s="70" t="s">
        <v>93</v>
      </c>
    </row>
    <row r="6" spans="1:25" x14ac:dyDescent="0.25">
      <c r="P6" s="70" t="s">
        <v>375</v>
      </c>
      <c r="Q6" s="70">
        <f>MAX(Q10:Q114)</f>
        <v>15.443999999999999</v>
      </c>
      <c r="R6" s="70" t="s">
        <v>93</v>
      </c>
    </row>
    <row r="7" spans="1:25" x14ac:dyDescent="0.25">
      <c r="A7" s="158" t="s">
        <v>182</v>
      </c>
      <c r="B7" s="159" t="s">
        <v>151</v>
      </c>
      <c r="C7" s="159" t="s">
        <v>152</v>
      </c>
      <c r="D7" s="159" t="s">
        <v>157</v>
      </c>
      <c r="E7" s="159" t="s">
        <v>354</v>
      </c>
      <c r="F7" s="159" t="s">
        <v>355</v>
      </c>
      <c r="G7" s="159" t="s">
        <v>328</v>
      </c>
      <c r="H7" s="159" t="s">
        <v>180</v>
      </c>
      <c r="I7" s="159" t="s">
        <v>327</v>
      </c>
      <c r="J7" s="160" t="s">
        <v>163</v>
      </c>
      <c r="K7" s="160" t="s">
        <v>406</v>
      </c>
      <c r="L7" s="158" t="s">
        <v>329</v>
      </c>
      <c r="M7" s="158" t="s">
        <v>368</v>
      </c>
      <c r="N7" s="158" t="s">
        <v>405</v>
      </c>
      <c r="O7" s="158" t="s">
        <v>369</v>
      </c>
      <c r="P7" s="70" t="s">
        <v>370</v>
      </c>
      <c r="Q7" s="70" t="s">
        <v>371</v>
      </c>
    </row>
    <row r="8" spans="1:25" x14ac:dyDescent="0.25">
      <c r="A8" s="158"/>
      <c r="B8" s="159"/>
      <c r="C8" s="159"/>
      <c r="D8" s="159"/>
      <c r="E8" s="159"/>
      <c r="F8" s="159"/>
      <c r="G8" s="159"/>
      <c r="H8" s="159"/>
      <c r="I8" s="159"/>
      <c r="J8" s="160"/>
      <c r="K8" s="208">
        <v>-10</v>
      </c>
      <c r="L8" s="158"/>
      <c r="M8" s="158"/>
      <c r="N8" s="158"/>
      <c r="O8" s="70">
        <v>0</v>
      </c>
    </row>
    <row r="9" spans="1:25" x14ac:dyDescent="0.25">
      <c r="A9" s="158"/>
      <c r="B9" s="159"/>
      <c r="C9" s="159"/>
      <c r="D9" s="159"/>
      <c r="E9" s="159"/>
      <c r="F9" s="159"/>
      <c r="G9" s="159"/>
      <c r="H9" s="159"/>
      <c r="I9" s="159"/>
      <c r="J9" s="160"/>
      <c r="K9" s="80">
        <v>-0.01</v>
      </c>
      <c r="L9" s="158"/>
      <c r="M9" s="158"/>
      <c r="N9" s="158"/>
      <c r="O9" s="70">
        <v>0</v>
      </c>
    </row>
    <row r="10" spans="1:25" x14ac:dyDescent="0.25">
      <c r="A10" s="70">
        <f t="shared" ref="A10:A41" si="0">VINMAX</f>
        <v>13.2</v>
      </c>
      <c r="B10" s="73">
        <f t="shared" ref="B10:B41" si="1">VINMAX*((ROW()-10)/104)</f>
        <v>0</v>
      </c>
      <c r="C10" s="71">
        <f t="shared" ref="C10:C41" si="2">IF(B10&gt;=$H$2,IF($D$2="CC", $G$2, B10/$G$2), 0)</f>
        <v>0</v>
      </c>
      <c r="D10" s="69">
        <f>$B$2-B10*$J$2/($I$2*0.001)</f>
        <v>1022.3114487249051</v>
      </c>
      <c r="E10" s="69">
        <f>MIN(D10/(A10-B10),$C$2)</f>
        <v>77.447837024614017</v>
      </c>
      <c r="F10" s="71">
        <f>I_Cout_ss+C10</f>
        <v>1.65</v>
      </c>
      <c r="G10" s="69">
        <f>IF($F$2="YES", F10, E10)</f>
        <v>1.65</v>
      </c>
      <c r="H10" s="71">
        <f t="shared" ref="H10:H41" si="3">G10-C10</f>
        <v>1.65</v>
      </c>
      <c r="I10" s="72">
        <f>(COUTMAX/1000000)*(B10)/H10</f>
        <v>0</v>
      </c>
      <c r="J10" s="79">
        <f>I10</f>
        <v>0</v>
      </c>
      <c r="K10" s="208">
        <f>J10*1000</f>
        <v>0</v>
      </c>
      <c r="L10" s="161">
        <f>H10/G10</f>
        <v>1</v>
      </c>
      <c r="M10" s="70">
        <f t="shared" ref="M10:M41" si="4">1/COUTMAX*(E10/2-C10)*1000</f>
        <v>58.672603806525771</v>
      </c>
      <c r="N10" s="70">
        <f>I10*G10*(A10-B10)</f>
        <v>0</v>
      </c>
      <c r="O10" s="70">
        <f>G10*(A10-B10)</f>
        <v>21.779999999999998</v>
      </c>
      <c r="P10" s="70">
        <f t="shared" ref="P10:P41" si="5">(A10-B10)*(I_Cout_ss*$Q$2+C10)</f>
        <v>29.699999999999992</v>
      </c>
      <c r="Q10" s="70">
        <f t="shared" ref="Q10:Q41" si="6">(A10-B10)*(I_Cout_ss*$R$2+C10)</f>
        <v>15.443999999999999</v>
      </c>
    </row>
    <row r="11" spans="1:25" x14ac:dyDescent="0.25">
      <c r="A11" s="70">
        <f t="shared" si="0"/>
        <v>13.2</v>
      </c>
      <c r="B11" s="73">
        <f t="shared" si="1"/>
        <v>0.12692307692307692</v>
      </c>
      <c r="C11" s="71">
        <f t="shared" si="2"/>
        <v>0</v>
      </c>
      <c r="D11" s="69">
        <f t="shared" ref="D11:D41" si="7">$B$2-B11*$J$2/($I$2*0.001)</f>
        <v>1020.3074001419091</v>
      </c>
      <c r="E11" s="69">
        <f t="shared" ref="E11:E74" si="8">MIN(D11/(A11-B11),$C$2)</f>
        <v>78.046461911414056</v>
      </c>
      <c r="F11" s="71">
        <f t="shared" ref="F11:F41" si="9">I_Cout_ss+C11</f>
        <v>1.65</v>
      </c>
      <c r="G11" s="69">
        <f t="shared" ref="G11:G74" si="10">IF($F$2="YES", F11, E11)</f>
        <v>1.65</v>
      </c>
      <c r="H11" s="71">
        <f t="shared" si="3"/>
        <v>1.65</v>
      </c>
      <c r="I11" s="72">
        <f t="shared" ref="I11:I42" si="11">(COUTMAX/1000000)*(B11-B10)/H11</f>
        <v>5.0769230769230773E-5</v>
      </c>
      <c r="J11" s="79">
        <f>J10+I11</f>
        <v>5.0769230769230773E-5</v>
      </c>
      <c r="K11" s="208">
        <f t="shared" ref="K11:K74" si="12">J11*1000</f>
        <v>5.0769230769230775E-2</v>
      </c>
      <c r="L11" s="161">
        <f t="shared" ref="L11:L74" si="13">H11/G11</f>
        <v>1</v>
      </c>
      <c r="M11" s="70">
        <f t="shared" si="4"/>
        <v>59.12610750864701</v>
      </c>
      <c r="N11" s="70">
        <f t="shared" ref="N11:N13" si="14">I11*G11*(A11-B11)</f>
        <v>1.095121597633136E-3</v>
      </c>
      <c r="O11" s="70">
        <f>G11*(A11-B11)</f>
        <v>21.570576923076921</v>
      </c>
      <c r="P11" s="70">
        <f t="shared" si="5"/>
        <v>29.414423076923068</v>
      </c>
      <c r="Q11" s="70">
        <f t="shared" si="6"/>
        <v>15.295499999999997</v>
      </c>
    </row>
    <row r="12" spans="1:25" x14ac:dyDescent="0.25">
      <c r="A12" s="70">
        <f t="shared" si="0"/>
        <v>13.2</v>
      </c>
      <c r="B12" s="73">
        <f t="shared" si="1"/>
        <v>0.25384615384615383</v>
      </c>
      <c r="C12" s="71">
        <f t="shared" si="2"/>
        <v>0</v>
      </c>
      <c r="D12" s="69">
        <f t="shared" si="7"/>
        <v>1018.3033515589132</v>
      </c>
      <c r="E12" s="69">
        <f t="shared" si="8"/>
        <v>78.656824541092533</v>
      </c>
      <c r="F12" s="71">
        <f t="shared" si="9"/>
        <v>1.65</v>
      </c>
      <c r="G12" s="69">
        <f t="shared" si="10"/>
        <v>1.65</v>
      </c>
      <c r="H12" s="71">
        <f t="shared" si="3"/>
        <v>1.65</v>
      </c>
      <c r="I12" s="72">
        <f t="shared" si="11"/>
        <v>5.0769230769230773E-5</v>
      </c>
      <c r="J12" s="79">
        <f t="shared" ref="J12:J75" si="15">J11+I12</f>
        <v>1.0153846153846155E-4</v>
      </c>
      <c r="K12" s="208">
        <f t="shared" si="12"/>
        <v>0.10153846153846155</v>
      </c>
      <c r="L12" s="161">
        <f t="shared" si="13"/>
        <v>1</v>
      </c>
      <c r="M12" s="70">
        <f t="shared" si="4"/>
        <v>59.588503440221615</v>
      </c>
      <c r="N12" s="70">
        <f>I12*G12*(A12-B12)</f>
        <v>1.0844893491124259E-3</v>
      </c>
      <c r="O12" s="70">
        <f t="shared" ref="O12:O74" si="16">G12*(A12-B12)</f>
        <v>21.361153846153844</v>
      </c>
      <c r="P12" s="70">
        <f t="shared" si="5"/>
        <v>29.128846153846144</v>
      </c>
      <c r="Q12" s="70">
        <f t="shared" si="6"/>
        <v>15.146999999999997</v>
      </c>
      <c r="X12" s="367" t="s">
        <v>153</v>
      </c>
      <c r="Y12" s="367"/>
    </row>
    <row r="13" spans="1:25" x14ac:dyDescent="0.25">
      <c r="A13" s="70">
        <f t="shared" si="0"/>
        <v>13.2</v>
      </c>
      <c r="B13" s="73">
        <f t="shared" si="1"/>
        <v>0.38076923076923075</v>
      </c>
      <c r="C13" s="71">
        <f t="shared" si="2"/>
        <v>0</v>
      </c>
      <c r="D13" s="69">
        <f t="shared" si="7"/>
        <v>1016.2993029759172</v>
      </c>
      <c r="E13" s="69">
        <f t="shared" si="8"/>
        <v>79.279273559477488</v>
      </c>
      <c r="F13" s="71">
        <f t="shared" si="9"/>
        <v>1.65</v>
      </c>
      <c r="G13" s="69">
        <f>IF($F$2="YES", F13, E13)</f>
        <v>1.65</v>
      </c>
      <c r="H13" s="71">
        <f t="shared" si="3"/>
        <v>1.65</v>
      </c>
      <c r="I13" s="72">
        <f t="shared" si="11"/>
        <v>5.0769230769230773E-5</v>
      </c>
      <c r="J13" s="79">
        <f t="shared" si="15"/>
        <v>1.5230769230769231E-4</v>
      </c>
      <c r="K13" s="208">
        <f t="shared" si="12"/>
        <v>0.15230769230769231</v>
      </c>
      <c r="L13" s="161">
        <f t="shared" si="13"/>
        <v>1</v>
      </c>
      <c r="M13" s="70">
        <f t="shared" si="4"/>
        <v>60.06005572687689</v>
      </c>
      <c r="N13" s="70">
        <f t="shared" si="14"/>
        <v>1.0738571005917158E-3</v>
      </c>
      <c r="O13" s="70">
        <f t="shared" si="16"/>
        <v>21.151730769230767</v>
      </c>
      <c r="P13" s="70">
        <f t="shared" si="5"/>
        <v>28.843269230769224</v>
      </c>
      <c r="Q13" s="70">
        <f t="shared" si="6"/>
        <v>14.998499999999998</v>
      </c>
      <c r="X13" s="74" t="s">
        <v>154</v>
      </c>
      <c r="Y13" s="75">
        <v>0.3</v>
      </c>
    </row>
    <row r="14" spans="1:25" x14ac:dyDescent="0.25">
      <c r="A14" s="70">
        <f t="shared" si="0"/>
        <v>13.2</v>
      </c>
      <c r="B14" s="73">
        <f t="shared" si="1"/>
        <v>0.50769230769230766</v>
      </c>
      <c r="C14" s="71">
        <f t="shared" si="2"/>
        <v>0</v>
      </c>
      <c r="D14" s="69">
        <f t="shared" si="7"/>
        <v>1014.2952543929213</v>
      </c>
      <c r="E14" s="69">
        <f t="shared" si="8"/>
        <v>79.914171558230166</v>
      </c>
      <c r="F14" s="71">
        <f t="shared" si="9"/>
        <v>1.65</v>
      </c>
      <c r="G14" s="69">
        <f t="shared" si="10"/>
        <v>1.65</v>
      </c>
      <c r="H14" s="71">
        <f t="shared" si="3"/>
        <v>1.65</v>
      </c>
      <c r="I14" s="72">
        <f t="shared" si="11"/>
        <v>5.0769230769230773E-5</v>
      </c>
      <c r="J14" s="79">
        <f t="shared" si="15"/>
        <v>2.0307692307692309E-4</v>
      </c>
      <c r="K14" s="208">
        <f t="shared" si="12"/>
        <v>0.2030769230769231</v>
      </c>
      <c r="L14" s="161">
        <f t="shared" si="13"/>
        <v>1</v>
      </c>
      <c r="M14" s="70">
        <f t="shared" si="4"/>
        <v>60.54103905926528</v>
      </c>
      <c r="N14" s="70">
        <f t="shared" ref="N14:N74" si="17">I14*G14*(A14-B14)</f>
        <v>1.0632248520710057E-3</v>
      </c>
      <c r="O14" s="70">
        <f t="shared" si="16"/>
        <v>20.94230769230769</v>
      </c>
      <c r="P14" s="70">
        <f t="shared" si="5"/>
        <v>28.557692307692299</v>
      </c>
      <c r="Q14" s="70">
        <f t="shared" si="6"/>
        <v>14.849999999999998</v>
      </c>
      <c r="X14" s="74" t="s">
        <v>155</v>
      </c>
      <c r="Y14" s="75">
        <v>0.3</v>
      </c>
    </row>
    <row r="15" spans="1:25" x14ac:dyDescent="0.25">
      <c r="A15" s="70">
        <f t="shared" si="0"/>
        <v>13.2</v>
      </c>
      <c r="B15" s="73">
        <f t="shared" si="1"/>
        <v>0.63461538461538458</v>
      </c>
      <c r="C15" s="71">
        <f t="shared" si="2"/>
        <v>0</v>
      </c>
      <c r="D15" s="69">
        <f t="shared" si="7"/>
        <v>1012.2912058099253</v>
      </c>
      <c r="E15" s="69">
        <f t="shared" si="8"/>
        <v>80.561895779179849</v>
      </c>
      <c r="F15" s="71">
        <f t="shared" si="9"/>
        <v>1.65</v>
      </c>
      <c r="G15" s="69">
        <f t="shared" si="10"/>
        <v>1.65</v>
      </c>
      <c r="H15" s="71">
        <f t="shared" si="3"/>
        <v>1.65</v>
      </c>
      <c r="I15" s="72">
        <f t="shared" si="11"/>
        <v>5.0769230769230773E-5</v>
      </c>
      <c r="J15" s="79">
        <f t="shared" si="15"/>
        <v>2.5384615384615387E-4</v>
      </c>
      <c r="K15" s="208">
        <f t="shared" si="12"/>
        <v>0.25384615384615389</v>
      </c>
      <c r="L15" s="161">
        <f t="shared" si="13"/>
        <v>1</v>
      </c>
      <c r="M15" s="70">
        <f t="shared" si="4"/>
        <v>61.031739226651403</v>
      </c>
      <c r="N15" s="70">
        <f t="shared" si="17"/>
        <v>1.0525926035502957E-3</v>
      </c>
      <c r="O15" s="70">
        <f t="shared" si="16"/>
        <v>20.732884615384613</v>
      </c>
      <c r="P15" s="70">
        <f t="shared" si="5"/>
        <v>28.272115384615375</v>
      </c>
      <c r="Q15" s="70">
        <f t="shared" si="6"/>
        <v>14.701499999999998</v>
      </c>
      <c r="X15" s="74" t="s">
        <v>156</v>
      </c>
      <c r="Y15" s="75">
        <f>SQRT(Y14^2+Y13^2)</f>
        <v>0.42426406871192851</v>
      </c>
    </row>
    <row r="16" spans="1:25" x14ac:dyDescent="0.25">
      <c r="A16" s="70">
        <f t="shared" si="0"/>
        <v>13.2</v>
      </c>
      <c r="B16" s="73">
        <f t="shared" si="1"/>
        <v>0.7615384615384615</v>
      </c>
      <c r="C16" s="71">
        <f t="shared" si="2"/>
        <v>0</v>
      </c>
      <c r="D16" s="69">
        <f t="shared" si="7"/>
        <v>1010.2871572269294</v>
      </c>
      <c r="E16" s="69">
        <f t="shared" si="8"/>
        <v>81.222838861781582</v>
      </c>
      <c r="F16" s="71">
        <f t="shared" si="9"/>
        <v>1.65</v>
      </c>
      <c r="G16" s="69">
        <f t="shared" si="10"/>
        <v>1.65</v>
      </c>
      <c r="H16" s="71">
        <f t="shared" si="3"/>
        <v>1.65</v>
      </c>
      <c r="I16" s="72">
        <f t="shared" si="11"/>
        <v>5.0769230769230773E-5</v>
      </c>
      <c r="J16" s="79">
        <f t="shared" si="15"/>
        <v>3.0461538461538462E-4</v>
      </c>
      <c r="K16" s="208">
        <f t="shared" si="12"/>
        <v>0.30461538461538462</v>
      </c>
      <c r="L16" s="161">
        <f t="shared" si="13"/>
        <v>1</v>
      </c>
      <c r="M16" s="70">
        <f t="shared" si="4"/>
        <v>61.532453683167866</v>
      </c>
      <c r="N16" s="70">
        <f t="shared" si="17"/>
        <v>1.0419603550295858E-3</v>
      </c>
      <c r="O16" s="70">
        <f t="shared" si="16"/>
        <v>20.523461538461536</v>
      </c>
      <c r="P16" s="70">
        <f t="shared" si="5"/>
        <v>27.986538461538455</v>
      </c>
      <c r="Q16" s="70">
        <f t="shared" si="6"/>
        <v>14.552999999999999</v>
      </c>
      <c r="X16" s="75"/>
      <c r="Y16" s="75"/>
    </row>
    <row r="17" spans="1:25" x14ac:dyDescent="0.25">
      <c r="A17" s="70">
        <f t="shared" si="0"/>
        <v>13.2</v>
      </c>
      <c r="B17" s="73">
        <f t="shared" si="1"/>
        <v>0.88846153846153841</v>
      </c>
      <c r="C17" s="71">
        <f t="shared" si="2"/>
        <v>0</v>
      </c>
      <c r="D17" s="69">
        <f t="shared" si="7"/>
        <v>1008.2831086439334</v>
      </c>
      <c r="E17" s="69">
        <f t="shared" si="8"/>
        <v>81.897409636808078</v>
      </c>
      <c r="F17" s="71">
        <f t="shared" si="9"/>
        <v>1.65</v>
      </c>
      <c r="G17" s="69">
        <f t="shared" si="10"/>
        <v>1.65</v>
      </c>
      <c r="H17" s="71">
        <f t="shared" si="3"/>
        <v>1.65</v>
      </c>
      <c r="I17" s="72">
        <f t="shared" si="11"/>
        <v>5.0769230769230773E-5</v>
      </c>
      <c r="J17" s="79">
        <f t="shared" si="15"/>
        <v>3.5538461538461537E-4</v>
      </c>
      <c r="K17" s="208">
        <f t="shared" si="12"/>
        <v>0.35538461538461535</v>
      </c>
      <c r="L17" s="161">
        <f t="shared" si="13"/>
        <v>1</v>
      </c>
      <c r="M17" s="70">
        <f t="shared" si="4"/>
        <v>62.043492149097034</v>
      </c>
      <c r="N17" s="70">
        <f t="shared" si="17"/>
        <v>1.0313281065088757E-3</v>
      </c>
      <c r="O17" s="70">
        <f t="shared" si="16"/>
        <v>20.314038461538459</v>
      </c>
      <c r="P17" s="70">
        <f t="shared" si="5"/>
        <v>27.700961538461531</v>
      </c>
      <c r="Q17" s="70">
        <f t="shared" si="6"/>
        <v>14.404499999999999</v>
      </c>
      <c r="X17" s="74" t="s">
        <v>157</v>
      </c>
      <c r="Y17" s="75">
        <v>0.3</v>
      </c>
    </row>
    <row r="18" spans="1:25" x14ac:dyDescent="0.25">
      <c r="A18" s="70">
        <f t="shared" si="0"/>
        <v>13.2</v>
      </c>
      <c r="B18" s="73">
        <f t="shared" si="1"/>
        <v>1.0153846153846153</v>
      </c>
      <c r="C18" s="71">
        <f t="shared" si="2"/>
        <v>0</v>
      </c>
      <c r="D18" s="69">
        <f t="shared" si="7"/>
        <v>1006.2790600609375</v>
      </c>
      <c r="E18" s="69">
        <f t="shared" si="8"/>
        <v>82.586033969647644</v>
      </c>
      <c r="F18" s="71">
        <f t="shared" si="9"/>
        <v>1.65</v>
      </c>
      <c r="G18" s="69">
        <f t="shared" si="10"/>
        <v>1.65</v>
      </c>
      <c r="H18" s="71">
        <f t="shared" si="3"/>
        <v>1.65</v>
      </c>
      <c r="I18" s="72">
        <f t="shared" si="11"/>
        <v>5.0769230769230773E-5</v>
      </c>
      <c r="J18" s="79">
        <f t="shared" si="15"/>
        <v>4.0615384615384613E-4</v>
      </c>
      <c r="K18" s="208">
        <f t="shared" si="12"/>
        <v>0.40615384615384614</v>
      </c>
      <c r="L18" s="161">
        <f t="shared" si="13"/>
        <v>1</v>
      </c>
      <c r="M18" s="70">
        <f t="shared" si="4"/>
        <v>62.565177249733068</v>
      </c>
      <c r="N18" s="70">
        <f t="shared" si="17"/>
        <v>1.0206958579881656E-3</v>
      </c>
      <c r="O18" s="70">
        <f t="shared" si="16"/>
        <v>20.104615384615382</v>
      </c>
      <c r="P18" s="70">
        <f t="shared" si="5"/>
        <v>27.415384615384607</v>
      </c>
      <c r="Q18" s="70">
        <f t="shared" si="6"/>
        <v>14.255999999999998</v>
      </c>
      <c r="X18" s="74" t="s">
        <v>158</v>
      </c>
      <c r="Y18" s="75">
        <f>MAX(Y15:Y17)</f>
        <v>0.42426406871192851</v>
      </c>
    </row>
    <row r="19" spans="1:25" x14ac:dyDescent="0.25">
      <c r="A19" s="70">
        <f t="shared" si="0"/>
        <v>13.2</v>
      </c>
      <c r="B19" s="73">
        <f t="shared" si="1"/>
        <v>1.1423076923076922</v>
      </c>
      <c r="C19" s="71">
        <f t="shared" si="2"/>
        <v>0</v>
      </c>
      <c r="D19" s="69">
        <f t="shared" si="7"/>
        <v>1004.2750114779415</v>
      </c>
      <c r="E19" s="69">
        <f t="shared" si="8"/>
        <v>83.289155656862775</v>
      </c>
      <c r="F19" s="71">
        <f t="shared" si="9"/>
        <v>1.65</v>
      </c>
      <c r="G19" s="69">
        <f t="shared" si="10"/>
        <v>1.65</v>
      </c>
      <c r="H19" s="71">
        <f t="shared" si="3"/>
        <v>1.65</v>
      </c>
      <c r="I19" s="72">
        <f t="shared" si="11"/>
        <v>5.0769230769230773E-5</v>
      </c>
      <c r="J19" s="79">
        <f t="shared" si="15"/>
        <v>4.5692307692307688E-4</v>
      </c>
      <c r="K19" s="208">
        <f t="shared" si="12"/>
        <v>0.45692307692307688</v>
      </c>
      <c r="L19" s="161">
        <f t="shared" si="13"/>
        <v>1</v>
      </c>
      <c r="M19" s="70">
        <f t="shared" si="4"/>
        <v>63.097845194593006</v>
      </c>
      <c r="N19" s="70">
        <f t="shared" si="17"/>
        <v>1.0100636094674555E-3</v>
      </c>
      <c r="O19" s="70">
        <f t="shared" si="16"/>
        <v>19.895192307692305</v>
      </c>
      <c r="P19" s="70">
        <f t="shared" si="5"/>
        <v>27.129807692307683</v>
      </c>
      <c r="Q19" s="70">
        <f t="shared" si="6"/>
        <v>14.107499999999998</v>
      </c>
      <c r="X19" s="75"/>
      <c r="Y19" s="75"/>
    </row>
    <row r="20" spans="1:25" x14ac:dyDescent="0.25">
      <c r="A20" s="70">
        <f t="shared" si="0"/>
        <v>13.2</v>
      </c>
      <c r="B20" s="73">
        <f t="shared" si="1"/>
        <v>1.2692307692307692</v>
      </c>
      <c r="C20" s="71">
        <f t="shared" si="2"/>
        <v>0</v>
      </c>
      <c r="D20" s="69">
        <f t="shared" si="7"/>
        <v>1002.2709628949456</v>
      </c>
      <c r="E20" s="69">
        <f t="shared" si="8"/>
        <v>84.007237379976104</v>
      </c>
      <c r="F20" s="71">
        <f t="shared" si="9"/>
        <v>1.65</v>
      </c>
      <c r="G20" s="69">
        <f t="shared" si="10"/>
        <v>1.65</v>
      </c>
      <c r="H20" s="71">
        <f t="shared" si="3"/>
        <v>1.65</v>
      </c>
      <c r="I20" s="72">
        <f t="shared" si="11"/>
        <v>5.0769230769230773E-5</v>
      </c>
      <c r="J20" s="79">
        <f t="shared" si="15"/>
        <v>5.0769230769230763E-4</v>
      </c>
      <c r="K20" s="208">
        <f t="shared" si="12"/>
        <v>0.50769230769230766</v>
      </c>
      <c r="L20" s="161">
        <f t="shared" si="13"/>
        <v>1</v>
      </c>
      <c r="M20" s="70">
        <f t="shared" si="4"/>
        <v>63.641846499981888</v>
      </c>
      <c r="N20" s="70">
        <f t="shared" si="17"/>
        <v>9.9943136094674543E-4</v>
      </c>
      <c r="O20" s="70">
        <f t="shared" si="16"/>
        <v>19.685769230769228</v>
      </c>
      <c r="P20" s="70">
        <f t="shared" si="5"/>
        <v>26.844230769230762</v>
      </c>
      <c r="Q20" s="70">
        <f t="shared" si="6"/>
        <v>13.958999999999998</v>
      </c>
      <c r="X20" s="74" t="s">
        <v>159</v>
      </c>
      <c r="Y20" s="75">
        <v>0.2</v>
      </c>
    </row>
    <row r="21" spans="1:25" x14ac:dyDescent="0.25">
      <c r="A21" s="70">
        <f t="shared" si="0"/>
        <v>13.2</v>
      </c>
      <c r="B21" s="73">
        <f t="shared" si="1"/>
        <v>1.3961538461538461</v>
      </c>
      <c r="C21" s="71">
        <f t="shared" si="2"/>
        <v>0</v>
      </c>
      <c r="D21" s="69">
        <f t="shared" si="7"/>
        <v>1000.2669143119496</v>
      </c>
      <c r="E21" s="69">
        <f t="shared" si="8"/>
        <v>84.740761720790772</v>
      </c>
      <c r="F21" s="71">
        <f t="shared" si="9"/>
        <v>1.65</v>
      </c>
      <c r="G21" s="69">
        <f t="shared" si="10"/>
        <v>1.65</v>
      </c>
      <c r="H21" s="71">
        <f t="shared" si="3"/>
        <v>1.65</v>
      </c>
      <c r="I21" s="72">
        <f t="shared" si="11"/>
        <v>5.0769230769230773E-5</v>
      </c>
      <c r="J21" s="79">
        <f t="shared" si="15"/>
        <v>5.5846153846153838E-4</v>
      </c>
      <c r="K21" s="208">
        <f t="shared" si="12"/>
        <v>0.55846153846153834</v>
      </c>
      <c r="L21" s="161">
        <f t="shared" si="13"/>
        <v>1</v>
      </c>
      <c r="M21" s="70">
        <f t="shared" si="4"/>
        <v>64.197546758174823</v>
      </c>
      <c r="N21" s="70">
        <f t="shared" si="17"/>
        <v>9.8879911242603555E-4</v>
      </c>
      <c r="O21" s="70">
        <f t="shared" si="16"/>
        <v>19.476346153846151</v>
      </c>
      <c r="P21" s="70">
        <f t="shared" si="5"/>
        <v>26.558653846153842</v>
      </c>
      <c r="Q21" s="70">
        <f t="shared" si="6"/>
        <v>13.810499999999999</v>
      </c>
      <c r="X21" s="74" t="s">
        <v>160</v>
      </c>
      <c r="Y21" s="75">
        <v>0.2</v>
      </c>
    </row>
    <row r="22" spans="1:25" x14ac:dyDescent="0.25">
      <c r="A22" s="70">
        <f t="shared" si="0"/>
        <v>13.2</v>
      </c>
      <c r="B22" s="73">
        <f t="shared" si="1"/>
        <v>1.523076923076923</v>
      </c>
      <c r="C22" s="71">
        <f t="shared" si="2"/>
        <v>0</v>
      </c>
      <c r="D22" s="69">
        <f t="shared" si="7"/>
        <v>998.26286572895367</v>
      </c>
      <c r="E22" s="69">
        <f t="shared" si="8"/>
        <v>85.490232242927519</v>
      </c>
      <c r="F22" s="71">
        <f t="shared" si="9"/>
        <v>1.65</v>
      </c>
      <c r="G22" s="69">
        <f t="shared" si="10"/>
        <v>1.65</v>
      </c>
      <c r="H22" s="71">
        <f t="shared" si="3"/>
        <v>1.65</v>
      </c>
      <c r="I22" s="72">
        <f t="shared" si="11"/>
        <v>5.0769230769230773E-5</v>
      </c>
      <c r="J22" s="79">
        <f t="shared" si="15"/>
        <v>6.0923076923076914E-4</v>
      </c>
      <c r="K22" s="208">
        <f t="shared" si="12"/>
        <v>0.60923076923076913</v>
      </c>
      <c r="L22" s="161">
        <f t="shared" si="13"/>
        <v>1</v>
      </c>
      <c r="M22" s="70">
        <f t="shared" si="4"/>
        <v>64.765327456763274</v>
      </c>
      <c r="N22" s="70">
        <f t="shared" si="17"/>
        <v>9.7816686390532546E-4</v>
      </c>
      <c r="O22" s="70">
        <f t="shared" si="16"/>
        <v>19.266923076923074</v>
      </c>
      <c r="P22" s="70">
        <f t="shared" si="5"/>
        <v>26.273076923076918</v>
      </c>
      <c r="Q22" s="70">
        <f t="shared" si="6"/>
        <v>13.661999999999999</v>
      </c>
      <c r="X22" s="74" t="s">
        <v>156</v>
      </c>
      <c r="Y22" s="75">
        <f>SQRT(Y21^2+Y20^2)</f>
        <v>0.28284271247461906</v>
      </c>
    </row>
    <row r="23" spans="1:25" x14ac:dyDescent="0.25">
      <c r="A23" s="70">
        <f t="shared" si="0"/>
        <v>13.2</v>
      </c>
      <c r="B23" s="73">
        <f t="shared" si="1"/>
        <v>1.65</v>
      </c>
      <c r="C23" s="71">
        <f t="shared" si="2"/>
        <v>0</v>
      </c>
      <c r="D23" s="69">
        <f t="shared" si="7"/>
        <v>996.25881714595766</v>
      </c>
      <c r="E23" s="69">
        <f t="shared" si="8"/>
        <v>86.256174644671674</v>
      </c>
      <c r="F23" s="71">
        <f t="shared" si="9"/>
        <v>1.65</v>
      </c>
      <c r="G23" s="69">
        <f t="shared" si="10"/>
        <v>1.65</v>
      </c>
      <c r="H23" s="71">
        <f t="shared" si="3"/>
        <v>1.65</v>
      </c>
      <c r="I23" s="72">
        <f t="shared" si="11"/>
        <v>5.0769230769230773E-5</v>
      </c>
      <c r="J23" s="79">
        <f t="shared" si="15"/>
        <v>6.5999999999999989E-4</v>
      </c>
      <c r="K23" s="208">
        <f t="shared" si="12"/>
        <v>0.65999999999999992</v>
      </c>
      <c r="L23" s="161">
        <f t="shared" si="13"/>
        <v>1</v>
      </c>
      <c r="M23" s="70">
        <f t="shared" si="4"/>
        <v>65.345586852023985</v>
      </c>
      <c r="N23" s="70">
        <f t="shared" si="17"/>
        <v>9.6753461538461526E-4</v>
      </c>
      <c r="O23" s="70">
        <f t="shared" si="16"/>
        <v>19.057499999999997</v>
      </c>
      <c r="P23" s="70">
        <f t="shared" si="5"/>
        <v>25.987499999999994</v>
      </c>
      <c r="Q23" s="70">
        <f t="shared" si="6"/>
        <v>13.513499999999999</v>
      </c>
      <c r="X23" s="75"/>
      <c r="Y23" s="75"/>
    </row>
    <row r="24" spans="1:25" x14ac:dyDescent="0.25">
      <c r="A24" s="70">
        <f t="shared" si="0"/>
        <v>13.2</v>
      </c>
      <c r="B24" s="73">
        <f t="shared" si="1"/>
        <v>1.7769230769230768</v>
      </c>
      <c r="C24" s="71">
        <f t="shared" si="2"/>
        <v>0</v>
      </c>
      <c r="D24" s="69">
        <f t="shared" si="7"/>
        <v>994.25476856296177</v>
      </c>
      <c r="E24" s="69">
        <f t="shared" si="8"/>
        <v>87.039137988676785</v>
      </c>
      <c r="F24" s="71">
        <f t="shared" si="9"/>
        <v>1.65</v>
      </c>
      <c r="G24" s="69">
        <f t="shared" si="10"/>
        <v>1.65</v>
      </c>
      <c r="H24" s="71">
        <f t="shared" si="3"/>
        <v>1.65</v>
      </c>
      <c r="I24" s="72">
        <f t="shared" si="11"/>
        <v>5.0769230769230773E-5</v>
      </c>
      <c r="J24" s="79">
        <f t="shared" si="15"/>
        <v>7.1076923076923064E-4</v>
      </c>
      <c r="K24" s="208">
        <f t="shared" si="12"/>
        <v>0.7107692307692306</v>
      </c>
      <c r="L24" s="161">
        <f t="shared" si="13"/>
        <v>1</v>
      </c>
      <c r="M24" s="70">
        <f t="shared" si="4"/>
        <v>65.938740900512713</v>
      </c>
      <c r="N24" s="70">
        <f t="shared" si="17"/>
        <v>9.5690236686390539E-4</v>
      </c>
      <c r="O24" s="70">
        <f t="shared" si="16"/>
        <v>18.848076923076924</v>
      </c>
      <c r="P24" s="70">
        <f t="shared" si="5"/>
        <v>25.701923076923073</v>
      </c>
      <c r="Q24" s="70">
        <f t="shared" si="6"/>
        <v>13.365</v>
      </c>
      <c r="X24" s="74" t="s">
        <v>161</v>
      </c>
      <c r="Y24" s="75">
        <f>SQRT(Y18^2+Y22^2)</f>
        <v>0.50990195135927852</v>
      </c>
    </row>
    <row r="25" spans="1:25" x14ac:dyDescent="0.25">
      <c r="A25" s="70">
        <f t="shared" si="0"/>
        <v>13.2</v>
      </c>
      <c r="B25" s="73">
        <f t="shared" si="1"/>
        <v>1.9038461538461535</v>
      </c>
      <c r="C25" s="71">
        <f t="shared" si="2"/>
        <v>0</v>
      </c>
      <c r="D25" s="69">
        <f t="shared" si="7"/>
        <v>992.25071997996577</v>
      </c>
      <c r="E25" s="69">
        <f t="shared" si="8"/>
        <v>87.839696014569668</v>
      </c>
      <c r="F25" s="71">
        <f t="shared" si="9"/>
        <v>1.65</v>
      </c>
      <c r="G25" s="69">
        <f t="shared" si="10"/>
        <v>1.65</v>
      </c>
      <c r="H25" s="71">
        <f t="shared" si="3"/>
        <v>1.65</v>
      </c>
      <c r="I25" s="72">
        <f t="shared" si="11"/>
        <v>5.0769230769230678E-5</v>
      </c>
      <c r="J25" s="79">
        <f t="shared" si="15"/>
        <v>7.6153846153846128E-4</v>
      </c>
      <c r="K25" s="208">
        <f t="shared" si="12"/>
        <v>0.76153846153846128</v>
      </c>
      <c r="L25" s="161">
        <f t="shared" si="13"/>
        <v>1</v>
      </c>
      <c r="M25" s="70">
        <f t="shared" si="4"/>
        <v>66.545224253461882</v>
      </c>
      <c r="N25" s="70">
        <f t="shared" si="17"/>
        <v>9.4627011834319357E-4</v>
      </c>
      <c r="O25" s="70">
        <f t="shared" si="16"/>
        <v>18.638653846153844</v>
      </c>
      <c r="P25" s="70">
        <f t="shared" si="5"/>
        <v>25.416346153846149</v>
      </c>
      <c r="Q25" s="70">
        <f t="shared" si="6"/>
        <v>13.216499999999998</v>
      </c>
    </row>
    <row r="26" spans="1:25" x14ac:dyDescent="0.25">
      <c r="A26" s="70">
        <f t="shared" si="0"/>
        <v>13.2</v>
      </c>
      <c r="B26" s="73">
        <f t="shared" si="1"/>
        <v>2.0307692307692307</v>
      </c>
      <c r="C26" s="71">
        <f t="shared" si="2"/>
        <v>0</v>
      </c>
      <c r="D26" s="69">
        <f t="shared" si="7"/>
        <v>990.24667139696987</v>
      </c>
      <c r="E26" s="69">
        <f t="shared" si="8"/>
        <v>88.65844854105103</v>
      </c>
      <c r="F26" s="71">
        <f t="shared" si="9"/>
        <v>1.65</v>
      </c>
      <c r="G26" s="69">
        <f t="shared" si="10"/>
        <v>1.65</v>
      </c>
      <c r="H26" s="71">
        <f t="shared" si="3"/>
        <v>1.65</v>
      </c>
      <c r="I26" s="72">
        <f t="shared" si="11"/>
        <v>5.0769230769230861E-5</v>
      </c>
      <c r="J26" s="79">
        <f t="shared" si="15"/>
        <v>8.1230769230769214E-4</v>
      </c>
      <c r="K26" s="208">
        <f t="shared" si="12"/>
        <v>0.81230769230769218</v>
      </c>
      <c r="L26" s="161">
        <f t="shared" si="13"/>
        <v>1</v>
      </c>
      <c r="M26" s="70">
        <f t="shared" si="4"/>
        <v>67.165491318978042</v>
      </c>
      <c r="N26" s="70">
        <f t="shared" si="17"/>
        <v>9.3563786982248684E-4</v>
      </c>
      <c r="O26" s="70">
        <f t="shared" si="16"/>
        <v>18.429230769230767</v>
      </c>
      <c r="P26" s="70">
        <f t="shared" si="5"/>
        <v>25.130769230769225</v>
      </c>
      <c r="Q26" s="70">
        <f t="shared" si="6"/>
        <v>13.067999999999998</v>
      </c>
    </row>
    <row r="27" spans="1:25" x14ac:dyDescent="0.25">
      <c r="A27" s="70">
        <f t="shared" si="0"/>
        <v>13.2</v>
      </c>
      <c r="B27" s="73">
        <f t="shared" si="1"/>
        <v>2.1576923076923076</v>
      </c>
      <c r="C27" s="71">
        <f t="shared" si="2"/>
        <v>0</v>
      </c>
      <c r="D27" s="69">
        <f t="shared" si="7"/>
        <v>988.24262281397387</v>
      </c>
      <c r="E27" s="69">
        <f t="shared" si="8"/>
        <v>89.49602296469287</v>
      </c>
      <c r="F27" s="71">
        <f t="shared" si="9"/>
        <v>1.65</v>
      </c>
      <c r="G27" s="69">
        <f t="shared" si="10"/>
        <v>1.65</v>
      </c>
      <c r="H27" s="71">
        <f t="shared" si="3"/>
        <v>1.65</v>
      </c>
      <c r="I27" s="72">
        <f t="shared" si="11"/>
        <v>5.0769230769230773E-5</v>
      </c>
      <c r="J27" s="79">
        <f t="shared" si="15"/>
        <v>8.630769230769229E-4</v>
      </c>
      <c r="K27" s="208">
        <f t="shared" si="12"/>
        <v>0.86307692307692285</v>
      </c>
      <c r="L27" s="161">
        <f t="shared" si="13"/>
        <v>1</v>
      </c>
      <c r="M27" s="70">
        <f t="shared" si="4"/>
        <v>67.800017397494599</v>
      </c>
      <c r="N27" s="70">
        <f t="shared" si="17"/>
        <v>9.2500562130177501E-4</v>
      </c>
      <c r="O27" s="70">
        <f t="shared" si="16"/>
        <v>18.21980769230769</v>
      </c>
      <c r="P27" s="70">
        <f t="shared" si="5"/>
        <v>24.845192307692301</v>
      </c>
      <c r="Q27" s="70">
        <f t="shared" si="6"/>
        <v>12.919499999999998</v>
      </c>
    </row>
    <row r="28" spans="1:25" x14ac:dyDescent="0.25">
      <c r="A28" s="70">
        <f t="shared" si="0"/>
        <v>13.2</v>
      </c>
      <c r="B28" s="73">
        <f t="shared" si="1"/>
        <v>2.2846153846153845</v>
      </c>
      <c r="C28" s="71">
        <f t="shared" si="2"/>
        <v>0</v>
      </c>
      <c r="D28" s="69">
        <f t="shared" si="7"/>
        <v>986.23857423097797</v>
      </c>
      <c r="E28" s="69">
        <f t="shared" si="8"/>
        <v>90.353075863303133</v>
      </c>
      <c r="F28" s="71">
        <f t="shared" si="9"/>
        <v>1.65</v>
      </c>
      <c r="G28" s="69">
        <f t="shared" si="10"/>
        <v>1.65</v>
      </c>
      <c r="H28" s="71">
        <f t="shared" si="3"/>
        <v>1.65</v>
      </c>
      <c r="I28" s="72">
        <f t="shared" si="11"/>
        <v>5.0769230769230773E-5</v>
      </c>
      <c r="J28" s="79">
        <f t="shared" si="15"/>
        <v>9.1384615384615365E-4</v>
      </c>
      <c r="K28" s="208">
        <f t="shared" si="12"/>
        <v>0.91384615384615364</v>
      </c>
      <c r="L28" s="161">
        <f t="shared" si="13"/>
        <v>1</v>
      </c>
      <c r="M28" s="70">
        <f t="shared" si="4"/>
        <v>68.449299896441772</v>
      </c>
      <c r="N28" s="70">
        <f t="shared" si="17"/>
        <v>9.1437337278106492E-4</v>
      </c>
      <c r="O28" s="70">
        <f t="shared" si="16"/>
        <v>18.010384615384613</v>
      </c>
      <c r="P28" s="70">
        <f t="shared" si="5"/>
        <v>24.559615384615377</v>
      </c>
      <c r="Q28" s="70">
        <f t="shared" si="6"/>
        <v>12.770999999999997</v>
      </c>
    </row>
    <row r="29" spans="1:25" x14ac:dyDescent="0.25">
      <c r="A29" s="70">
        <f t="shared" si="0"/>
        <v>13.2</v>
      </c>
      <c r="B29" s="73">
        <f t="shared" si="1"/>
        <v>2.4115384615384614</v>
      </c>
      <c r="C29" s="71">
        <f t="shared" si="2"/>
        <v>0</v>
      </c>
      <c r="D29" s="69">
        <f t="shared" si="7"/>
        <v>984.23452564798197</v>
      </c>
      <c r="E29" s="69">
        <f t="shared" si="8"/>
        <v>91.230294712468918</v>
      </c>
      <c r="F29" s="71">
        <f t="shared" si="9"/>
        <v>1.65</v>
      </c>
      <c r="G29" s="69">
        <f t="shared" si="10"/>
        <v>1.65</v>
      </c>
      <c r="H29" s="71">
        <f t="shared" si="3"/>
        <v>1.65</v>
      </c>
      <c r="I29" s="72">
        <f t="shared" si="11"/>
        <v>5.0769230769230773E-5</v>
      </c>
      <c r="J29" s="79">
        <f t="shared" si="15"/>
        <v>9.646153846153844E-4</v>
      </c>
      <c r="K29" s="208">
        <f t="shared" si="12"/>
        <v>0.96461538461538443</v>
      </c>
      <c r="L29" s="161">
        <f t="shared" si="13"/>
        <v>1</v>
      </c>
      <c r="M29" s="70">
        <f t="shared" si="4"/>
        <v>69.113859630658268</v>
      </c>
      <c r="N29" s="70">
        <f t="shared" si="17"/>
        <v>9.0374112426035505E-4</v>
      </c>
      <c r="O29" s="70">
        <f t="shared" si="16"/>
        <v>17.800961538461536</v>
      </c>
      <c r="P29" s="70">
        <f t="shared" si="5"/>
        <v>24.274038461538456</v>
      </c>
      <c r="Q29" s="70">
        <f t="shared" si="6"/>
        <v>12.622499999999999</v>
      </c>
    </row>
    <row r="30" spans="1:25" x14ac:dyDescent="0.25">
      <c r="A30" s="70">
        <f t="shared" si="0"/>
        <v>13.2</v>
      </c>
      <c r="B30" s="73">
        <f t="shared" si="1"/>
        <v>2.5384615384615383</v>
      </c>
      <c r="C30" s="71">
        <f t="shared" si="2"/>
        <v>0</v>
      </c>
      <c r="D30" s="69">
        <f t="shared" si="7"/>
        <v>982.23047706498608</v>
      </c>
      <c r="E30" s="69">
        <f t="shared" si="8"/>
        <v>92.128399724710093</v>
      </c>
      <c r="F30" s="71">
        <f t="shared" si="9"/>
        <v>1.65</v>
      </c>
      <c r="G30" s="69">
        <f t="shared" si="10"/>
        <v>1.65</v>
      </c>
      <c r="H30" s="71">
        <f t="shared" si="3"/>
        <v>1.65</v>
      </c>
      <c r="I30" s="72">
        <f t="shared" si="11"/>
        <v>5.0769230769230773E-5</v>
      </c>
      <c r="J30" s="79">
        <f t="shared" si="15"/>
        <v>1.0153846153846153E-3</v>
      </c>
      <c r="K30" s="208">
        <f t="shared" si="12"/>
        <v>1.0153846153846153</v>
      </c>
      <c r="L30" s="161">
        <f t="shared" si="13"/>
        <v>1</v>
      </c>
      <c r="M30" s="70">
        <f t="shared" si="4"/>
        <v>69.794242215689465</v>
      </c>
      <c r="N30" s="70">
        <f t="shared" si="17"/>
        <v>8.9310887573964496E-4</v>
      </c>
      <c r="O30" s="70">
        <f t="shared" si="16"/>
        <v>17.591538461538459</v>
      </c>
      <c r="P30" s="70">
        <f t="shared" si="5"/>
        <v>23.988461538461532</v>
      </c>
      <c r="Q30" s="70">
        <f t="shared" si="6"/>
        <v>12.473999999999998</v>
      </c>
    </row>
    <row r="31" spans="1:25" x14ac:dyDescent="0.25">
      <c r="A31" s="70">
        <f t="shared" si="0"/>
        <v>13.2</v>
      </c>
      <c r="B31" s="73">
        <f t="shared" si="1"/>
        <v>2.6653846153846152</v>
      </c>
      <c r="C31" s="71">
        <f t="shared" si="2"/>
        <v>0</v>
      </c>
      <c r="D31" s="69">
        <f t="shared" si="7"/>
        <v>980.22642848199007</v>
      </c>
      <c r="E31" s="69">
        <f t="shared" si="8"/>
        <v>93.048145821583589</v>
      </c>
      <c r="F31" s="71">
        <f t="shared" si="9"/>
        <v>1.65</v>
      </c>
      <c r="G31" s="69">
        <f t="shared" si="10"/>
        <v>1.65</v>
      </c>
      <c r="H31" s="71">
        <f t="shared" si="3"/>
        <v>1.65</v>
      </c>
      <c r="I31" s="72">
        <f t="shared" si="11"/>
        <v>5.0769230769230773E-5</v>
      </c>
      <c r="J31" s="79">
        <f t="shared" si="15"/>
        <v>1.066153846153846E-3</v>
      </c>
      <c r="K31" s="208">
        <f t="shared" si="12"/>
        <v>1.066153846153846</v>
      </c>
      <c r="L31" s="161">
        <f t="shared" si="13"/>
        <v>1</v>
      </c>
      <c r="M31" s="70">
        <f t="shared" si="4"/>
        <v>70.491019561805743</v>
      </c>
      <c r="N31" s="70">
        <f t="shared" si="17"/>
        <v>8.8247662721893487E-4</v>
      </c>
      <c r="O31" s="70">
        <f t="shared" si="16"/>
        <v>17.382115384615382</v>
      </c>
      <c r="P31" s="70">
        <f t="shared" si="5"/>
        <v>23.702884615384608</v>
      </c>
      <c r="Q31" s="70">
        <f t="shared" si="6"/>
        <v>12.325499999999998</v>
      </c>
    </row>
    <row r="32" spans="1:25" x14ac:dyDescent="0.25">
      <c r="A32" s="70">
        <f t="shared" si="0"/>
        <v>13.2</v>
      </c>
      <c r="B32" s="73">
        <f t="shared" si="1"/>
        <v>2.7923076923076922</v>
      </c>
      <c r="C32" s="71">
        <f t="shared" si="2"/>
        <v>0</v>
      </c>
      <c r="D32" s="69">
        <f t="shared" si="7"/>
        <v>978.22237989899418</v>
      </c>
      <c r="E32" s="69">
        <f t="shared" si="8"/>
        <v>93.990324750088135</v>
      </c>
      <c r="F32" s="71">
        <f t="shared" si="9"/>
        <v>1.65</v>
      </c>
      <c r="G32" s="69">
        <f t="shared" si="10"/>
        <v>1.65</v>
      </c>
      <c r="H32" s="71">
        <f t="shared" si="3"/>
        <v>1.65</v>
      </c>
      <c r="I32" s="72">
        <f t="shared" si="11"/>
        <v>5.0769230769230773E-5</v>
      </c>
      <c r="J32" s="79">
        <f t="shared" si="15"/>
        <v>1.1169230769230768E-3</v>
      </c>
      <c r="K32" s="208">
        <f t="shared" si="12"/>
        <v>1.1169230769230767</v>
      </c>
      <c r="L32" s="161">
        <f t="shared" si="13"/>
        <v>1</v>
      </c>
      <c r="M32" s="70">
        <f t="shared" si="4"/>
        <v>71.204791477339484</v>
      </c>
      <c r="N32" s="70">
        <f t="shared" si="17"/>
        <v>8.7184437869822489E-4</v>
      </c>
      <c r="O32" s="70">
        <f t="shared" si="16"/>
        <v>17.172692307692309</v>
      </c>
      <c r="P32" s="70">
        <f t="shared" si="5"/>
        <v>23.417307692307688</v>
      </c>
      <c r="Q32" s="70">
        <f t="shared" si="6"/>
        <v>12.177</v>
      </c>
    </row>
    <row r="33" spans="1:17" x14ac:dyDescent="0.25">
      <c r="A33" s="70">
        <f t="shared" si="0"/>
        <v>13.2</v>
      </c>
      <c r="B33" s="73">
        <f t="shared" si="1"/>
        <v>2.9192307692307691</v>
      </c>
      <c r="C33" s="71">
        <f t="shared" si="2"/>
        <v>0</v>
      </c>
      <c r="D33" s="69">
        <f t="shared" si="7"/>
        <v>976.21833131599817</v>
      </c>
      <c r="E33" s="69">
        <f t="shared" si="8"/>
        <v>94.955767355839697</v>
      </c>
      <c r="F33" s="71">
        <f t="shared" si="9"/>
        <v>1.65</v>
      </c>
      <c r="G33" s="69">
        <f t="shared" si="10"/>
        <v>1.65</v>
      </c>
      <c r="H33" s="71">
        <f t="shared" si="3"/>
        <v>1.65</v>
      </c>
      <c r="I33" s="72">
        <f t="shared" si="11"/>
        <v>5.0769230769230773E-5</v>
      </c>
      <c r="J33" s="79">
        <f t="shared" si="15"/>
        <v>1.1676923076923075E-3</v>
      </c>
      <c r="K33" s="208">
        <f t="shared" si="12"/>
        <v>1.1676923076923076</v>
      </c>
      <c r="L33" s="161">
        <f t="shared" si="13"/>
        <v>1</v>
      </c>
      <c r="M33" s="70">
        <f t="shared" si="4"/>
        <v>71.936187390787651</v>
      </c>
      <c r="N33" s="70">
        <f t="shared" si="17"/>
        <v>8.612121301775148E-4</v>
      </c>
      <c r="O33" s="70">
        <f t="shared" si="16"/>
        <v>16.963269230769228</v>
      </c>
      <c r="P33" s="70">
        <f t="shared" si="5"/>
        <v>23.131730769230764</v>
      </c>
      <c r="Q33" s="70">
        <f t="shared" si="6"/>
        <v>12.028499999999999</v>
      </c>
    </row>
    <row r="34" spans="1:17" x14ac:dyDescent="0.25">
      <c r="A34" s="70">
        <f t="shared" si="0"/>
        <v>13.2</v>
      </c>
      <c r="B34" s="73">
        <f t="shared" si="1"/>
        <v>3.046153846153846</v>
      </c>
      <c r="C34" s="71">
        <f t="shared" si="2"/>
        <v>0</v>
      </c>
      <c r="D34" s="69">
        <f t="shared" si="7"/>
        <v>974.21428273300228</v>
      </c>
      <c r="E34" s="69">
        <f t="shared" si="8"/>
        <v>95.945346026735081</v>
      </c>
      <c r="F34" s="71">
        <f t="shared" si="9"/>
        <v>1.65</v>
      </c>
      <c r="G34" s="69">
        <f t="shared" si="10"/>
        <v>1.65</v>
      </c>
      <c r="H34" s="71">
        <f t="shared" si="3"/>
        <v>1.65</v>
      </c>
      <c r="I34" s="72">
        <f t="shared" si="11"/>
        <v>5.0769230769230773E-5</v>
      </c>
      <c r="J34" s="79">
        <f t="shared" si="15"/>
        <v>1.2184615384615383E-3</v>
      </c>
      <c r="K34" s="208">
        <f t="shared" si="12"/>
        <v>1.2184615384615383</v>
      </c>
      <c r="L34" s="161">
        <f t="shared" si="13"/>
        <v>1</v>
      </c>
      <c r="M34" s="70">
        <f t="shared" si="4"/>
        <v>72.685868202072029</v>
      </c>
      <c r="N34" s="70">
        <f t="shared" si="17"/>
        <v>8.5057988165680471E-4</v>
      </c>
      <c r="O34" s="70">
        <f t="shared" si="16"/>
        <v>16.753846153846151</v>
      </c>
      <c r="P34" s="70">
        <f t="shared" si="5"/>
        <v>22.84615384615384</v>
      </c>
      <c r="Q34" s="70">
        <f t="shared" si="6"/>
        <v>11.879999999999999</v>
      </c>
    </row>
    <row r="35" spans="1:17" x14ac:dyDescent="0.25">
      <c r="A35" s="70">
        <f t="shared" si="0"/>
        <v>13.2</v>
      </c>
      <c r="B35" s="73">
        <f t="shared" si="1"/>
        <v>3.1730769230769229</v>
      </c>
      <c r="C35" s="71">
        <f t="shared" si="2"/>
        <v>0</v>
      </c>
      <c r="D35" s="69">
        <f t="shared" si="7"/>
        <v>972.21023415000627</v>
      </c>
      <c r="E35" s="69">
        <f t="shared" si="8"/>
        <v>96.959977322210065</v>
      </c>
      <c r="F35" s="71">
        <f t="shared" si="9"/>
        <v>1.65</v>
      </c>
      <c r="G35" s="69">
        <f t="shared" si="10"/>
        <v>1.65</v>
      </c>
      <c r="H35" s="71">
        <f t="shared" si="3"/>
        <v>1.65</v>
      </c>
      <c r="I35" s="72">
        <f t="shared" si="11"/>
        <v>5.0769230769230773E-5</v>
      </c>
      <c r="J35" s="79">
        <f t="shared" si="15"/>
        <v>1.269230769230769E-3</v>
      </c>
      <c r="K35" s="208">
        <f t="shared" si="12"/>
        <v>1.2692307692307689</v>
      </c>
      <c r="L35" s="161">
        <f t="shared" si="13"/>
        <v>1</v>
      </c>
      <c r="M35" s="70">
        <f t="shared" si="4"/>
        <v>73.454528274401568</v>
      </c>
      <c r="N35" s="70">
        <f t="shared" si="17"/>
        <v>8.3994763313609462E-4</v>
      </c>
      <c r="O35" s="70">
        <f t="shared" si="16"/>
        <v>16.544423076923074</v>
      </c>
      <c r="P35" s="70">
        <f t="shared" si="5"/>
        <v>22.560576923076916</v>
      </c>
      <c r="Q35" s="70">
        <f t="shared" si="6"/>
        <v>11.731499999999999</v>
      </c>
    </row>
    <row r="36" spans="1:17" x14ac:dyDescent="0.25">
      <c r="A36" s="70">
        <f t="shared" si="0"/>
        <v>13.2</v>
      </c>
      <c r="B36" s="73">
        <f t="shared" si="1"/>
        <v>3.3</v>
      </c>
      <c r="C36" s="71">
        <f t="shared" si="2"/>
        <v>0</v>
      </c>
      <c r="D36" s="69">
        <f t="shared" si="7"/>
        <v>970.20618556701038</v>
      </c>
      <c r="E36" s="69">
        <f t="shared" si="8"/>
        <v>98.00062480474854</v>
      </c>
      <c r="F36" s="71">
        <f t="shared" si="9"/>
        <v>1.65</v>
      </c>
      <c r="G36" s="69">
        <f t="shared" si="10"/>
        <v>1.65</v>
      </c>
      <c r="H36" s="71">
        <f t="shared" si="3"/>
        <v>1.65</v>
      </c>
      <c r="I36" s="72">
        <f t="shared" si="11"/>
        <v>5.0769230769230773E-5</v>
      </c>
      <c r="J36" s="79">
        <f t="shared" si="15"/>
        <v>1.3199999999999998E-3</v>
      </c>
      <c r="K36" s="208">
        <f t="shared" si="12"/>
        <v>1.3199999999999998</v>
      </c>
      <c r="L36" s="161">
        <f t="shared" si="13"/>
        <v>1</v>
      </c>
      <c r="M36" s="70">
        <f t="shared" si="4"/>
        <v>74.24289757935496</v>
      </c>
      <c r="N36" s="70">
        <f t="shared" si="17"/>
        <v>8.2931538461538453E-4</v>
      </c>
      <c r="O36" s="70">
        <f t="shared" si="16"/>
        <v>16.334999999999997</v>
      </c>
      <c r="P36" s="70">
        <f t="shared" si="5"/>
        <v>22.274999999999991</v>
      </c>
      <c r="Q36" s="70">
        <f t="shared" si="6"/>
        <v>11.582999999999998</v>
      </c>
    </row>
    <row r="37" spans="1:17" x14ac:dyDescent="0.25">
      <c r="A37" s="70">
        <f t="shared" si="0"/>
        <v>13.2</v>
      </c>
      <c r="B37" s="73">
        <f t="shared" si="1"/>
        <v>3.4269230769230772</v>
      </c>
      <c r="C37" s="71">
        <f t="shared" si="2"/>
        <v>0</v>
      </c>
      <c r="D37" s="69">
        <f t="shared" si="7"/>
        <v>968.20213698401437</v>
      </c>
      <c r="E37" s="69">
        <f t="shared" si="8"/>
        <v>99.068302092028247</v>
      </c>
      <c r="F37" s="71">
        <f t="shared" si="9"/>
        <v>1.65</v>
      </c>
      <c r="G37" s="69">
        <f t="shared" si="10"/>
        <v>1.65</v>
      </c>
      <c r="H37" s="71">
        <f t="shared" si="3"/>
        <v>1.65</v>
      </c>
      <c r="I37" s="72">
        <f t="shared" si="11"/>
        <v>5.0769230769230942E-5</v>
      </c>
      <c r="J37" s="79">
        <f t="shared" si="15"/>
        <v>1.3707692307692307E-3</v>
      </c>
      <c r="K37" s="208">
        <f t="shared" si="12"/>
        <v>1.3707692307692307</v>
      </c>
      <c r="L37" s="161">
        <f t="shared" si="13"/>
        <v>1</v>
      </c>
      <c r="M37" s="70">
        <f t="shared" si="4"/>
        <v>75.051744009112312</v>
      </c>
      <c r="N37" s="70">
        <f t="shared" si="17"/>
        <v>8.1868313609467715E-4</v>
      </c>
      <c r="O37" s="70">
        <f t="shared" si="16"/>
        <v>16.12557692307692</v>
      </c>
      <c r="P37" s="70">
        <f t="shared" si="5"/>
        <v>21.989423076923067</v>
      </c>
      <c r="Q37" s="70">
        <f t="shared" si="6"/>
        <v>11.434499999999996</v>
      </c>
    </row>
    <row r="38" spans="1:17" x14ac:dyDescent="0.25">
      <c r="A38" s="70">
        <f t="shared" si="0"/>
        <v>13.2</v>
      </c>
      <c r="B38" s="73">
        <f t="shared" si="1"/>
        <v>3.5538461538461537</v>
      </c>
      <c r="C38" s="71">
        <f t="shared" si="2"/>
        <v>0</v>
      </c>
      <c r="D38" s="69">
        <f t="shared" si="7"/>
        <v>966.19808840101848</v>
      </c>
      <c r="E38" s="69">
        <f t="shared" si="8"/>
        <v>100.16407615002585</v>
      </c>
      <c r="F38" s="71">
        <f t="shared" si="9"/>
        <v>1.65</v>
      </c>
      <c r="G38" s="69">
        <f t="shared" si="10"/>
        <v>1.65</v>
      </c>
      <c r="H38" s="71">
        <f t="shared" si="3"/>
        <v>1.65</v>
      </c>
      <c r="I38" s="72">
        <f t="shared" si="11"/>
        <v>5.076923076923059E-5</v>
      </c>
      <c r="J38" s="79">
        <f t="shared" si="15"/>
        <v>1.4215384615384613E-3</v>
      </c>
      <c r="K38" s="208">
        <f t="shared" si="12"/>
        <v>1.4215384615384612</v>
      </c>
      <c r="L38" s="161">
        <f t="shared" si="13"/>
        <v>1</v>
      </c>
      <c r="M38" s="70">
        <f t="shared" si="4"/>
        <v>75.881875871231699</v>
      </c>
      <c r="N38" s="70">
        <f t="shared" si="17"/>
        <v>8.0805088757396153E-4</v>
      </c>
      <c r="O38" s="70">
        <f t="shared" si="16"/>
        <v>15.916153846153845</v>
      </c>
      <c r="P38" s="70">
        <f t="shared" si="5"/>
        <v>21.703846153846147</v>
      </c>
      <c r="Q38" s="70">
        <f t="shared" si="6"/>
        <v>11.286</v>
      </c>
    </row>
    <row r="39" spans="1:17" x14ac:dyDescent="0.25">
      <c r="A39" s="70">
        <f t="shared" si="0"/>
        <v>13.2</v>
      </c>
      <c r="B39" s="73">
        <f t="shared" si="1"/>
        <v>3.6807692307692306</v>
      </c>
      <c r="C39" s="71">
        <f t="shared" si="2"/>
        <v>0</v>
      </c>
      <c r="D39" s="69">
        <f t="shared" si="7"/>
        <v>964.19403981802247</v>
      </c>
      <c r="E39" s="69">
        <f t="shared" si="8"/>
        <v>101.28907084957005</v>
      </c>
      <c r="F39" s="71">
        <f t="shared" si="9"/>
        <v>1.65</v>
      </c>
      <c r="G39" s="69">
        <f t="shared" si="10"/>
        <v>1.65</v>
      </c>
      <c r="H39" s="71">
        <f t="shared" si="3"/>
        <v>1.65</v>
      </c>
      <c r="I39" s="72">
        <f t="shared" si="11"/>
        <v>5.0769230769230773E-5</v>
      </c>
      <c r="J39" s="79">
        <f t="shared" si="15"/>
        <v>1.472307692307692E-3</v>
      </c>
      <c r="K39" s="208">
        <f t="shared" si="12"/>
        <v>1.4723076923076921</v>
      </c>
      <c r="L39" s="161">
        <f t="shared" si="13"/>
        <v>1</v>
      </c>
      <c r="M39" s="70">
        <f t="shared" si="4"/>
        <v>76.73414458300762</v>
      </c>
      <c r="N39" s="70">
        <f t="shared" si="17"/>
        <v>7.9741863905325437E-4</v>
      </c>
      <c r="O39" s="70">
        <f t="shared" si="16"/>
        <v>15.706730769230766</v>
      </c>
      <c r="P39" s="70">
        <f t="shared" si="5"/>
        <v>21.418269230769223</v>
      </c>
      <c r="Q39" s="70">
        <f t="shared" si="6"/>
        <v>11.137499999999998</v>
      </c>
    </row>
    <row r="40" spans="1:17" x14ac:dyDescent="0.25">
      <c r="A40" s="70">
        <f t="shared" si="0"/>
        <v>13.2</v>
      </c>
      <c r="B40" s="73">
        <f t="shared" si="1"/>
        <v>3.807692307692307</v>
      </c>
      <c r="C40" s="71">
        <f t="shared" si="2"/>
        <v>0</v>
      </c>
      <c r="D40" s="69">
        <f t="shared" si="7"/>
        <v>962.18999123502658</v>
      </c>
      <c r="E40" s="69">
        <f t="shared" si="8"/>
        <v>102.44447081126408</v>
      </c>
      <c r="F40" s="71">
        <f t="shared" si="9"/>
        <v>1.65</v>
      </c>
      <c r="G40" s="69">
        <f t="shared" si="10"/>
        <v>1.65</v>
      </c>
      <c r="H40" s="71">
        <f t="shared" si="3"/>
        <v>1.65</v>
      </c>
      <c r="I40" s="72">
        <f t="shared" si="11"/>
        <v>5.076923076923059E-5</v>
      </c>
      <c r="J40" s="79">
        <f t="shared" si="15"/>
        <v>1.5230769230769226E-3</v>
      </c>
      <c r="K40" s="208">
        <f t="shared" si="12"/>
        <v>1.5230769230769226</v>
      </c>
      <c r="L40" s="161">
        <f t="shared" si="13"/>
        <v>1</v>
      </c>
      <c r="M40" s="70">
        <f t="shared" si="4"/>
        <v>77.609447584290976</v>
      </c>
      <c r="N40" s="70">
        <f t="shared" si="17"/>
        <v>7.8678639053254157E-4</v>
      </c>
      <c r="O40" s="70">
        <f t="shared" si="16"/>
        <v>15.497307692307691</v>
      </c>
      <c r="P40" s="70">
        <f t="shared" si="5"/>
        <v>21.132692307692306</v>
      </c>
      <c r="Q40" s="70">
        <f t="shared" si="6"/>
        <v>10.988999999999999</v>
      </c>
    </row>
    <row r="41" spans="1:17" x14ac:dyDescent="0.25">
      <c r="A41" s="70">
        <f t="shared" si="0"/>
        <v>13.2</v>
      </c>
      <c r="B41" s="73">
        <f t="shared" si="1"/>
        <v>3.9346153846153844</v>
      </c>
      <c r="C41" s="71">
        <f t="shared" si="2"/>
        <v>0</v>
      </c>
      <c r="D41" s="69">
        <f t="shared" si="7"/>
        <v>960.18594265203058</v>
      </c>
      <c r="E41" s="69">
        <f t="shared" si="8"/>
        <v>103.6315255664292</v>
      </c>
      <c r="F41" s="71">
        <f t="shared" si="9"/>
        <v>1.65</v>
      </c>
      <c r="G41" s="69">
        <f t="shared" si="10"/>
        <v>1.65</v>
      </c>
      <c r="H41" s="71">
        <f t="shared" si="3"/>
        <v>1.65</v>
      </c>
      <c r="I41" s="72">
        <f t="shared" si="11"/>
        <v>5.0769230769230942E-5</v>
      </c>
      <c r="J41" s="79">
        <f t="shared" si="15"/>
        <v>1.5738461538461535E-3</v>
      </c>
      <c r="K41" s="208">
        <f t="shared" si="12"/>
        <v>1.5738461538461535</v>
      </c>
      <c r="L41" s="161">
        <f t="shared" si="13"/>
        <v>1</v>
      </c>
      <c r="M41" s="70">
        <f t="shared" si="4"/>
        <v>78.508731489719096</v>
      </c>
      <c r="N41" s="70">
        <f t="shared" si="17"/>
        <v>7.761541420118369E-4</v>
      </c>
      <c r="O41" s="70">
        <f t="shared" si="16"/>
        <v>15.287884615384614</v>
      </c>
      <c r="P41" s="70">
        <f t="shared" si="5"/>
        <v>20.847115384615382</v>
      </c>
      <c r="Q41" s="70">
        <f t="shared" si="6"/>
        <v>10.840499999999999</v>
      </c>
    </row>
    <row r="42" spans="1:17" x14ac:dyDescent="0.25">
      <c r="A42" s="70">
        <f t="shared" ref="A42:A73" si="18">VINMAX</f>
        <v>13.2</v>
      </c>
      <c r="B42" s="73">
        <f t="shared" ref="B42:B73" si="19">VINMAX*((ROW()-10)/104)</f>
        <v>4.0615384615384613</v>
      </c>
      <c r="C42" s="71">
        <f t="shared" ref="C42:C73" si="20">IF(B42&gt;=$H$2,IF($D$2="CC", $G$2, B42/$G$2), 0)</f>
        <v>0</v>
      </c>
      <c r="D42" s="69">
        <f t="shared" ref="D42:D73" si="21">$B$2-B42*$J$2/($I$2*0.001)</f>
        <v>958.18189406903457</v>
      </c>
      <c r="E42" s="69">
        <f t="shared" si="8"/>
        <v>104.85155406479335</v>
      </c>
      <c r="F42" s="71">
        <f t="shared" ref="F42:F73" si="22">I_Cout_ss+C42</f>
        <v>1.65</v>
      </c>
      <c r="G42" s="69">
        <f t="shared" si="10"/>
        <v>1.65</v>
      </c>
      <c r="H42" s="71">
        <f t="shared" ref="H42:H73" si="23">G42-C42</f>
        <v>1.65</v>
      </c>
      <c r="I42" s="72">
        <f t="shared" si="11"/>
        <v>5.0769230769230773E-5</v>
      </c>
      <c r="J42" s="79">
        <f t="shared" si="15"/>
        <v>1.6246153846153843E-3</v>
      </c>
      <c r="K42" s="208">
        <f t="shared" si="12"/>
        <v>1.6246153846153844</v>
      </c>
      <c r="L42" s="161">
        <f t="shared" si="13"/>
        <v>1</v>
      </c>
      <c r="M42" s="70">
        <f t="shared" ref="M42:M73" si="24">1/COUTMAX*(E42/2-C42)*1000</f>
        <v>79.432995503631318</v>
      </c>
      <c r="N42" s="70">
        <f t="shared" si="17"/>
        <v>7.655218934911242E-4</v>
      </c>
      <c r="O42" s="70">
        <f t="shared" si="16"/>
        <v>15.078461538461537</v>
      </c>
      <c r="P42" s="70">
        <f t="shared" ref="P42:P73" si="25">(A42-B42)*(I_Cout_ss*$Q$2+C42)</f>
        <v>20.561538461538458</v>
      </c>
      <c r="Q42" s="70">
        <f t="shared" ref="Q42:Q73" si="26">(A42-B42)*(I_Cout_ss*$R$2+C42)</f>
        <v>10.691999999999998</v>
      </c>
    </row>
    <row r="43" spans="1:17" x14ac:dyDescent="0.25">
      <c r="A43" s="70">
        <f t="shared" si="18"/>
        <v>13.2</v>
      </c>
      <c r="B43" s="73">
        <f t="shared" si="19"/>
        <v>4.1884615384615378</v>
      </c>
      <c r="C43" s="71">
        <f t="shared" si="20"/>
        <v>0</v>
      </c>
      <c r="D43" s="69">
        <f t="shared" si="21"/>
        <v>956.17784548603868</v>
      </c>
      <c r="E43" s="69">
        <f t="shared" si="8"/>
        <v>106.10594956311144</v>
      </c>
      <c r="F43" s="71">
        <f t="shared" si="22"/>
        <v>1.65</v>
      </c>
      <c r="G43" s="69">
        <f t="shared" si="10"/>
        <v>1.65</v>
      </c>
      <c r="H43" s="71">
        <f t="shared" si="23"/>
        <v>1.65</v>
      </c>
      <c r="I43" s="72">
        <f t="shared" ref="I43:I74" si="27">(COUTMAX/1000000)*(B43-B42)/H43</f>
        <v>5.076923076923059E-5</v>
      </c>
      <c r="J43" s="79">
        <f t="shared" si="15"/>
        <v>1.6753846153846148E-3</v>
      </c>
      <c r="K43" s="208">
        <f t="shared" si="12"/>
        <v>1.6753846153846148</v>
      </c>
      <c r="L43" s="161">
        <f t="shared" si="13"/>
        <v>1</v>
      </c>
      <c r="M43" s="70">
        <f t="shared" si="24"/>
        <v>80.383295123569269</v>
      </c>
      <c r="N43" s="70">
        <f t="shared" si="17"/>
        <v>7.548896449704114E-4</v>
      </c>
      <c r="O43" s="70">
        <f t="shared" si="16"/>
        <v>14.869038461538459</v>
      </c>
      <c r="P43" s="70">
        <f t="shared" si="25"/>
        <v>20.275961538461534</v>
      </c>
      <c r="Q43" s="70">
        <f t="shared" si="26"/>
        <v>10.543499999999998</v>
      </c>
    </row>
    <row r="44" spans="1:17" x14ac:dyDescent="0.25">
      <c r="A44" s="70">
        <f t="shared" si="18"/>
        <v>13.2</v>
      </c>
      <c r="B44" s="73">
        <f t="shared" si="19"/>
        <v>4.3153846153846152</v>
      </c>
      <c r="C44" s="71">
        <f t="shared" si="20"/>
        <v>0</v>
      </c>
      <c r="D44" s="69">
        <f t="shared" si="21"/>
        <v>954.17379690304278</v>
      </c>
      <c r="E44" s="69">
        <f t="shared" si="8"/>
        <v>107.39618493281003</v>
      </c>
      <c r="F44" s="71">
        <f t="shared" si="22"/>
        <v>1.65</v>
      </c>
      <c r="G44" s="69">
        <f t="shared" si="10"/>
        <v>1.65</v>
      </c>
      <c r="H44" s="71">
        <f t="shared" si="23"/>
        <v>1.65</v>
      </c>
      <c r="I44" s="72">
        <f t="shared" si="27"/>
        <v>5.0769230769230942E-5</v>
      </c>
      <c r="J44" s="79">
        <f t="shared" si="15"/>
        <v>1.7261538461538458E-3</v>
      </c>
      <c r="K44" s="208">
        <f t="shared" si="12"/>
        <v>1.7261538461538457</v>
      </c>
      <c r="L44" s="161">
        <f t="shared" si="13"/>
        <v>1</v>
      </c>
      <c r="M44" s="70">
        <f t="shared" si="24"/>
        <v>81.360746161219723</v>
      </c>
      <c r="N44" s="70">
        <f t="shared" si="17"/>
        <v>7.4425739644970652E-4</v>
      </c>
      <c r="O44" s="70">
        <f t="shared" si="16"/>
        <v>14.659615384615382</v>
      </c>
      <c r="P44" s="70">
        <f t="shared" si="25"/>
        <v>19.99038461538461</v>
      </c>
      <c r="Q44" s="70">
        <f t="shared" si="26"/>
        <v>10.394999999999998</v>
      </c>
    </row>
    <row r="45" spans="1:17" x14ac:dyDescent="0.25">
      <c r="A45" s="70">
        <f t="shared" si="18"/>
        <v>13.2</v>
      </c>
      <c r="B45" s="73">
        <f t="shared" si="19"/>
        <v>4.4423076923076925</v>
      </c>
      <c r="C45" s="71">
        <f t="shared" si="20"/>
        <v>0</v>
      </c>
      <c r="D45" s="69">
        <f t="shared" si="21"/>
        <v>952.16974832004678</v>
      </c>
      <c r="E45" s="69">
        <f t="shared" si="8"/>
        <v>108.72381842916654</v>
      </c>
      <c r="F45" s="71">
        <f t="shared" si="22"/>
        <v>1.65</v>
      </c>
      <c r="G45" s="69">
        <f t="shared" si="10"/>
        <v>1.65</v>
      </c>
      <c r="H45" s="71">
        <f t="shared" si="23"/>
        <v>1.65</v>
      </c>
      <c r="I45" s="72">
        <f t="shared" si="27"/>
        <v>5.0769230769230942E-5</v>
      </c>
      <c r="J45" s="79">
        <f t="shared" si="15"/>
        <v>1.7769230769230768E-3</v>
      </c>
      <c r="K45" s="208">
        <f t="shared" si="12"/>
        <v>1.7769230769230768</v>
      </c>
      <c r="L45" s="161">
        <f t="shared" si="13"/>
        <v>1</v>
      </c>
      <c r="M45" s="70">
        <f t="shared" si="24"/>
        <v>82.366529113004958</v>
      </c>
      <c r="N45" s="70">
        <f t="shared" si="17"/>
        <v>7.3362514792899643E-4</v>
      </c>
      <c r="O45" s="70">
        <f t="shared" si="16"/>
        <v>14.450192307692303</v>
      </c>
      <c r="P45" s="70">
        <f t="shared" si="25"/>
        <v>19.704807692307686</v>
      </c>
      <c r="Q45" s="70">
        <f t="shared" si="26"/>
        <v>10.246499999999997</v>
      </c>
    </row>
    <row r="46" spans="1:17" x14ac:dyDescent="0.25">
      <c r="A46" s="70">
        <f t="shared" si="18"/>
        <v>13.2</v>
      </c>
      <c r="B46" s="73">
        <f t="shared" si="19"/>
        <v>4.569230769230769</v>
      </c>
      <c r="C46" s="71">
        <f t="shared" si="20"/>
        <v>0</v>
      </c>
      <c r="D46" s="69">
        <f t="shared" si="21"/>
        <v>950.16569973705077</v>
      </c>
      <c r="E46" s="69">
        <f t="shared" si="8"/>
        <v>110.09049996953352</v>
      </c>
      <c r="F46" s="71">
        <f t="shared" si="22"/>
        <v>1.65</v>
      </c>
      <c r="G46" s="69">
        <f t="shared" si="10"/>
        <v>1.65</v>
      </c>
      <c r="H46" s="71">
        <f t="shared" si="23"/>
        <v>1.65</v>
      </c>
      <c r="I46" s="72">
        <f t="shared" si="27"/>
        <v>5.076923076923059E-5</v>
      </c>
      <c r="J46" s="79">
        <f t="shared" si="15"/>
        <v>1.8276923076923073E-3</v>
      </c>
      <c r="K46" s="208">
        <f t="shared" si="12"/>
        <v>1.8276923076923073</v>
      </c>
      <c r="L46" s="161">
        <f t="shared" si="13"/>
        <v>1</v>
      </c>
      <c r="M46" s="70">
        <f t="shared" si="24"/>
        <v>83.401893916313284</v>
      </c>
      <c r="N46" s="70">
        <f t="shared" si="17"/>
        <v>7.2299289940828135E-4</v>
      </c>
      <c r="O46" s="70">
        <f t="shared" si="16"/>
        <v>14.24076923076923</v>
      </c>
      <c r="P46" s="70">
        <f t="shared" si="25"/>
        <v>19.419230769230765</v>
      </c>
      <c r="Q46" s="70">
        <f t="shared" si="26"/>
        <v>10.097999999999999</v>
      </c>
    </row>
    <row r="47" spans="1:17" x14ac:dyDescent="0.25">
      <c r="A47" s="70">
        <f t="shared" si="18"/>
        <v>13.2</v>
      </c>
      <c r="B47" s="73">
        <f t="shared" si="19"/>
        <v>4.6961538461538463</v>
      </c>
      <c r="C47" s="71">
        <f t="shared" si="20"/>
        <v>0</v>
      </c>
      <c r="D47" s="69">
        <f t="shared" si="21"/>
        <v>948.16165115405488</v>
      </c>
      <c r="E47" s="69">
        <f t="shared" si="8"/>
        <v>111.49797797379209</v>
      </c>
      <c r="F47" s="71">
        <f t="shared" si="22"/>
        <v>1.65</v>
      </c>
      <c r="G47" s="69">
        <f t="shared" si="10"/>
        <v>1.65</v>
      </c>
      <c r="H47" s="71">
        <f t="shared" si="23"/>
        <v>1.65</v>
      </c>
      <c r="I47" s="72">
        <f t="shared" si="27"/>
        <v>5.0769230769230942E-5</v>
      </c>
      <c r="J47" s="79">
        <f t="shared" si="15"/>
        <v>1.8784615384615383E-3</v>
      </c>
      <c r="K47" s="208">
        <f t="shared" si="12"/>
        <v>1.8784615384615382</v>
      </c>
      <c r="L47" s="161">
        <f t="shared" si="13"/>
        <v>1</v>
      </c>
      <c r="M47" s="70">
        <f t="shared" si="24"/>
        <v>84.468165131660683</v>
      </c>
      <c r="N47" s="70">
        <f t="shared" si="17"/>
        <v>7.1236065088757625E-4</v>
      </c>
      <c r="O47" s="70">
        <f t="shared" si="16"/>
        <v>14.031346153846151</v>
      </c>
      <c r="P47" s="70">
        <f t="shared" si="25"/>
        <v>19.133653846153841</v>
      </c>
      <c r="Q47" s="70">
        <f t="shared" si="26"/>
        <v>9.9494999999999987</v>
      </c>
    </row>
    <row r="48" spans="1:17" x14ac:dyDescent="0.25">
      <c r="A48" s="70">
        <f t="shared" si="18"/>
        <v>13.2</v>
      </c>
      <c r="B48" s="73">
        <f t="shared" si="19"/>
        <v>4.8230769230769228</v>
      </c>
      <c r="C48" s="71">
        <f t="shared" si="20"/>
        <v>0</v>
      </c>
      <c r="D48" s="69">
        <f t="shared" si="21"/>
        <v>946.15760257105887</v>
      </c>
      <c r="E48" s="69">
        <f t="shared" si="8"/>
        <v>112.9481068266645</v>
      </c>
      <c r="F48" s="71">
        <f t="shared" si="22"/>
        <v>1.65</v>
      </c>
      <c r="G48" s="69">
        <f t="shared" si="10"/>
        <v>1.65</v>
      </c>
      <c r="H48" s="71">
        <f t="shared" si="23"/>
        <v>1.65</v>
      </c>
      <c r="I48" s="72">
        <f t="shared" si="27"/>
        <v>5.076923076923059E-5</v>
      </c>
      <c r="J48" s="79">
        <f t="shared" si="15"/>
        <v>1.9292307692307688E-3</v>
      </c>
      <c r="K48" s="208">
        <f t="shared" si="12"/>
        <v>1.9292307692307689</v>
      </c>
      <c r="L48" s="161">
        <f t="shared" si="13"/>
        <v>1</v>
      </c>
      <c r="M48" s="70">
        <f t="shared" si="24"/>
        <v>85.566747595957949</v>
      </c>
      <c r="N48" s="70">
        <f t="shared" si="17"/>
        <v>7.0172840236686139E-4</v>
      </c>
      <c r="O48" s="70">
        <f t="shared" si="16"/>
        <v>13.821923076923078</v>
      </c>
      <c r="P48" s="70">
        <f t="shared" si="25"/>
        <v>18.848076923076921</v>
      </c>
      <c r="Q48" s="70">
        <f t="shared" si="26"/>
        <v>9.8010000000000002</v>
      </c>
    </row>
    <row r="49" spans="1:17" x14ac:dyDescent="0.25">
      <c r="A49" s="70">
        <f t="shared" si="18"/>
        <v>13.2</v>
      </c>
      <c r="B49" s="73">
        <f t="shared" si="19"/>
        <v>4.9499999999999993</v>
      </c>
      <c r="C49" s="71">
        <f t="shared" si="20"/>
        <v>0</v>
      </c>
      <c r="D49" s="69">
        <f t="shared" si="21"/>
        <v>944.15355398806298</v>
      </c>
      <c r="E49" s="69">
        <f t="shared" si="8"/>
        <v>114.44285502885612</v>
      </c>
      <c r="F49" s="71">
        <f t="shared" si="22"/>
        <v>1.65</v>
      </c>
      <c r="G49" s="69">
        <f t="shared" si="10"/>
        <v>1.65</v>
      </c>
      <c r="H49" s="71">
        <f t="shared" si="23"/>
        <v>1.65</v>
      </c>
      <c r="I49" s="72">
        <f t="shared" si="27"/>
        <v>5.076923076923059E-5</v>
      </c>
      <c r="J49" s="79">
        <f t="shared" si="15"/>
        <v>1.9799999999999996E-3</v>
      </c>
      <c r="K49" s="208">
        <f t="shared" si="12"/>
        <v>1.9799999999999995</v>
      </c>
      <c r="L49" s="161">
        <f t="shared" si="13"/>
        <v>1</v>
      </c>
      <c r="M49" s="70">
        <f t="shared" si="24"/>
        <v>86.699132597618274</v>
      </c>
      <c r="N49" s="70">
        <f t="shared" si="17"/>
        <v>6.9109615384615141E-4</v>
      </c>
      <c r="O49" s="70">
        <f t="shared" si="16"/>
        <v>13.612499999999999</v>
      </c>
      <c r="P49" s="70">
        <f t="shared" si="25"/>
        <v>18.562499999999996</v>
      </c>
      <c r="Q49" s="70">
        <f t="shared" si="26"/>
        <v>9.6524999999999999</v>
      </c>
    </row>
    <row r="50" spans="1:17" x14ac:dyDescent="0.25">
      <c r="A50" s="70">
        <f t="shared" si="18"/>
        <v>13.2</v>
      </c>
      <c r="B50" s="73">
        <f t="shared" si="19"/>
        <v>5.0769230769230766</v>
      </c>
      <c r="C50" s="71">
        <f t="shared" si="20"/>
        <v>0</v>
      </c>
      <c r="D50" s="69">
        <f t="shared" si="21"/>
        <v>942.14950540506698</v>
      </c>
      <c r="E50" s="69">
        <f t="shared" si="8"/>
        <v>115.98431411236621</v>
      </c>
      <c r="F50" s="71">
        <f t="shared" si="22"/>
        <v>1.65</v>
      </c>
      <c r="G50" s="69">
        <f t="shared" si="10"/>
        <v>1.65</v>
      </c>
      <c r="H50" s="71">
        <f t="shared" si="23"/>
        <v>1.65</v>
      </c>
      <c r="I50" s="72">
        <f t="shared" si="27"/>
        <v>5.0769230769230942E-5</v>
      </c>
      <c r="J50" s="79">
        <f t="shared" si="15"/>
        <v>2.0307692307692305E-3</v>
      </c>
      <c r="K50" s="208">
        <f t="shared" si="12"/>
        <v>2.0307692307692307</v>
      </c>
      <c r="L50" s="161">
        <f t="shared" si="13"/>
        <v>1</v>
      </c>
      <c r="M50" s="70">
        <f t="shared" si="24"/>
        <v>87.866904630580464</v>
      </c>
      <c r="N50" s="70">
        <f t="shared" si="17"/>
        <v>6.8046390532544609E-4</v>
      </c>
      <c r="O50" s="70">
        <f t="shared" si="16"/>
        <v>13.403076923076922</v>
      </c>
      <c r="P50" s="70">
        <f t="shared" si="25"/>
        <v>18.276923076923072</v>
      </c>
      <c r="Q50" s="70">
        <f t="shared" si="26"/>
        <v>9.5039999999999996</v>
      </c>
    </row>
    <row r="51" spans="1:17" x14ac:dyDescent="0.25">
      <c r="A51" s="70">
        <f t="shared" si="18"/>
        <v>13.2</v>
      </c>
      <c r="B51" s="73">
        <f t="shared" si="19"/>
        <v>5.2038461538461531</v>
      </c>
      <c r="C51" s="71">
        <f t="shared" si="20"/>
        <v>0</v>
      </c>
      <c r="D51" s="69">
        <f t="shared" si="21"/>
        <v>940.14545682207108</v>
      </c>
      <c r="E51" s="69">
        <f t="shared" si="8"/>
        <v>117.57470840487662</v>
      </c>
      <c r="F51" s="71">
        <f t="shared" si="22"/>
        <v>1.65</v>
      </c>
      <c r="G51" s="69">
        <f t="shared" si="10"/>
        <v>1.65</v>
      </c>
      <c r="H51" s="71">
        <f t="shared" si="23"/>
        <v>1.65</v>
      </c>
      <c r="I51" s="72">
        <f t="shared" si="27"/>
        <v>5.076923076923059E-5</v>
      </c>
      <c r="J51" s="79">
        <f t="shared" si="15"/>
        <v>2.0815384615384611E-3</v>
      </c>
      <c r="K51" s="208">
        <f t="shared" si="12"/>
        <v>2.0815384615384609</v>
      </c>
      <c r="L51" s="161">
        <f t="shared" si="13"/>
        <v>1</v>
      </c>
      <c r="M51" s="70">
        <f t="shared" si="24"/>
        <v>89.071748791573185</v>
      </c>
      <c r="N51" s="70">
        <f t="shared" si="17"/>
        <v>6.6983165680473133E-4</v>
      </c>
      <c r="O51" s="70">
        <f t="shared" si="16"/>
        <v>13.193653846153845</v>
      </c>
      <c r="P51" s="70">
        <f t="shared" si="25"/>
        <v>17.991346153846152</v>
      </c>
      <c r="Q51" s="70">
        <f t="shared" si="26"/>
        <v>9.3554999999999993</v>
      </c>
    </row>
    <row r="52" spans="1:17" x14ac:dyDescent="0.25">
      <c r="A52" s="70">
        <f t="shared" si="18"/>
        <v>13.2</v>
      </c>
      <c r="B52" s="73">
        <f t="shared" si="19"/>
        <v>5.3307692307692305</v>
      </c>
      <c r="C52" s="71">
        <f t="shared" si="20"/>
        <v>0</v>
      </c>
      <c r="D52" s="69">
        <f t="shared" si="21"/>
        <v>938.14140823907508</v>
      </c>
      <c r="E52" s="69">
        <f t="shared" si="8"/>
        <v>119.21640573908091</v>
      </c>
      <c r="F52" s="71">
        <f t="shared" si="22"/>
        <v>1.65</v>
      </c>
      <c r="G52" s="69">
        <f t="shared" si="10"/>
        <v>1.65</v>
      </c>
      <c r="H52" s="71">
        <f t="shared" si="23"/>
        <v>1.65</v>
      </c>
      <c r="I52" s="72">
        <f t="shared" si="27"/>
        <v>5.0769230769230942E-5</v>
      </c>
      <c r="J52" s="79">
        <f t="shared" si="15"/>
        <v>2.132307692307692E-3</v>
      </c>
      <c r="K52" s="208">
        <f t="shared" si="12"/>
        <v>2.132307692307692</v>
      </c>
      <c r="L52" s="161">
        <f t="shared" si="13"/>
        <v>1</v>
      </c>
      <c r="M52" s="70">
        <f t="shared" si="24"/>
        <v>90.315458893243118</v>
      </c>
      <c r="N52" s="70">
        <f t="shared" si="17"/>
        <v>6.5919940828402591E-4</v>
      </c>
      <c r="O52" s="70">
        <f t="shared" si="16"/>
        <v>12.984230769230768</v>
      </c>
      <c r="P52" s="70">
        <f t="shared" si="25"/>
        <v>17.705769230769228</v>
      </c>
      <c r="Q52" s="70">
        <f t="shared" si="26"/>
        <v>9.206999999999999</v>
      </c>
    </row>
    <row r="53" spans="1:17" x14ac:dyDescent="0.25">
      <c r="A53" s="70">
        <f t="shared" si="18"/>
        <v>13.2</v>
      </c>
      <c r="B53" s="73">
        <f t="shared" si="19"/>
        <v>5.457692307692307</v>
      </c>
      <c r="C53" s="71">
        <f t="shared" si="20"/>
        <v>0</v>
      </c>
      <c r="D53" s="69">
        <f t="shared" si="21"/>
        <v>936.13735965607918</v>
      </c>
      <c r="E53" s="69">
        <f t="shared" si="8"/>
        <v>120.91192921539026</v>
      </c>
      <c r="F53" s="71">
        <f t="shared" si="22"/>
        <v>1.65</v>
      </c>
      <c r="G53" s="69">
        <f t="shared" si="10"/>
        <v>1.65</v>
      </c>
      <c r="H53" s="71">
        <f t="shared" si="23"/>
        <v>1.65</v>
      </c>
      <c r="I53" s="72">
        <f t="shared" si="27"/>
        <v>5.076923076923059E-5</v>
      </c>
      <c r="J53" s="79">
        <f t="shared" si="15"/>
        <v>2.1830769230769226E-3</v>
      </c>
      <c r="K53" s="208">
        <f t="shared" si="12"/>
        <v>2.1830769230769227</v>
      </c>
      <c r="L53" s="161">
        <f t="shared" si="13"/>
        <v>1</v>
      </c>
      <c r="M53" s="70">
        <f t="shared" si="24"/>
        <v>91.599946375295659</v>
      </c>
      <c r="N53" s="70">
        <f t="shared" si="17"/>
        <v>6.4856715976331126E-4</v>
      </c>
      <c r="O53" s="70">
        <f t="shared" si="16"/>
        <v>12.774807692307691</v>
      </c>
      <c r="P53" s="70">
        <f t="shared" si="25"/>
        <v>17.420192307692304</v>
      </c>
      <c r="Q53" s="70">
        <f t="shared" si="26"/>
        <v>9.0584999999999987</v>
      </c>
    </row>
    <row r="54" spans="1:17" x14ac:dyDescent="0.25">
      <c r="A54" s="70">
        <f t="shared" si="18"/>
        <v>13.2</v>
      </c>
      <c r="B54" s="73">
        <f t="shared" si="19"/>
        <v>5.5846153846153843</v>
      </c>
      <c r="C54" s="71">
        <f t="shared" si="20"/>
        <v>0</v>
      </c>
      <c r="D54" s="69">
        <f t="shared" si="21"/>
        <v>934.13331107308318</v>
      </c>
      <c r="E54" s="69">
        <f t="shared" si="8"/>
        <v>122.66397014090992</v>
      </c>
      <c r="F54" s="71">
        <f t="shared" si="22"/>
        <v>1.65</v>
      </c>
      <c r="G54" s="69">
        <f t="shared" si="10"/>
        <v>1.65</v>
      </c>
      <c r="H54" s="71">
        <f t="shared" si="23"/>
        <v>1.65</v>
      </c>
      <c r="I54" s="72">
        <f t="shared" si="27"/>
        <v>5.0769230769230942E-5</v>
      </c>
      <c r="J54" s="79">
        <f t="shared" si="15"/>
        <v>2.2338461538461535E-3</v>
      </c>
      <c r="K54" s="208">
        <f t="shared" si="12"/>
        <v>2.2338461538461534</v>
      </c>
      <c r="L54" s="161">
        <f t="shared" si="13"/>
        <v>1</v>
      </c>
      <c r="M54" s="70">
        <f t="shared" si="24"/>
        <v>92.927250106749952</v>
      </c>
      <c r="N54" s="70">
        <f t="shared" si="17"/>
        <v>6.3793491124260573E-4</v>
      </c>
      <c r="O54" s="70">
        <f t="shared" si="16"/>
        <v>12.565384615384614</v>
      </c>
      <c r="P54" s="70">
        <f t="shared" si="25"/>
        <v>17.13461538461538</v>
      </c>
      <c r="Q54" s="70">
        <f t="shared" si="26"/>
        <v>8.9099999999999984</v>
      </c>
    </row>
    <row r="55" spans="1:17" x14ac:dyDescent="0.25">
      <c r="A55" s="70">
        <f t="shared" si="18"/>
        <v>13.2</v>
      </c>
      <c r="B55" s="73">
        <f t="shared" si="19"/>
        <v>5.7115384615384617</v>
      </c>
      <c r="C55" s="71">
        <f t="shared" si="20"/>
        <v>0</v>
      </c>
      <c r="D55" s="69">
        <f t="shared" si="21"/>
        <v>932.12926249008729</v>
      </c>
      <c r="E55" s="69">
        <f t="shared" si="8"/>
        <v>124.47540228424383</v>
      </c>
      <c r="F55" s="71">
        <f t="shared" si="22"/>
        <v>1.65</v>
      </c>
      <c r="G55" s="69">
        <f t="shared" si="10"/>
        <v>1.65</v>
      </c>
      <c r="H55" s="71">
        <f t="shared" si="23"/>
        <v>1.65</v>
      </c>
      <c r="I55" s="72">
        <f t="shared" si="27"/>
        <v>5.0769230769230942E-5</v>
      </c>
      <c r="J55" s="79">
        <f t="shared" si="15"/>
        <v>2.2846153846153845E-3</v>
      </c>
      <c r="K55" s="208">
        <f t="shared" si="12"/>
        <v>2.2846153846153845</v>
      </c>
      <c r="L55" s="161">
        <f t="shared" si="13"/>
        <v>1</v>
      </c>
      <c r="M55" s="70">
        <f t="shared" si="24"/>
        <v>94.299547185033205</v>
      </c>
      <c r="N55" s="70">
        <f t="shared" si="17"/>
        <v>6.2730266272189553E-4</v>
      </c>
      <c r="O55" s="70">
        <f t="shared" si="16"/>
        <v>12.355961538461536</v>
      </c>
      <c r="P55" s="70">
        <f t="shared" si="25"/>
        <v>16.849038461538456</v>
      </c>
      <c r="Q55" s="70">
        <f t="shared" si="26"/>
        <v>8.7614999999999981</v>
      </c>
    </row>
    <row r="56" spans="1:17" x14ac:dyDescent="0.25">
      <c r="A56" s="70">
        <f t="shared" si="18"/>
        <v>13.2</v>
      </c>
      <c r="B56" s="73">
        <f t="shared" si="19"/>
        <v>5.8384615384615381</v>
      </c>
      <c r="C56" s="71">
        <f t="shared" si="20"/>
        <v>0</v>
      </c>
      <c r="D56" s="69">
        <f t="shared" si="21"/>
        <v>930.12521390709128</v>
      </c>
      <c r="E56" s="69">
        <f t="shared" si="8"/>
        <v>126.34929760493404</v>
      </c>
      <c r="F56" s="71">
        <f t="shared" si="22"/>
        <v>1.65</v>
      </c>
      <c r="G56" s="69">
        <f t="shared" si="10"/>
        <v>1.65</v>
      </c>
      <c r="H56" s="71">
        <f t="shared" si="23"/>
        <v>1.65</v>
      </c>
      <c r="I56" s="72">
        <f t="shared" si="27"/>
        <v>5.076923076923059E-5</v>
      </c>
      <c r="J56" s="79">
        <f t="shared" si="15"/>
        <v>2.335384615384615E-3</v>
      </c>
      <c r="K56" s="208">
        <f t="shared" si="12"/>
        <v>2.3353846153846152</v>
      </c>
      <c r="L56" s="161">
        <f t="shared" si="13"/>
        <v>1</v>
      </c>
      <c r="M56" s="70">
        <f t="shared" si="24"/>
        <v>95.719164852222761</v>
      </c>
      <c r="N56" s="70">
        <f t="shared" si="17"/>
        <v>6.1667041420118121E-4</v>
      </c>
      <c r="O56" s="70">
        <f t="shared" si="16"/>
        <v>12.14653846153846</v>
      </c>
      <c r="P56" s="70">
        <f t="shared" si="25"/>
        <v>16.563461538461535</v>
      </c>
      <c r="Q56" s="70">
        <f t="shared" si="26"/>
        <v>8.6129999999999995</v>
      </c>
    </row>
    <row r="57" spans="1:17" x14ac:dyDescent="0.25">
      <c r="A57" s="70">
        <f t="shared" si="18"/>
        <v>13.2</v>
      </c>
      <c r="B57" s="73">
        <f t="shared" si="19"/>
        <v>5.9653846153846155</v>
      </c>
      <c r="C57" s="71">
        <f t="shared" si="20"/>
        <v>0</v>
      </c>
      <c r="D57" s="69">
        <f t="shared" si="21"/>
        <v>928.12116532409539</v>
      </c>
      <c r="E57" s="69">
        <f t="shared" si="8"/>
        <v>128.28894363863097</v>
      </c>
      <c r="F57" s="71">
        <f t="shared" si="22"/>
        <v>1.65</v>
      </c>
      <c r="G57" s="69">
        <f t="shared" si="10"/>
        <v>1.65</v>
      </c>
      <c r="H57" s="71">
        <f t="shared" si="23"/>
        <v>1.65</v>
      </c>
      <c r="I57" s="72">
        <f t="shared" si="27"/>
        <v>5.0769230769230942E-5</v>
      </c>
      <c r="J57" s="79">
        <f t="shared" si="15"/>
        <v>2.386153846153846E-3</v>
      </c>
      <c r="K57" s="208">
        <f t="shared" si="12"/>
        <v>2.3861538461538458</v>
      </c>
      <c r="L57" s="161">
        <f t="shared" si="13"/>
        <v>1</v>
      </c>
      <c r="M57" s="70">
        <f t="shared" si="24"/>
        <v>97.188593665629526</v>
      </c>
      <c r="N57" s="70">
        <f t="shared" si="17"/>
        <v>6.0603816568047535E-4</v>
      </c>
      <c r="O57" s="70">
        <f t="shared" si="16"/>
        <v>11.937115384615383</v>
      </c>
      <c r="P57" s="70">
        <f t="shared" si="25"/>
        <v>16.277884615384611</v>
      </c>
      <c r="Q57" s="70">
        <f t="shared" si="26"/>
        <v>8.4644999999999992</v>
      </c>
    </row>
    <row r="58" spans="1:17" x14ac:dyDescent="0.25">
      <c r="A58" s="70">
        <f t="shared" si="18"/>
        <v>13.2</v>
      </c>
      <c r="B58" s="73">
        <f t="shared" si="19"/>
        <v>6.092307692307692</v>
      </c>
      <c r="C58" s="71">
        <f t="shared" si="20"/>
        <v>0</v>
      </c>
      <c r="D58" s="69">
        <f t="shared" si="21"/>
        <v>926.11711674109938</v>
      </c>
      <c r="E58" s="69">
        <f t="shared" si="8"/>
        <v>130.29786274495987</v>
      </c>
      <c r="F58" s="71">
        <f t="shared" si="22"/>
        <v>1.65</v>
      </c>
      <c r="G58" s="69">
        <f t="shared" si="10"/>
        <v>1.65</v>
      </c>
      <c r="H58" s="71">
        <f t="shared" si="23"/>
        <v>1.65</v>
      </c>
      <c r="I58" s="72">
        <f t="shared" si="27"/>
        <v>5.076923076923059E-5</v>
      </c>
      <c r="J58" s="79">
        <f t="shared" si="15"/>
        <v>2.4369230769230765E-3</v>
      </c>
      <c r="K58" s="208">
        <f t="shared" si="12"/>
        <v>2.4369230769230765</v>
      </c>
      <c r="L58" s="161">
        <f t="shared" si="13"/>
        <v>1</v>
      </c>
      <c r="M58" s="70">
        <f t="shared" si="24"/>
        <v>98.710502079515052</v>
      </c>
      <c r="N58" s="70">
        <f t="shared" si="17"/>
        <v>5.9540591715976114E-4</v>
      </c>
      <c r="O58" s="70">
        <f t="shared" si="16"/>
        <v>11.727692307692307</v>
      </c>
      <c r="P58" s="70">
        <f t="shared" si="25"/>
        <v>15.992307692307689</v>
      </c>
      <c r="Q58" s="70">
        <f t="shared" si="26"/>
        <v>8.3159999999999989</v>
      </c>
    </row>
    <row r="59" spans="1:17" x14ac:dyDescent="0.25">
      <c r="A59" s="70">
        <f t="shared" si="18"/>
        <v>13.2</v>
      </c>
      <c r="B59" s="73">
        <f t="shared" si="19"/>
        <v>6.2192307692307685</v>
      </c>
      <c r="C59" s="71">
        <f t="shared" si="20"/>
        <v>0</v>
      </c>
      <c r="D59" s="69">
        <f t="shared" si="21"/>
        <v>924.11306815810349</v>
      </c>
      <c r="E59" s="69">
        <f t="shared" si="8"/>
        <v>132.37983345515531</v>
      </c>
      <c r="F59" s="71">
        <f t="shared" si="22"/>
        <v>1.65</v>
      </c>
      <c r="G59" s="69">
        <f t="shared" si="10"/>
        <v>1.65</v>
      </c>
      <c r="H59" s="71">
        <f t="shared" si="23"/>
        <v>1.65</v>
      </c>
      <c r="I59" s="72">
        <f t="shared" si="27"/>
        <v>5.076923076923059E-5</v>
      </c>
      <c r="J59" s="79">
        <f t="shared" si="15"/>
        <v>2.4876923076923071E-3</v>
      </c>
      <c r="K59" s="208">
        <f t="shared" si="12"/>
        <v>2.4876923076923072</v>
      </c>
      <c r="L59" s="161">
        <f t="shared" si="13"/>
        <v>1</v>
      </c>
      <c r="M59" s="70">
        <f t="shared" si="24"/>
        <v>100.2877526175419</v>
      </c>
      <c r="N59" s="70">
        <f t="shared" si="17"/>
        <v>5.8477366863905116E-4</v>
      </c>
      <c r="O59" s="70">
        <f t="shared" si="16"/>
        <v>11.51826923076923</v>
      </c>
      <c r="P59" s="70">
        <f t="shared" si="25"/>
        <v>15.706730769230766</v>
      </c>
      <c r="Q59" s="70">
        <f t="shared" si="26"/>
        <v>8.1675000000000004</v>
      </c>
    </row>
    <row r="60" spans="1:17" x14ac:dyDescent="0.25">
      <c r="A60" s="70">
        <f t="shared" si="18"/>
        <v>13.2</v>
      </c>
      <c r="B60" s="73">
        <f t="shared" si="19"/>
        <v>6.3461538461538458</v>
      </c>
      <c r="C60" s="71">
        <f t="shared" si="20"/>
        <v>0</v>
      </c>
      <c r="D60" s="69">
        <f t="shared" si="21"/>
        <v>922.10901957510748</v>
      </c>
      <c r="E60" s="69">
        <f t="shared" si="8"/>
        <v>134.5389141916543</v>
      </c>
      <c r="F60" s="71">
        <f t="shared" si="22"/>
        <v>1.65</v>
      </c>
      <c r="G60" s="69">
        <f t="shared" si="10"/>
        <v>1.65</v>
      </c>
      <c r="H60" s="71">
        <f t="shared" si="23"/>
        <v>1.65</v>
      </c>
      <c r="I60" s="72">
        <f t="shared" si="27"/>
        <v>5.0769230769230942E-5</v>
      </c>
      <c r="J60" s="79">
        <f t="shared" si="15"/>
        <v>2.538461538461538E-3</v>
      </c>
      <c r="K60" s="208">
        <f t="shared" si="12"/>
        <v>2.5384615384615379</v>
      </c>
      <c r="L60" s="161">
        <f t="shared" si="13"/>
        <v>1</v>
      </c>
      <c r="M60" s="70">
        <f t="shared" si="24"/>
        <v>101.92341984216236</v>
      </c>
      <c r="N60" s="70">
        <f t="shared" si="17"/>
        <v>5.7414142011834508E-4</v>
      </c>
      <c r="O60" s="70">
        <f t="shared" si="16"/>
        <v>11.308846153846153</v>
      </c>
      <c r="P60" s="70">
        <f t="shared" si="25"/>
        <v>15.421153846153842</v>
      </c>
      <c r="Q60" s="70">
        <f t="shared" si="26"/>
        <v>8.0189999999999984</v>
      </c>
    </row>
    <row r="61" spans="1:17" x14ac:dyDescent="0.25">
      <c r="A61" s="70">
        <f t="shared" si="18"/>
        <v>13.2</v>
      </c>
      <c r="B61" s="73">
        <f t="shared" si="19"/>
        <v>6.4730769230769223</v>
      </c>
      <c r="C61" s="71">
        <f t="shared" si="20"/>
        <v>0</v>
      </c>
      <c r="D61" s="69">
        <f t="shared" si="21"/>
        <v>920.10497099211159</v>
      </c>
      <c r="E61" s="69">
        <f t="shared" si="8"/>
        <v>136.77946967292681</v>
      </c>
      <c r="F61" s="71">
        <f t="shared" si="22"/>
        <v>1.65</v>
      </c>
      <c r="G61" s="69">
        <f t="shared" si="10"/>
        <v>1.65</v>
      </c>
      <c r="H61" s="71">
        <f t="shared" si="23"/>
        <v>1.65</v>
      </c>
      <c r="I61" s="72">
        <f t="shared" si="27"/>
        <v>5.076923076923059E-5</v>
      </c>
      <c r="J61" s="79">
        <f t="shared" si="15"/>
        <v>2.5892307692307686E-3</v>
      </c>
      <c r="K61" s="208">
        <f t="shared" si="12"/>
        <v>2.5892307692307686</v>
      </c>
      <c r="L61" s="161">
        <f t="shared" si="13"/>
        <v>1</v>
      </c>
      <c r="M61" s="70">
        <f t="shared" si="24"/>
        <v>103.62081035827789</v>
      </c>
      <c r="N61" s="70">
        <f>I61*G61*(A61-B61)</f>
        <v>5.6350917159763108E-4</v>
      </c>
      <c r="O61" s="70">
        <f t="shared" si="16"/>
        <v>11.099423076923076</v>
      </c>
      <c r="P61" s="70">
        <f t="shared" si="25"/>
        <v>15.13557692307692</v>
      </c>
      <c r="Q61" s="70">
        <f t="shared" si="26"/>
        <v>7.8704999999999998</v>
      </c>
    </row>
    <row r="62" spans="1:17" x14ac:dyDescent="0.25">
      <c r="A62" s="70">
        <f t="shared" si="18"/>
        <v>13.2</v>
      </c>
      <c r="B62" s="73">
        <f t="shared" si="19"/>
        <v>6.6</v>
      </c>
      <c r="C62" s="71">
        <f t="shared" si="20"/>
        <v>0</v>
      </c>
      <c r="D62" s="69">
        <f t="shared" si="21"/>
        <v>918.10092240911558</v>
      </c>
      <c r="E62" s="69">
        <f t="shared" si="8"/>
        <v>139.10620036501751</v>
      </c>
      <c r="F62" s="71">
        <f t="shared" si="22"/>
        <v>1.65</v>
      </c>
      <c r="G62" s="69">
        <f t="shared" si="10"/>
        <v>1.65</v>
      </c>
      <c r="H62" s="71">
        <f t="shared" si="23"/>
        <v>1.65</v>
      </c>
      <c r="I62" s="72">
        <f t="shared" si="27"/>
        <v>5.0769230769230942E-5</v>
      </c>
      <c r="J62" s="79">
        <f t="shared" si="15"/>
        <v>2.6399999999999996E-3</v>
      </c>
      <c r="K62" s="208">
        <f t="shared" si="12"/>
        <v>2.6399999999999997</v>
      </c>
      <c r="L62" s="161">
        <f t="shared" si="13"/>
        <v>1</v>
      </c>
      <c r="M62" s="70">
        <f t="shared" si="24"/>
        <v>105.38348512501327</v>
      </c>
      <c r="N62" s="70">
        <f t="shared" si="17"/>
        <v>5.528769230769249E-4</v>
      </c>
      <c r="O62" s="70">
        <f t="shared" si="16"/>
        <v>10.889999999999999</v>
      </c>
      <c r="P62" s="70">
        <f t="shared" si="25"/>
        <v>14.849999999999996</v>
      </c>
      <c r="Q62" s="70">
        <f t="shared" si="26"/>
        <v>7.7219999999999995</v>
      </c>
    </row>
    <row r="63" spans="1:17" x14ac:dyDescent="0.25">
      <c r="A63" s="70">
        <f t="shared" si="18"/>
        <v>13.2</v>
      </c>
      <c r="B63" s="73">
        <f t="shared" si="19"/>
        <v>6.7269230769230761</v>
      </c>
      <c r="C63" s="71">
        <f t="shared" si="20"/>
        <v>0</v>
      </c>
      <c r="D63" s="69">
        <f t="shared" si="21"/>
        <v>916.09687382611969</v>
      </c>
      <c r="E63" s="69">
        <f t="shared" si="8"/>
        <v>141.52417539797452</v>
      </c>
      <c r="F63" s="71">
        <f t="shared" si="22"/>
        <v>1.65</v>
      </c>
      <c r="G63" s="69">
        <f t="shared" si="10"/>
        <v>1.65</v>
      </c>
      <c r="H63" s="71">
        <f t="shared" si="23"/>
        <v>1.65</v>
      </c>
      <c r="I63" s="72">
        <f t="shared" si="27"/>
        <v>5.076923076923059E-5</v>
      </c>
      <c r="J63" s="79">
        <f t="shared" si="15"/>
        <v>2.6907692307692301E-3</v>
      </c>
      <c r="K63" s="208">
        <f t="shared" si="12"/>
        <v>2.6907692307692299</v>
      </c>
      <c r="L63" s="161">
        <f t="shared" si="13"/>
        <v>1</v>
      </c>
      <c r="M63" s="70">
        <f t="shared" si="24"/>
        <v>107.21528439240494</v>
      </c>
      <c r="N63" s="70">
        <f t="shared" si="17"/>
        <v>5.4224467455621112E-4</v>
      </c>
      <c r="O63" s="70">
        <f t="shared" si="16"/>
        <v>10.680576923076922</v>
      </c>
      <c r="P63" s="70">
        <f t="shared" si="25"/>
        <v>14.564423076923074</v>
      </c>
      <c r="Q63" s="70">
        <f t="shared" si="26"/>
        <v>7.5734999999999992</v>
      </c>
    </row>
    <row r="64" spans="1:17" x14ac:dyDescent="0.25">
      <c r="A64" s="70">
        <f t="shared" si="18"/>
        <v>13.2</v>
      </c>
      <c r="B64" s="73">
        <f t="shared" si="19"/>
        <v>6.8538461538461544</v>
      </c>
      <c r="C64" s="71">
        <f t="shared" si="20"/>
        <v>0</v>
      </c>
      <c r="D64" s="69">
        <f t="shared" si="21"/>
        <v>914.09282524312368</v>
      </c>
      <c r="E64" s="69">
        <f t="shared" si="8"/>
        <v>144.03886943224981</v>
      </c>
      <c r="F64" s="71">
        <f t="shared" si="22"/>
        <v>1.65</v>
      </c>
      <c r="G64" s="69">
        <f t="shared" si="10"/>
        <v>1.65</v>
      </c>
      <c r="H64" s="71">
        <f t="shared" si="23"/>
        <v>1.65</v>
      </c>
      <c r="I64" s="72">
        <f t="shared" si="27"/>
        <v>5.0769230769231308E-5</v>
      </c>
      <c r="J64" s="79">
        <f t="shared" si="15"/>
        <v>2.7415384615384615E-3</v>
      </c>
      <c r="K64" s="208">
        <f t="shared" si="12"/>
        <v>2.7415384615384615</v>
      </c>
      <c r="L64" s="161">
        <f t="shared" si="13"/>
        <v>1</v>
      </c>
      <c r="M64" s="70">
        <f t="shared" si="24"/>
        <v>109.12035563049228</v>
      </c>
      <c r="N64" s="70">
        <f t="shared" si="17"/>
        <v>5.316124260355084E-4</v>
      </c>
      <c r="O64" s="70">
        <f t="shared" si="16"/>
        <v>10.471153846153843</v>
      </c>
      <c r="P64" s="70">
        <f t="shared" si="25"/>
        <v>14.278846153846148</v>
      </c>
      <c r="Q64" s="70">
        <f t="shared" si="26"/>
        <v>7.424999999999998</v>
      </c>
    </row>
    <row r="65" spans="1:17" x14ac:dyDescent="0.25">
      <c r="A65" s="70">
        <f t="shared" si="18"/>
        <v>13.2</v>
      </c>
      <c r="B65" s="73">
        <f t="shared" si="19"/>
        <v>6.9807692307692308</v>
      </c>
      <c r="C65" s="71">
        <f t="shared" si="20"/>
        <v>0</v>
      </c>
      <c r="D65" s="69">
        <f t="shared" si="21"/>
        <v>912.08877666012779</v>
      </c>
      <c r="E65" s="69">
        <f t="shared" si="8"/>
        <v>146.65620403935267</v>
      </c>
      <c r="F65" s="71">
        <f t="shared" si="22"/>
        <v>1.65</v>
      </c>
      <c r="G65" s="69">
        <f t="shared" si="10"/>
        <v>1.65</v>
      </c>
      <c r="H65" s="71">
        <f t="shared" si="23"/>
        <v>1.65</v>
      </c>
      <c r="I65" s="72">
        <f t="shared" si="27"/>
        <v>5.076923076923059E-5</v>
      </c>
      <c r="J65" s="79">
        <f t="shared" si="15"/>
        <v>2.792307692307692E-3</v>
      </c>
      <c r="K65" s="208">
        <f t="shared" si="12"/>
        <v>2.7923076923076922</v>
      </c>
      <c r="L65" s="161">
        <f t="shared" si="13"/>
        <v>1</v>
      </c>
      <c r="M65" s="70">
        <f t="shared" si="24"/>
        <v>111.10318487829748</v>
      </c>
      <c r="N65" s="70">
        <f t="shared" si="17"/>
        <v>5.2098017751479094E-4</v>
      </c>
      <c r="O65" s="70">
        <f t="shared" si="16"/>
        <v>10.261730769230768</v>
      </c>
      <c r="P65" s="70">
        <f t="shared" si="25"/>
        <v>13.993269230769226</v>
      </c>
      <c r="Q65" s="70">
        <f t="shared" si="26"/>
        <v>7.2764999999999986</v>
      </c>
    </row>
    <row r="66" spans="1:17" x14ac:dyDescent="0.25">
      <c r="A66" s="70">
        <f t="shared" si="18"/>
        <v>13.2</v>
      </c>
      <c r="B66" s="73">
        <f t="shared" si="19"/>
        <v>7.1076923076923073</v>
      </c>
      <c r="C66" s="71">
        <f t="shared" si="20"/>
        <v>0</v>
      </c>
      <c r="D66" s="69">
        <f t="shared" si="21"/>
        <v>910.08472807713179</v>
      </c>
      <c r="E66" s="69">
        <f t="shared" si="8"/>
        <v>149.38259425508477</v>
      </c>
      <c r="F66" s="71">
        <f t="shared" si="22"/>
        <v>1.65</v>
      </c>
      <c r="G66" s="69">
        <f t="shared" si="10"/>
        <v>1.65</v>
      </c>
      <c r="H66" s="71">
        <f t="shared" si="23"/>
        <v>1.65</v>
      </c>
      <c r="I66" s="72">
        <f t="shared" si="27"/>
        <v>5.076923076923059E-5</v>
      </c>
      <c r="J66" s="79">
        <f t="shared" si="15"/>
        <v>2.8430769230769226E-3</v>
      </c>
      <c r="K66" s="208">
        <f t="shared" si="12"/>
        <v>2.8430769230769224</v>
      </c>
      <c r="L66" s="161">
        <f t="shared" si="13"/>
        <v>1</v>
      </c>
      <c r="M66" s="70">
        <f t="shared" si="24"/>
        <v>113.16863201142785</v>
      </c>
      <c r="N66" s="70">
        <f t="shared" si="17"/>
        <v>5.1034792899408096E-4</v>
      </c>
      <c r="O66" s="70">
        <f t="shared" si="16"/>
        <v>10.052307692307691</v>
      </c>
      <c r="P66" s="70">
        <f t="shared" si="25"/>
        <v>13.707692307692303</v>
      </c>
      <c r="Q66" s="70">
        <f t="shared" si="26"/>
        <v>7.1279999999999992</v>
      </c>
    </row>
    <row r="67" spans="1:17" x14ac:dyDescent="0.25">
      <c r="A67" s="70">
        <f t="shared" si="18"/>
        <v>13.2</v>
      </c>
      <c r="B67" s="73">
        <f t="shared" si="19"/>
        <v>7.2346153846153847</v>
      </c>
      <c r="C67" s="71">
        <f t="shared" si="20"/>
        <v>0</v>
      </c>
      <c r="D67" s="69">
        <f t="shared" si="21"/>
        <v>908.08067949413589</v>
      </c>
      <c r="E67" s="69">
        <f t="shared" si="8"/>
        <v>152.22500107574169</v>
      </c>
      <c r="F67" s="71">
        <f t="shared" si="22"/>
        <v>1.65</v>
      </c>
      <c r="G67" s="69">
        <f t="shared" si="10"/>
        <v>1.65</v>
      </c>
      <c r="H67" s="71">
        <f t="shared" si="23"/>
        <v>1.65</v>
      </c>
      <c r="I67" s="72">
        <f t="shared" si="27"/>
        <v>5.0769230769230942E-5</v>
      </c>
      <c r="J67" s="79">
        <f t="shared" si="15"/>
        <v>2.8938461538461535E-3</v>
      </c>
      <c r="K67" s="208">
        <f t="shared" si="12"/>
        <v>2.8938461538461535</v>
      </c>
      <c r="L67" s="161">
        <f t="shared" si="13"/>
        <v>1</v>
      </c>
      <c r="M67" s="70">
        <f t="shared" si="24"/>
        <v>115.32197051192553</v>
      </c>
      <c r="N67" s="70">
        <f t="shared" si="17"/>
        <v>4.9971568047337445E-4</v>
      </c>
      <c r="O67" s="70">
        <f t="shared" si="16"/>
        <v>9.8428846153846141</v>
      </c>
      <c r="P67" s="70">
        <f t="shared" si="25"/>
        <v>13.422115384615381</v>
      </c>
      <c r="Q67" s="70">
        <f t="shared" si="26"/>
        <v>6.9794999999999989</v>
      </c>
    </row>
    <row r="68" spans="1:17" x14ac:dyDescent="0.25">
      <c r="A68" s="70">
        <f t="shared" si="18"/>
        <v>13.2</v>
      </c>
      <c r="B68" s="73">
        <f t="shared" si="19"/>
        <v>7.3615384615384611</v>
      </c>
      <c r="C68" s="71">
        <f t="shared" si="20"/>
        <v>0</v>
      </c>
      <c r="D68" s="69">
        <f t="shared" si="21"/>
        <v>906.07663091113989</v>
      </c>
      <c r="E68" s="69">
        <f t="shared" si="8"/>
        <v>155.19099080164452</v>
      </c>
      <c r="F68" s="71">
        <f t="shared" si="22"/>
        <v>1.65</v>
      </c>
      <c r="G68" s="69">
        <f t="shared" si="10"/>
        <v>1.65</v>
      </c>
      <c r="H68" s="71">
        <f t="shared" si="23"/>
        <v>1.65</v>
      </c>
      <c r="I68" s="72">
        <f t="shared" si="27"/>
        <v>5.076923076923059E-5</v>
      </c>
      <c r="J68" s="79">
        <f t="shared" si="15"/>
        <v>2.9446153846153841E-3</v>
      </c>
      <c r="K68" s="208">
        <f t="shared" si="12"/>
        <v>2.9446153846153842</v>
      </c>
      <c r="L68" s="161">
        <f t="shared" si="13"/>
        <v>1</v>
      </c>
      <c r="M68" s="70">
        <f t="shared" si="24"/>
        <v>117.56893242548827</v>
      </c>
      <c r="N68" s="70">
        <f t="shared" si="17"/>
        <v>4.89083431952661E-4</v>
      </c>
      <c r="O68" s="70">
        <f t="shared" si="16"/>
        <v>9.6334615384615372</v>
      </c>
      <c r="P68" s="70">
        <f t="shared" si="25"/>
        <v>13.136538461538459</v>
      </c>
      <c r="Q68" s="70">
        <f t="shared" si="26"/>
        <v>6.8309999999999995</v>
      </c>
    </row>
    <row r="69" spans="1:17" x14ac:dyDescent="0.25">
      <c r="A69" s="70">
        <f t="shared" si="18"/>
        <v>13.2</v>
      </c>
      <c r="B69" s="73">
        <f t="shared" si="19"/>
        <v>7.4884615384615376</v>
      </c>
      <c r="C69" s="71">
        <f t="shared" si="20"/>
        <v>0</v>
      </c>
      <c r="D69" s="69">
        <f t="shared" si="21"/>
        <v>904.07258232814399</v>
      </c>
      <c r="E69" s="69">
        <f t="shared" si="8"/>
        <v>158.28880229314305</v>
      </c>
      <c r="F69" s="71">
        <f t="shared" si="22"/>
        <v>1.65</v>
      </c>
      <c r="G69" s="69">
        <f t="shared" si="10"/>
        <v>1.65</v>
      </c>
      <c r="H69" s="71">
        <f t="shared" si="23"/>
        <v>1.65</v>
      </c>
      <c r="I69" s="72">
        <f t="shared" si="27"/>
        <v>5.076923076923059E-5</v>
      </c>
      <c r="J69" s="79">
        <f t="shared" si="15"/>
        <v>2.9953846153846146E-3</v>
      </c>
      <c r="K69" s="208">
        <f t="shared" si="12"/>
        <v>2.9953846153846144</v>
      </c>
      <c r="L69" s="161">
        <f t="shared" si="13"/>
        <v>1</v>
      </c>
      <c r="M69" s="70">
        <f t="shared" si="24"/>
        <v>119.91575931298716</v>
      </c>
      <c r="N69" s="70">
        <f t="shared" si="17"/>
        <v>4.7845118343195096E-4</v>
      </c>
      <c r="O69" s="70">
        <f t="shared" si="16"/>
        <v>9.424038461538462</v>
      </c>
      <c r="P69" s="70">
        <f t="shared" si="25"/>
        <v>12.850961538461537</v>
      </c>
      <c r="Q69" s="70">
        <f t="shared" si="26"/>
        <v>6.6825000000000001</v>
      </c>
    </row>
    <row r="70" spans="1:17" x14ac:dyDescent="0.25">
      <c r="A70" s="70">
        <f t="shared" si="18"/>
        <v>13.2</v>
      </c>
      <c r="B70" s="73">
        <f t="shared" si="19"/>
        <v>7.6153846153846141</v>
      </c>
      <c r="C70" s="71">
        <f t="shared" si="20"/>
        <v>0</v>
      </c>
      <c r="D70" s="69">
        <f t="shared" si="21"/>
        <v>902.06853374514799</v>
      </c>
      <c r="E70" s="69">
        <f t="shared" si="8"/>
        <v>161.52742339789148</v>
      </c>
      <c r="F70" s="71">
        <f t="shared" si="22"/>
        <v>1.65</v>
      </c>
      <c r="G70" s="69">
        <f t="shared" si="10"/>
        <v>1.65</v>
      </c>
      <c r="H70" s="71">
        <f t="shared" si="23"/>
        <v>1.65</v>
      </c>
      <c r="I70" s="72">
        <f t="shared" si="27"/>
        <v>5.076923076923059E-5</v>
      </c>
      <c r="J70" s="79">
        <f t="shared" si="15"/>
        <v>3.0461538461538451E-3</v>
      </c>
      <c r="K70" s="208">
        <f t="shared" si="12"/>
        <v>3.0461538461538451</v>
      </c>
      <c r="L70" s="161">
        <f t="shared" si="13"/>
        <v>1</v>
      </c>
      <c r="M70" s="70">
        <f t="shared" si="24"/>
        <v>122.36926014991779</v>
      </c>
      <c r="N70" s="70">
        <f t="shared" si="17"/>
        <v>4.6781893491124098E-4</v>
      </c>
      <c r="O70" s="70">
        <f t="shared" si="16"/>
        <v>9.2146153846153851</v>
      </c>
      <c r="P70" s="70">
        <f t="shared" si="25"/>
        <v>12.565384615384614</v>
      </c>
      <c r="Q70" s="70">
        <f t="shared" si="26"/>
        <v>6.5340000000000007</v>
      </c>
    </row>
    <row r="71" spans="1:17" x14ac:dyDescent="0.25">
      <c r="A71" s="70">
        <f t="shared" si="18"/>
        <v>13.2</v>
      </c>
      <c r="B71" s="73">
        <f t="shared" si="19"/>
        <v>7.7423076923076923</v>
      </c>
      <c r="C71" s="71">
        <f t="shared" si="20"/>
        <v>0</v>
      </c>
      <c r="D71" s="69">
        <f t="shared" si="21"/>
        <v>900.0644851621521</v>
      </c>
      <c r="E71" s="69">
        <f t="shared" si="8"/>
        <v>164.91667804239574</v>
      </c>
      <c r="F71" s="71">
        <f t="shared" si="22"/>
        <v>1.65</v>
      </c>
      <c r="G71" s="69">
        <f t="shared" si="10"/>
        <v>1.65</v>
      </c>
      <c r="H71" s="71">
        <f t="shared" si="23"/>
        <v>1.65</v>
      </c>
      <c r="I71" s="72">
        <f t="shared" si="27"/>
        <v>5.0769230769231308E-5</v>
      </c>
      <c r="J71" s="79">
        <f t="shared" si="15"/>
        <v>3.0969230769230765E-3</v>
      </c>
      <c r="K71" s="208">
        <f t="shared" si="12"/>
        <v>3.0969230769230767</v>
      </c>
      <c r="L71" s="161">
        <f t="shared" si="13"/>
        <v>1</v>
      </c>
      <c r="M71" s="70">
        <f t="shared" si="24"/>
        <v>124.93687730484527</v>
      </c>
      <c r="N71" s="70">
        <f t="shared" si="17"/>
        <v>4.5718668639053729E-4</v>
      </c>
      <c r="O71" s="70">
        <f t="shared" si="16"/>
        <v>9.0051923076923064</v>
      </c>
      <c r="P71" s="70">
        <f t="shared" si="25"/>
        <v>12.279807692307688</v>
      </c>
      <c r="Q71" s="70">
        <f t="shared" si="26"/>
        <v>6.3854999999999986</v>
      </c>
    </row>
    <row r="72" spans="1:17" x14ac:dyDescent="0.25">
      <c r="A72" s="70">
        <f t="shared" si="18"/>
        <v>13.2</v>
      </c>
      <c r="B72" s="73">
        <f t="shared" si="19"/>
        <v>7.8692307692307688</v>
      </c>
      <c r="C72" s="71">
        <f t="shared" si="20"/>
        <v>0</v>
      </c>
      <c r="D72" s="69">
        <f t="shared" si="21"/>
        <v>898.06043657915609</v>
      </c>
      <c r="E72" s="69">
        <f t="shared" si="8"/>
        <v>168.46732576520967</v>
      </c>
      <c r="F72" s="71">
        <f t="shared" si="22"/>
        <v>1.65</v>
      </c>
      <c r="G72" s="69">
        <f t="shared" si="10"/>
        <v>1.65</v>
      </c>
      <c r="H72" s="71">
        <f t="shared" si="23"/>
        <v>1.65</v>
      </c>
      <c r="I72" s="72">
        <f t="shared" si="27"/>
        <v>5.076923076923059E-5</v>
      </c>
      <c r="J72" s="79">
        <f t="shared" si="15"/>
        <v>3.1476923076923071E-3</v>
      </c>
      <c r="K72" s="208">
        <f t="shared" si="12"/>
        <v>3.1476923076923069</v>
      </c>
      <c r="L72" s="161">
        <f t="shared" si="13"/>
        <v>1</v>
      </c>
      <c r="M72" s="70">
        <f t="shared" si="24"/>
        <v>127.62676194334065</v>
      </c>
      <c r="N72" s="70">
        <f t="shared" si="17"/>
        <v>4.4655443786982085E-4</v>
      </c>
      <c r="O72" s="70">
        <f t="shared" si="16"/>
        <v>8.7957692307692295</v>
      </c>
      <c r="P72" s="70">
        <f t="shared" si="25"/>
        <v>11.994230769230766</v>
      </c>
      <c r="Q72" s="70">
        <f t="shared" si="26"/>
        <v>6.2369999999999992</v>
      </c>
    </row>
    <row r="73" spans="1:17" x14ac:dyDescent="0.25">
      <c r="A73" s="70">
        <f t="shared" si="18"/>
        <v>13.2</v>
      </c>
      <c r="B73" s="73">
        <f t="shared" si="19"/>
        <v>7.9961538461538453</v>
      </c>
      <c r="C73" s="71">
        <f t="shared" si="20"/>
        <v>0</v>
      </c>
      <c r="D73" s="69">
        <f t="shared" si="21"/>
        <v>896.0563879961602</v>
      </c>
      <c r="E73" s="69">
        <f t="shared" si="8"/>
        <v>172.19117581596575</v>
      </c>
      <c r="F73" s="71">
        <f t="shared" si="22"/>
        <v>1.65</v>
      </c>
      <c r="G73" s="69">
        <f t="shared" si="10"/>
        <v>1.65</v>
      </c>
      <c r="H73" s="71">
        <f t="shared" si="23"/>
        <v>1.65</v>
      </c>
      <c r="I73" s="72">
        <f t="shared" si="27"/>
        <v>5.076923076923059E-5</v>
      </c>
      <c r="J73" s="79">
        <f t="shared" si="15"/>
        <v>3.1984615384615376E-3</v>
      </c>
      <c r="K73" s="208">
        <f t="shared" si="12"/>
        <v>3.1984615384615376</v>
      </c>
      <c r="L73" s="161">
        <f t="shared" si="13"/>
        <v>1</v>
      </c>
      <c r="M73" s="70">
        <f t="shared" si="24"/>
        <v>130.44786046664072</v>
      </c>
      <c r="N73" s="70">
        <f t="shared" si="17"/>
        <v>4.3592218934911087E-4</v>
      </c>
      <c r="O73" s="70">
        <f t="shared" si="16"/>
        <v>8.5863461538461543</v>
      </c>
      <c r="P73" s="70">
        <f t="shared" si="25"/>
        <v>11.708653846153844</v>
      </c>
      <c r="Q73" s="70">
        <f t="shared" si="26"/>
        <v>6.0884999999999998</v>
      </c>
    </row>
    <row r="74" spans="1:17" x14ac:dyDescent="0.25">
      <c r="A74" s="70">
        <f t="shared" ref="A74:A105" si="28">VINMAX</f>
        <v>13.2</v>
      </c>
      <c r="B74" s="73">
        <f t="shared" ref="B74:B105" si="29">VINMAX*((ROW()-10)/104)</f>
        <v>8.1230769230769226</v>
      </c>
      <c r="C74" s="71">
        <f t="shared" ref="C74:C105" si="30">IF(B74&gt;=$H$2,IF($D$2="CC", $G$2, B74/$G$2), 0)</f>
        <v>0</v>
      </c>
      <c r="D74" s="69">
        <f t="shared" ref="D74:D105" si="31">$B$2-B74*$J$2/($I$2*0.001)</f>
        <v>894.05233941316419</v>
      </c>
      <c r="E74" s="69">
        <f t="shared" si="8"/>
        <v>176.10121836925961</v>
      </c>
      <c r="F74" s="71">
        <f t="shared" ref="F74:F105" si="32">I_Cout_ss+C74</f>
        <v>1.65</v>
      </c>
      <c r="G74" s="69">
        <f t="shared" si="10"/>
        <v>1.65</v>
      </c>
      <c r="H74" s="71">
        <f t="shared" ref="H74:H105" si="33">G74-C74</f>
        <v>1.65</v>
      </c>
      <c r="I74" s="72">
        <f t="shared" si="27"/>
        <v>5.0769230769230942E-5</v>
      </c>
      <c r="J74" s="79">
        <f t="shared" si="15"/>
        <v>3.2492307692307686E-3</v>
      </c>
      <c r="K74" s="208">
        <f t="shared" si="12"/>
        <v>3.2492307692307687</v>
      </c>
      <c r="L74" s="161">
        <f t="shared" si="13"/>
        <v>1</v>
      </c>
      <c r="M74" s="70">
        <f t="shared" ref="M74:M105" si="34">1/COUTMAX*(E74/2-C74)*1000</f>
        <v>133.41001391610578</v>
      </c>
      <c r="N74" s="70">
        <f t="shared" si="17"/>
        <v>4.2528994082840376E-4</v>
      </c>
      <c r="O74" s="70">
        <f t="shared" si="16"/>
        <v>8.3769230769230756</v>
      </c>
      <c r="P74" s="70">
        <f t="shared" ref="P74:P105" si="35">(A74-B74)*(I_Cout_ss*$Q$2+C74)</f>
        <v>11.42307692307692</v>
      </c>
      <c r="Q74" s="70">
        <f t="shared" ref="Q74:Q105" si="36">(A74-B74)*(I_Cout_ss*$R$2+C74)</f>
        <v>5.9399999999999995</v>
      </c>
    </row>
    <row r="75" spans="1:17" x14ac:dyDescent="0.25">
      <c r="A75" s="70">
        <f t="shared" si="28"/>
        <v>13.2</v>
      </c>
      <c r="B75" s="73">
        <f t="shared" si="29"/>
        <v>8.25</v>
      </c>
      <c r="C75" s="71">
        <f t="shared" si="30"/>
        <v>0</v>
      </c>
      <c r="D75" s="69">
        <f t="shared" si="31"/>
        <v>892.04829083016818</v>
      </c>
      <c r="E75" s="69">
        <f t="shared" ref="E75:E110" si="37">MIN(D75/(A75-B75),$C$2)</f>
        <v>180.21177592528653</v>
      </c>
      <c r="F75" s="71">
        <f t="shared" si="32"/>
        <v>1.65</v>
      </c>
      <c r="G75" s="69">
        <f t="shared" ref="G75:G110" si="38">IF($F$2="YES", F75, E75)</f>
        <v>1.65</v>
      </c>
      <c r="H75" s="71">
        <f t="shared" si="33"/>
        <v>1.65</v>
      </c>
      <c r="I75" s="72">
        <f t="shared" ref="I75:I106" si="39">(COUTMAX/1000000)*(B75-B74)/H75</f>
        <v>5.0769230769230942E-5</v>
      </c>
      <c r="J75" s="79">
        <f t="shared" si="15"/>
        <v>3.2999999999999995E-3</v>
      </c>
      <c r="K75" s="208">
        <f t="shared" ref="K75:K114" si="40">J75*1000</f>
        <v>3.2999999999999994</v>
      </c>
      <c r="L75" s="161">
        <f t="shared" ref="L75:L110" si="41">H75/G75</f>
        <v>1</v>
      </c>
      <c r="M75" s="70">
        <f t="shared" si="34"/>
        <v>136.52407267067161</v>
      </c>
      <c r="N75" s="70">
        <f t="shared" ref="N75:N110" si="42">I75*G75*(A75-B75)</f>
        <v>4.1465769230769367E-4</v>
      </c>
      <c r="O75" s="70">
        <f t="shared" ref="O75:O114" si="43">G75*(A75-B75)</f>
        <v>8.1674999999999986</v>
      </c>
      <c r="P75" s="70">
        <f t="shared" si="35"/>
        <v>11.137499999999996</v>
      </c>
      <c r="Q75" s="70">
        <f t="shared" si="36"/>
        <v>5.7914999999999992</v>
      </c>
    </row>
    <row r="76" spans="1:17" x14ac:dyDescent="0.25">
      <c r="A76" s="70">
        <f t="shared" si="28"/>
        <v>13.2</v>
      </c>
      <c r="B76" s="73">
        <f t="shared" si="29"/>
        <v>8.3769230769230756</v>
      </c>
      <c r="C76" s="71">
        <f t="shared" si="30"/>
        <v>0</v>
      </c>
      <c r="D76" s="69">
        <f t="shared" si="31"/>
        <v>890.04424224717229</v>
      </c>
      <c r="E76" s="69">
        <f t="shared" si="37"/>
        <v>184.53867861584112</v>
      </c>
      <c r="F76" s="71">
        <f t="shared" si="32"/>
        <v>1.65</v>
      </c>
      <c r="G76" s="69">
        <f t="shared" si="38"/>
        <v>1.65</v>
      </c>
      <c r="H76" s="71">
        <f t="shared" si="33"/>
        <v>1.65</v>
      </c>
      <c r="I76" s="72">
        <f t="shared" si="39"/>
        <v>5.0769230769230237E-5</v>
      </c>
      <c r="J76" s="79">
        <f t="shared" ref="J76:J110" si="44">J75+I76</f>
        <v>3.3507692307692297E-3</v>
      </c>
      <c r="K76" s="208">
        <f t="shared" si="40"/>
        <v>3.3507692307692296</v>
      </c>
      <c r="L76" s="161">
        <f t="shared" si="41"/>
        <v>1</v>
      </c>
      <c r="M76" s="70">
        <f t="shared" si="34"/>
        <v>139.80202925442509</v>
      </c>
      <c r="N76" s="70">
        <f t="shared" si="42"/>
        <v>4.0402544378697805E-4</v>
      </c>
      <c r="O76" s="70">
        <f t="shared" si="43"/>
        <v>7.9580769230769235</v>
      </c>
      <c r="P76" s="70">
        <f t="shared" si="35"/>
        <v>10.851923076923077</v>
      </c>
      <c r="Q76" s="70">
        <f t="shared" si="36"/>
        <v>5.6430000000000007</v>
      </c>
    </row>
    <row r="77" spans="1:17" x14ac:dyDescent="0.25">
      <c r="A77" s="70">
        <f t="shared" si="28"/>
        <v>13.2</v>
      </c>
      <c r="B77" s="73">
        <f t="shared" si="29"/>
        <v>8.5038461538461547</v>
      </c>
      <c r="C77" s="71">
        <f t="shared" si="30"/>
        <v>0</v>
      </c>
      <c r="D77" s="69">
        <f t="shared" si="31"/>
        <v>888.04019366417629</v>
      </c>
      <c r="E77" s="69">
        <f t="shared" si="37"/>
        <v>187.96992481203006</v>
      </c>
      <c r="F77" s="71">
        <f t="shared" si="32"/>
        <v>1.65</v>
      </c>
      <c r="G77" s="69">
        <f t="shared" si="38"/>
        <v>1.65</v>
      </c>
      <c r="H77" s="71">
        <f t="shared" si="33"/>
        <v>1.65</v>
      </c>
      <c r="I77" s="72">
        <f t="shared" si="39"/>
        <v>5.076923076923166E-5</v>
      </c>
      <c r="J77" s="79">
        <f t="shared" si="44"/>
        <v>3.4015384615384615E-3</v>
      </c>
      <c r="K77" s="208">
        <f t="shared" si="40"/>
        <v>3.4015384615384616</v>
      </c>
      <c r="L77" s="161">
        <f t="shared" si="41"/>
        <v>1</v>
      </c>
      <c r="M77" s="70">
        <f t="shared" si="34"/>
        <v>142.40145819093186</v>
      </c>
      <c r="N77" s="70">
        <f t="shared" si="42"/>
        <v>3.9339319526627891E-4</v>
      </c>
      <c r="O77" s="70">
        <f t="shared" si="43"/>
        <v>7.748653846153843</v>
      </c>
      <c r="P77" s="70">
        <f t="shared" si="35"/>
        <v>10.566346153846148</v>
      </c>
      <c r="Q77" s="70">
        <f t="shared" si="36"/>
        <v>5.4944999999999977</v>
      </c>
    </row>
    <row r="78" spans="1:17" x14ac:dyDescent="0.25">
      <c r="A78" s="70">
        <f t="shared" si="28"/>
        <v>13.2</v>
      </c>
      <c r="B78" s="73">
        <f t="shared" si="29"/>
        <v>8.6307692307692303</v>
      </c>
      <c r="C78" s="71">
        <f t="shared" si="30"/>
        <v>0</v>
      </c>
      <c r="D78" s="69">
        <f t="shared" si="31"/>
        <v>886.03614508118039</v>
      </c>
      <c r="E78" s="69">
        <f t="shared" si="37"/>
        <v>187.96992481203006</v>
      </c>
      <c r="F78" s="71">
        <f t="shared" si="32"/>
        <v>1.65</v>
      </c>
      <c r="G78" s="69">
        <f t="shared" si="38"/>
        <v>1.65</v>
      </c>
      <c r="H78" s="71">
        <f t="shared" si="33"/>
        <v>1.65</v>
      </c>
      <c r="I78" s="72">
        <f t="shared" si="39"/>
        <v>5.0769230769230237E-5</v>
      </c>
      <c r="J78" s="79">
        <f t="shared" si="44"/>
        <v>3.4523076923076916E-3</v>
      </c>
      <c r="K78" s="208">
        <f t="shared" si="40"/>
        <v>3.4523076923076914</v>
      </c>
      <c r="L78" s="161">
        <f t="shared" si="41"/>
        <v>1</v>
      </c>
      <c r="M78" s="70">
        <f t="shared" si="34"/>
        <v>142.40145819093186</v>
      </c>
      <c r="N78" s="70">
        <f t="shared" si="42"/>
        <v>3.8276094674555809E-4</v>
      </c>
      <c r="O78" s="70">
        <f t="shared" si="43"/>
        <v>7.5392307692307687</v>
      </c>
      <c r="P78" s="70">
        <f t="shared" si="35"/>
        <v>10.280769230769229</v>
      </c>
      <c r="Q78" s="70">
        <f t="shared" si="36"/>
        <v>5.3459999999999992</v>
      </c>
    </row>
    <row r="79" spans="1:17" x14ac:dyDescent="0.25">
      <c r="A79" s="70">
        <f t="shared" si="28"/>
        <v>13.2</v>
      </c>
      <c r="B79" s="73">
        <f t="shared" si="29"/>
        <v>8.7576923076923077</v>
      </c>
      <c r="C79" s="71">
        <f t="shared" si="30"/>
        <v>0</v>
      </c>
      <c r="D79" s="69">
        <f t="shared" si="31"/>
        <v>884.03209649818439</v>
      </c>
      <c r="E79" s="69">
        <f t="shared" si="37"/>
        <v>187.96992481203006</v>
      </c>
      <c r="F79" s="71">
        <f t="shared" si="32"/>
        <v>1.65</v>
      </c>
      <c r="G79" s="69">
        <f t="shared" si="38"/>
        <v>1.65</v>
      </c>
      <c r="H79" s="71">
        <f t="shared" si="33"/>
        <v>1.65</v>
      </c>
      <c r="I79" s="72">
        <f t="shared" si="39"/>
        <v>5.0769230769230942E-5</v>
      </c>
      <c r="J79" s="79">
        <f t="shared" si="44"/>
        <v>3.5030769230769226E-3</v>
      </c>
      <c r="K79" s="208">
        <f t="shared" si="40"/>
        <v>3.5030769230769225</v>
      </c>
      <c r="L79" s="161">
        <f t="shared" si="41"/>
        <v>1</v>
      </c>
      <c r="M79" s="70">
        <f t="shared" si="34"/>
        <v>142.40145819093186</v>
      </c>
      <c r="N79" s="70">
        <f t="shared" si="42"/>
        <v>3.7212869822485326E-4</v>
      </c>
      <c r="O79" s="70">
        <f t="shared" si="43"/>
        <v>7.3298076923076909</v>
      </c>
      <c r="P79" s="70">
        <f t="shared" si="35"/>
        <v>9.9951923076923048</v>
      </c>
      <c r="Q79" s="70">
        <f t="shared" si="36"/>
        <v>5.1974999999999989</v>
      </c>
    </row>
    <row r="80" spans="1:17" x14ac:dyDescent="0.25">
      <c r="A80" s="70">
        <f t="shared" si="28"/>
        <v>13.2</v>
      </c>
      <c r="B80" s="73">
        <f t="shared" si="29"/>
        <v>8.884615384615385</v>
      </c>
      <c r="C80" s="71">
        <f t="shared" si="30"/>
        <v>0</v>
      </c>
      <c r="D80" s="69">
        <f t="shared" si="31"/>
        <v>882.02804791518849</v>
      </c>
      <c r="E80" s="69">
        <f t="shared" si="37"/>
        <v>187.96992481203006</v>
      </c>
      <c r="F80" s="71">
        <f t="shared" si="32"/>
        <v>1.65</v>
      </c>
      <c r="G80" s="69">
        <f t="shared" si="38"/>
        <v>1.65</v>
      </c>
      <c r="H80" s="71">
        <f t="shared" si="33"/>
        <v>1.65</v>
      </c>
      <c r="I80" s="72">
        <f t="shared" si="39"/>
        <v>5.0769230769230942E-5</v>
      </c>
      <c r="J80" s="79">
        <f t="shared" si="44"/>
        <v>3.5538461538461535E-3</v>
      </c>
      <c r="K80" s="208">
        <f t="shared" si="40"/>
        <v>3.5538461538461537</v>
      </c>
      <c r="L80" s="161">
        <f t="shared" si="41"/>
        <v>1</v>
      </c>
      <c r="M80" s="70">
        <f t="shared" si="34"/>
        <v>142.40145819093186</v>
      </c>
      <c r="N80" s="70">
        <f t="shared" si="42"/>
        <v>3.6149644970414317E-4</v>
      </c>
      <c r="O80" s="70">
        <f t="shared" si="43"/>
        <v>7.1203846153846131</v>
      </c>
      <c r="P80" s="70">
        <f t="shared" si="35"/>
        <v>9.7096153846153808</v>
      </c>
      <c r="Q80" s="70">
        <f t="shared" si="36"/>
        <v>5.0489999999999986</v>
      </c>
    </row>
    <row r="81" spans="1:17" x14ac:dyDescent="0.25">
      <c r="A81" s="70">
        <f t="shared" si="28"/>
        <v>13.2</v>
      </c>
      <c r="B81" s="73">
        <f t="shared" si="29"/>
        <v>9.0115384615384606</v>
      </c>
      <c r="C81" s="71">
        <f t="shared" si="30"/>
        <v>0</v>
      </c>
      <c r="D81" s="69">
        <f t="shared" si="31"/>
        <v>880.02399933219249</v>
      </c>
      <c r="E81" s="69">
        <f t="shared" si="37"/>
        <v>187.96992481203006</v>
      </c>
      <c r="F81" s="71">
        <f t="shared" si="32"/>
        <v>1.65</v>
      </c>
      <c r="G81" s="69">
        <f t="shared" si="38"/>
        <v>1.65</v>
      </c>
      <c r="H81" s="71">
        <f t="shared" si="33"/>
        <v>1.65</v>
      </c>
      <c r="I81" s="72">
        <f t="shared" si="39"/>
        <v>5.0769230769230237E-5</v>
      </c>
      <c r="J81" s="79">
        <f t="shared" si="44"/>
        <v>3.6046153846153836E-3</v>
      </c>
      <c r="K81" s="208">
        <f t="shared" si="40"/>
        <v>3.6046153846153834</v>
      </c>
      <c r="L81" s="161">
        <f t="shared" si="41"/>
        <v>1</v>
      </c>
      <c r="M81" s="70">
        <f t="shared" si="34"/>
        <v>142.40145819093186</v>
      </c>
      <c r="N81" s="70">
        <f t="shared" si="42"/>
        <v>3.5086420118342825E-4</v>
      </c>
      <c r="O81" s="70">
        <f t="shared" si="43"/>
        <v>6.9109615384615388</v>
      </c>
      <c r="P81" s="70">
        <f t="shared" si="35"/>
        <v>9.4240384615384603</v>
      </c>
      <c r="Q81" s="70">
        <f t="shared" si="36"/>
        <v>4.9005000000000001</v>
      </c>
    </row>
    <row r="82" spans="1:17" x14ac:dyDescent="0.25">
      <c r="A82" s="70">
        <f t="shared" si="28"/>
        <v>13.2</v>
      </c>
      <c r="B82" s="73">
        <f t="shared" si="29"/>
        <v>9.138461538461538</v>
      </c>
      <c r="C82" s="71">
        <f t="shared" si="30"/>
        <v>0</v>
      </c>
      <c r="D82" s="69">
        <f t="shared" si="31"/>
        <v>878.0199507491966</v>
      </c>
      <c r="E82" s="69">
        <f t="shared" si="37"/>
        <v>187.96992481203006</v>
      </c>
      <c r="F82" s="71">
        <f t="shared" si="32"/>
        <v>1.65</v>
      </c>
      <c r="G82" s="69">
        <f t="shared" si="38"/>
        <v>1.65</v>
      </c>
      <c r="H82" s="71">
        <f t="shared" si="33"/>
        <v>1.65</v>
      </c>
      <c r="I82" s="72">
        <f t="shared" si="39"/>
        <v>5.0769230769230942E-5</v>
      </c>
      <c r="J82" s="79">
        <f t="shared" si="44"/>
        <v>3.6553846153846146E-3</v>
      </c>
      <c r="K82" s="208">
        <f t="shared" si="40"/>
        <v>3.6553846153846146</v>
      </c>
      <c r="L82" s="161">
        <f t="shared" si="41"/>
        <v>1</v>
      </c>
      <c r="M82" s="70">
        <f t="shared" si="34"/>
        <v>142.40145819093186</v>
      </c>
      <c r="N82" s="70">
        <f t="shared" si="42"/>
        <v>3.4023195266272304E-4</v>
      </c>
      <c r="O82" s="70">
        <f t="shared" si="43"/>
        <v>6.701538461538461</v>
      </c>
      <c r="P82" s="70">
        <f t="shared" si="35"/>
        <v>9.1384615384615362</v>
      </c>
      <c r="Q82" s="70">
        <f t="shared" si="36"/>
        <v>4.7519999999999998</v>
      </c>
    </row>
    <row r="83" spans="1:17" x14ac:dyDescent="0.25">
      <c r="A83" s="70">
        <f t="shared" si="28"/>
        <v>13.2</v>
      </c>
      <c r="B83" s="73">
        <f t="shared" si="29"/>
        <v>9.2653846153846136</v>
      </c>
      <c r="C83" s="71">
        <f t="shared" si="30"/>
        <v>0</v>
      </c>
      <c r="D83" s="69">
        <f t="shared" si="31"/>
        <v>876.0159021662007</v>
      </c>
      <c r="E83" s="69">
        <f t="shared" si="37"/>
        <v>187.96992481203006</v>
      </c>
      <c r="F83" s="71">
        <f t="shared" si="32"/>
        <v>1.65</v>
      </c>
      <c r="G83" s="69">
        <f t="shared" si="38"/>
        <v>1.65</v>
      </c>
      <c r="H83" s="71">
        <f t="shared" si="33"/>
        <v>1.65</v>
      </c>
      <c r="I83" s="72">
        <f t="shared" si="39"/>
        <v>5.0769230769230237E-5</v>
      </c>
      <c r="J83" s="79">
        <f t="shared" si="44"/>
        <v>3.7061538461538447E-3</v>
      </c>
      <c r="K83" s="208">
        <f t="shared" si="40"/>
        <v>3.7061538461538448</v>
      </c>
      <c r="L83" s="161">
        <f t="shared" si="41"/>
        <v>1</v>
      </c>
      <c r="M83" s="70">
        <f t="shared" si="34"/>
        <v>142.40145819093186</v>
      </c>
      <c r="N83" s="70">
        <f t="shared" si="42"/>
        <v>3.2959970414200845E-4</v>
      </c>
      <c r="O83" s="70">
        <f t="shared" si="43"/>
        <v>6.4921153846153858</v>
      </c>
      <c r="P83" s="70">
        <f t="shared" si="35"/>
        <v>8.8528846153846157</v>
      </c>
      <c r="Q83" s="70">
        <f t="shared" si="36"/>
        <v>4.6035000000000013</v>
      </c>
    </row>
    <row r="84" spans="1:17" x14ac:dyDescent="0.25">
      <c r="A84" s="70">
        <f t="shared" si="28"/>
        <v>13.2</v>
      </c>
      <c r="B84" s="73">
        <f t="shared" si="29"/>
        <v>9.3923076923076927</v>
      </c>
      <c r="C84" s="71">
        <f t="shared" si="30"/>
        <v>0</v>
      </c>
      <c r="D84" s="69">
        <f t="shared" si="31"/>
        <v>874.0118535832047</v>
      </c>
      <c r="E84" s="69">
        <f t="shared" si="37"/>
        <v>187.96992481203006</v>
      </c>
      <c r="F84" s="71">
        <f t="shared" si="32"/>
        <v>1.65</v>
      </c>
      <c r="G84" s="69">
        <f t="shared" si="38"/>
        <v>1.65</v>
      </c>
      <c r="H84" s="71">
        <f t="shared" si="33"/>
        <v>1.65</v>
      </c>
      <c r="I84" s="72">
        <f t="shared" si="39"/>
        <v>5.076923076923166E-5</v>
      </c>
      <c r="J84" s="79">
        <f t="shared" si="44"/>
        <v>3.7569230769230765E-3</v>
      </c>
      <c r="K84" s="208">
        <f t="shared" si="40"/>
        <v>3.7569230769230764</v>
      </c>
      <c r="L84" s="161">
        <f t="shared" si="41"/>
        <v>1</v>
      </c>
      <c r="M84" s="70">
        <f t="shared" si="34"/>
        <v>142.40145819093186</v>
      </c>
      <c r="N84" s="70">
        <f t="shared" si="42"/>
        <v>3.1896745562130725E-4</v>
      </c>
      <c r="O84" s="70">
        <f t="shared" si="43"/>
        <v>6.2826923076923054</v>
      </c>
      <c r="P84" s="70">
        <f t="shared" si="35"/>
        <v>8.5673076923076881</v>
      </c>
      <c r="Q84" s="70">
        <f t="shared" si="36"/>
        <v>4.4549999999999983</v>
      </c>
    </row>
    <row r="85" spans="1:17" x14ac:dyDescent="0.25">
      <c r="A85" s="70">
        <f t="shared" si="28"/>
        <v>13.2</v>
      </c>
      <c r="B85" s="73">
        <f t="shared" si="29"/>
        <v>9.5192307692307683</v>
      </c>
      <c r="C85" s="71">
        <f t="shared" si="30"/>
        <v>0</v>
      </c>
      <c r="D85" s="69">
        <f t="shared" si="31"/>
        <v>872.00780500020869</v>
      </c>
      <c r="E85" s="69">
        <f t="shared" si="37"/>
        <v>187.96992481203006</v>
      </c>
      <c r="F85" s="71">
        <f t="shared" si="32"/>
        <v>1.65</v>
      </c>
      <c r="G85" s="69">
        <f t="shared" si="38"/>
        <v>1.65</v>
      </c>
      <c r="H85" s="71">
        <f t="shared" si="33"/>
        <v>1.65</v>
      </c>
      <c r="I85" s="72">
        <f t="shared" si="39"/>
        <v>5.0769230769230237E-5</v>
      </c>
      <c r="J85" s="79">
        <f t="shared" si="44"/>
        <v>3.8076923076923066E-3</v>
      </c>
      <c r="K85" s="208">
        <f t="shared" si="40"/>
        <v>3.8076923076923066</v>
      </c>
      <c r="L85" s="161">
        <f t="shared" si="41"/>
        <v>1</v>
      </c>
      <c r="M85" s="70">
        <f t="shared" si="34"/>
        <v>142.40145819093186</v>
      </c>
      <c r="N85" s="70">
        <f t="shared" si="42"/>
        <v>3.0833520710058849E-4</v>
      </c>
      <c r="O85" s="70">
        <f t="shared" si="43"/>
        <v>6.0732692307692311</v>
      </c>
      <c r="P85" s="70">
        <f t="shared" si="35"/>
        <v>8.2817307692307676</v>
      </c>
      <c r="Q85" s="70">
        <f t="shared" si="36"/>
        <v>4.3064999999999998</v>
      </c>
    </row>
    <row r="86" spans="1:17" x14ac:dyDescent="0.25">
      <c r="A86" s="70">
        <f t="shared" si="28"/>
        <v>13.2</v>
      </c>
      <c r="B86" s="73">
        <f t="shared" si="29"/>
        <v>9.6461538461538456</v>
      </c>
      <c r="C86" s="71">
        <f t="shared" si="30"/>
        <v>0</v>
      </c>
      <c r="D86" s="69">
        <f t="shared" si="31"/>
        <v>870.0037564172128</v>
      </c>
      <c r="E86" s="69">
        <f t="shared" si="37"/>
        <v>187.96992481203006</v>
      </c>
      <c r="F86" s="71">
        <f t="shared" si="32"/>
        <v>1.65</v>
      </c>
      <c r="G86" s="69">
        <f t="shared" si="38"/>
        <v>1.65</v>
      </c>
      <c r="H86" s="71">
        <f t="shared" si="33"/>
        <v>1.65</v>
      </c>
      <c r="I86" s="72">
        <f t="shared" si="39"/>
        <v>5.0769230769230942E-5</v>
      </c>
      <c r="J86" s="79">
        <f t="shared" si="44"/>
        <v>3.8584615384615376E-3</v>
      </c>
      <c r="K86" s="208">
        <f t="shared" si="40"/>
        <v>3.8584615384615377</v>
      </c>
      <c r="L86" s="161">
        <f t="shared" si="41"/>
        <v>1</v>
      </c>
      <c r="M86" s="70">
        <f t="shared" si="34"/>
        <v>142.40145819093186</v>
      </c>
      <c r="N86" s="70">
        <f t="shared" si="42"/>
        <v>2.9770295857988263E-4</v>
      </c>
      <c r="O86" s="70">
        <f t="shared" si="43"/>
        <v>5.8638461538461533</v>
      </c>
      <c r="P86" s="70">
        <f t="shared" si="35"/>
        <v>7.9961538461538444</v>
      </c>
      <c r="Q86" s="70">
        <f t="shared" si="36"/>
        <v>4.1579999999999995</v>
      </c>
    </row>
    <row r="87" spans="1:17" x14ac:dyDescent="0.25">
      <c r="A87" s="70">
        <f t="shared" si="28"/>
        <v>13.2</v>
      </c>
      <c r="B87" s="73">
        <f t="shared" si="29"/>
        <v>9.773076923076923</v>
      </c>
      <c r="C87" s="71">
        <f t="shared" si="30"/>
        <v>0</v>
      </c>
      <c r="D87" s="69">
        <f t="shared" si="31"/>
        <v>867.99970783421679</v>
      </c>
      <c r="E87" s="69">
        <f t="shared" si="37"/>
        <v>187.96992481203006</v>
      </c>
      <c r="F87" s="71">
        <f t="shared" si="32"/>
        <v>1.65</v>
      </c>
      <c r="G87" s="69">
        <f t="shared" si="38"/>
        <v>1.65</v>
      </c>
      <c r="H87" s="71">
        <f t="shared" si="33"/>
        <v>1.65</v>
      </c>
      <c r="I87" s="72">
        <f t="shared" si="39"/>
        <v>5.0769230769230942E-5</v>
      </c>
      <c r="J87" s="79">
        <f t="shared" si="44"/>
        <v>3.9092307692307681E-3</v>
      </c>
      <c r="K87" s="208">
        <f t="shared" si="40"/>
        <v>3.909230769230768</v>
      </c>
      <c r="L87" s="161">
        <f t="shared" si="41"/>
        <v>1</v>
      </c>
      <c r="M87" s="70">
        <f t="shared" si="34"/>
        <v>142.40145819093186</v>
      </c>
      <c r="N87" s="70">
        <f t="shared" si="42"/>
        <v>2.8707071005917254E-4</v>
      </c>
      <c r="O87" s="70">
        <f t="shared" si="43"/>
        <v>5.6544230769230754</v>
      </c>
      <c r="P87" s="70">
        <f t="shared" si="35"/>
        <v>7.7105769230769203</v>
      </c>
      <c r="Q87" s="70">
        <f t="shared" si="36"/>
        <v>4.0094999999999992</v>
      </c>
    </row>
    <row r="88" spans="1:17" x14ac:dyDescent="0.25">
      <c r="A88" s="70">
        <f t="shared" si="28"/>
        <v>13.2</v>
      </c>
      <c r="B88" s="73">
        <f t="shared" si="29"/>
        <v>9.8999999999999986</v>
      </c>
      <c r="C88" s="71">
        <f t="shared" si="30"/>
        <v>0</v>
      </c>
      <c r="D88" s="69">
        <f t="shared" si="31"/>
        <v>865.9956592512209</v>
      </c>
      <c r="E88" s="69">
        <f t="shared" si="37"/>
        <v>187.96992481203006</v>
      </c>
      <c r="F88" s="71">
        <f t="shared" si="32"/>
        <v>1.65</v>
      </c>
      <c r="G88" s="69">
        <f t="shared" si="38"/>
        <v>1.65</v>
      </c>
      <c r="H88" s="71">
        <f t="shared" si="33"/>
        <v>1.65</v>
      </c>
      <c r="I88" s="72">
        <f t="shared" si="39"/>
        <v>5.0769230769230237E-5</v>
      </c>
      <c r="J88" s="79">
        <f t="shared" si="44"/>
        <v>3.9599999999999982E-3</v>
      </c>
      <c r="K88" s="208">
        <f t="shared" si="40"/>
        <v>3.9599999999999982</v>
      </c>
      <c r="L88" s="161">
        <f t="shared" si="41"/>
        <v>1</v>
      </c>
      <c r="M88" s="70">
        <f t="shared" si="34"/>
        <v>142.40145819093186</v>
      </c>
      <c r="N88" s="70">
        <f t="shared" si="42"/>
        <v>2.7643846153845871E-4</v>
      </c>
      <c r="O88" s="70">
        <f t="shared" si="43"/>
        <v>5.4450000000000012</v>
      </c>
      <c r="P88" s="70">
        <f t="shared" si="35"/>
        <v>7.4249999999999998</v>
      </c>
      <c r="Q88" s="70">
        <f t="shared" si="36"/>
        <v>3.8610000000000007</v>
      </c>
    </row>
    <row r="89" spans="1:17" x14ac:dyDescent="0.25">
      <c r="A89" s="70">
        <f t="shared" si="28"/>
        <v>13.2</v>
      </c>
      <c r="B89" s="73">
        <f t="shared" si="29"/>
        <v>10.026923076923076</v>
      </c>
      <c r="C89" s="71">
        <f t="shared" si="30"/>
        <v>0</v>
      </c>
      <c r="D89" s="69">
        <f t="shared" si="31"/>
        <v>863.99161066822489</v>
      </c>
      <c r="E89" s="69">
        <f t="shared" si="37"/>
        <v>187.96992481203006</v>
      </c>
      <c r="F89" s="71">
        <f t="shared" si="32"/>
        <v>1.65</v>
      </c>
      <c r="G89" s="69">
        <f t="shared" si="38"/>
        <v>1.65</v>
      </c>
      <c r="H89" s="71">
        <f t="shared" si="33"/>
        <v>1.65</v>
      </c>
      <c r="I89" s="72">
        <f t="shared" si="39"/>
        <v>5.0769230769230942E-5</v>
      </c>
      <c r="J89" s="79">
        <f t="shared" si="44"/>
        <v>4.0107692307692292E-3</v>
      </c>
      <c r="K89" s="208">
        <f t="shared" si="40"/>
        <v>4.0107692307692293</v>
      </c>
      <c r="L89" s="161">
        <f t="shared" si="41"/>
        <v>1</v>
      </c>
      <c r="M89" s="70">
        <f t="shared" si="34"/>
        <v>142.40145819093186</v>
      </c>
      <c r="N89" s="70">
        <f t="shared" si="42"/>
        <v>2.6580621301775241E-4</v>
      </c>
      <c r="O89" s="70">
        <f t="shared" si="43"/>
        <v>5.2355769230769234</v>
      </c>
      <c r="P89" s="70">
        <f t="shared" si="35"/>
        <v>7.1394230769230758</v>
      </c>
      <c r="Q89" s="70">
        <f t="shared" si="36"/>
        <v>3.7124999999999999</v>
      </c>
    </row>
    <row r="90" spans="1:17" x14ac:dyDescent="0.25">
      <c r="A90" s="70">
        <f t="shared" si="28"/>
        <v>13.2</v>
      </c>
      <c r="B90" s="73">
        <f t="shared" si="29"/>
        <v>10.153846153846153</v>
      </c>
      <c r="C90" s="71">
        <f t="shared" si="30"/>
        <v>0</v>
      </c>
      <c r="D90" s="69">
        <f t="shared" si="31"/>
        <v>861.987562085229</v>
      </c>
      <c r="E90" s="69">
        <f t="shared" si="37"/>
        <v>187.96992481203006</v>
      </c>
      <c r="F90" s="71">
        <f t="shared" si="32"/>
        <v>1.65</v>
      </c>
      <c r="G90" s="69">
        <f t="shared" si="38"/>
        <v>1.65</v>
      </c>
      <c r="H90" s="71">
        <f t="shared" si="33"/>
        <v>1.65</v>
      </c>
      <c r="I90" s="72">
        <f t="shared" si="39"/>
        <v>5.0769230769230942E-5</v>
      </c>
      <c r="J90" s="79">
        <f t="shared" si="44"/>
        <v>4.0615384615384602E-3</v>
      </c>
      <c r="K90" s="208">
        <f t="shared" si="40"/>
        <v>4.0615384615384604</v>
      </c>
      <c r="L90" s="161">
        <f t="shared" si="41"/>
        <v>1</v>
      </c>
      <c r="M90" s="70">
        <f t="shared" si="34"/>
        <v>142.40145819093186</v>
      </c>
      <c r="N90" s="70">
        <f t="shared" si="42"/>
        <v>2.5517396449704227E-4</v>
      </c>
      <c r="O90" s="70">
        <f t="shared" si="43"/>
        <v>5.0261538461538455</v>
      </c>
      <c r="P90" s="70">
        <f t="shared" si="35"/>
        <v>6.8538461538461517</v>
      </c>
      <c r="Q90" s="70">
        <f t="shared" si="36"/>
        <v>3.5639999999999996</v>
      </c>
    </row>
    <row r="91" spans="1:17" x14ac:dyDescent="0.25">
      <c r="A91" s="70">
        <f t="shared" si="28"/>
        <v>13.2</v>
      </c>
      <c r="B91" s="73">
        <f t="shared" si="29"/>
        <v>10.280769230769231</v>
      </c>
      <c r="C91" s="71">
        <f t="shared" si="30"/>
        <v>0</v>
      </c>
      <c r="D91" s="69">
        <f t="shared" si="31"/>
        <v>859.983513502233</v>
      </c>
      <c r="E91" s="69">
        <f t="shared" si="37"/>
        <v>187.96992481203006</v>
      </c>
      <c r="F91" s="71">
        <f t="shared" si="32"/>
        <v>1.65</v>
      </c>
      <c r="G91" s="69">
        <f t="shared" si="38"/>
        <v>1.65</v>
      </c>
      <c r="H91" s="71">
        <f t="shared" si="33"/>
        <v>1.65</v>
      </c>
      <c r="I91" s="72">
        <f t="shared" si="39"/>
        <v>5.0769230769230942E-5</v>
      </c>
      <c r="J91" s="79">
        <f t="shared" si="44"/>
        <v>4.1123076923076912E-3</v>
      </c>
      <c r="K91" s="208">
        <f t="shared" si="40"/>
        <v>4.1123076923076916</v>
      </c>
      <c r="L91" s="161">
        <f t="shared" si="41"/>
        <v>1</v>
      </c>
      <c r="M91" s="70">
        <f t="shared" si="34"/>
        <v>142.40145819093186</v>
      </c>
      <c r="N91" s="70">
        <f t="shared" si="42"/>
        <v>2.4454171597633212E-4</v>
      </c>
      <c r="O91" s="70">
        <f t="shared" si="43"/>
        <v>4.8167307692307677</v>
      </c>
      <c r="P91" s="70">
        <f t="shared" si="35"/>
        <v>6.5682692307692285</v>
      </c>
      <c r="Q91" s="70">
        <f t="shared" si="36"/>
        <v>3.4154999999999989</v>
      </c>
    </row>
    <row r="92" spans="1:17" x14ac:dyDescent="0.25">
      <c r="A92" s="70">
        <f t="shared" si="28"/>
        <v>13.2</v>
      </c>
      <c r="B92" s="73">
        <f t="shared" si="29"/>
        <v>10.407692307692306</v>
      </c>
      <c r="C92" s="71">
        <f t="shared" si="30"/>
        <v>0</v>
      </c>
      <c r="D92" s="69">
        <f t="shared" si="31"/>
        <v>857.9794649192371</v>
      </c>
      <c r="E92" s="69">
        <f t="shared" si="37"/>
        <v>187.96992481203006</v>
      </c>
      <c r="F92" s="71">
        <f t="shared" si="32"/>
        <v>1.65</v>
      </c>
      <c r="G92" s="69">
        <f t="shared" si="38"/>
        <v>1.65</v>
      </c>
      <c r="H92" s="71">
        <f t="shared" si="33"/>
        <v>1.65</v>
      </c>
      <c r="I92" s="72">
        <f t="shared" si="39"/>
        <v>5.0769230769230237E-5</v>
      </c>
      <c r="J92" s="79">
        <f t="shared" si="44"/>
        <v>4.1630769230769213E-3</v>
      </c>
      <c r="K92" s="208">
        <f t="shared" si="40"/>
        <v>4.1630769230769209</v>
      </c>
      <c r="L92" s="161">
        <f t="shared" si="41"/>
        <v>1</v>
      </c>
      <c r="M92" s="70">
        <f t="shared" si="34"/>
        <v>142.40145819093186</v>
      </c>
      <c r="N92" s="70">
        <f t="shared" si="42"/>
        <v>2.3390946745561889E-4</v>
      </c>
      <c r="O92" s="70">
        <f t="shared" si="43"/>
        <v>4.6073076923076934</v>
      </c>
      <c r="P92" s="70">
        <f t="shared" si="35"/>
        <v>6.282692307692308</v>
      </c>
      <c r="Q92" s="70">
        <f t="shared" si="36"/>
        <v>3.2670000000000008</v>
      </c>
    </row>
    <row r="93" spans="1:17" x14ac:dyDescent="0.25">
      <c r="A93" s="70">
        <f t="shared" si="28"/>
        <v>13.2</v>
      </c>
      <c r="B93" s="73">
        <f t="shared" si="29"/>
        <v>10.534615384615385</v>
      </c>
      <c r="C93" s="71">
        <f t="shared" si="30"/>
        <v>0</v>
      </c>
      <c r="D93" s="69">
        <f t="shared" si="31"/>
        <v>855.9754163362411</v>
      </c>
      <c r="E93" s="69">
        <f t="shared" si="37"/>
        <v>187.96992481203006</v>
      </c>
      <c r="F93" s="71">
        <f t="shared" si="32"/>
        <v>1.65</v>
      </c>
      <c r="G93" s="69">
        <f t="shared" si="38"/>
        <v>1.65</v>
      </c>
      <c r="H93" s="71">
        <f t="shared" si="33"/>
        <v>1.65</v>
      </c>
      <c r="I93" s="72">
        <f t="shared" si="39"/>
        <v>5.076923076923166E-5</v>
      </c>
      <c r="J93" s="79">
        <f t="shared" si="44"/>
        <v>4.2138461538461531E-3</v>
      </c>
      <c r="K93" s="208">
        <f t="shared" si="40"/>
        <v>4.2138461538461529</v>
      </c>
      <c r="L93" s="161">
        <f t="shared" si="41"/>
        <v>1</v>
      </c>
      <c r="M93" s="70">
        <f t="shared" si="34"/>
        <v>142.40145819093186</v>
      </c>
      <c r="N93" s="70">
        <f t="shared" si="42"/>
        <v>2.2327721893491501E-4</v>
      </c>
      <c r="O93" s="70">
        <f t="shared" si="43"/>
        <v>4.3978846153846129</v>
      </c>
      <c r="P93" s="70">
        <f t="shared" si="35"/>
        <v>5.9971153846153804</v>
      </c>
      <c r="Q93" s="70">
        <f t="shared" si="36"/>
        <v>3.1184999999999983</v>
      </c>
    </row>
    <row r="94" spans="1:17" x14ac:dyDescent="0.25">
      <c r="A94" s="70">
        <f t="shared" si="28"/>
        <v>13.2</v>
      </c>
      <c r="B94" s="73">
        <f t="shared" si="29"/>
        <v>10.661538461538461</v>
      </c>
      <c r="C94" s="71">
        <f t="shared" si="30"/>
        <v>0</v>
      </c>
      <c r="D94" s="69">
        <f t="shared" si="31"/>
        <v>853.9713677532452</v>
      </c>
      <c r="E94" s="69">
        <f t="shared" si="37"/>
        <v>187.96992481203006</v>
      </c>
      <c r="F94" s="71">
        <f t="shared" si="32"/>
        <v>1.65</v>
      </c>
      <c r="G94" s="69">
        <f t="shared" si="38"/>
        <v>1.65</v>
      </c>
      <c r="H94" s="71">
        <f t="shared" si="33"/>
        <v>1.65</v>
      </c>
      <c r="I94" s="72">
        <f t="shared" si="39"/>
        <v>5.0769230769230237E-5</v>
      </c>
      <c r="J94" s="79">
        <f t="shared" si="44"/>
        <v>4.2646153846153832E-3</v>
      </c>
      <c r="K94" s="208">
        <f t="shared" si="40"/>
        <v>4.2646153846153831</v>
      </c>
      <c r="L94" s="161">
        <f t="shared" si="41"/>
        <v>1</v>
      </c>
      <c r="M94" s="70">
        <f t="shared" si="34"/>
        <v>142.40145819093186</v>
      </c>
      <c r="N94" s="70">
        <f t="shared" si="42"/>
        <v>2.1264497041419893E-4</v>
      </c>
      <c r="O94" s="70">
        <f t="shared" si="43"/>
        <v>4.1884615384615378</v>
      </c>
      <c r="P94" s="70">
        <f t="shared" si="35"/>
        <v>5.7115384615384599</v>
      </c>
      <c r="Q94" s="70">
        <f t="shared" si="36"/>
        <v>2.9699999999999998</v>
      </c>
    </row>
    <row r="95" spans="1:17" x14ac:dyDescent="0.25">
      <c r="A95" s="70">
        <f t="shared" si="28"/>
        <v>13.2</v>
      </c>
      <c r="B95" s="73">
        <f t="shared" si="29"/>
        <v>10.788461538461538</v>
      </c>
      <c r="C95" s="71">
        <f t="shared" si="30"/>
        <v>0</v>
      </c>
      <c r="D95" s="69">
        <f t="shared" si="31"/>
        <v>851.9673191702492</v>
      </c>
      <c r="E95" s="69">
        <f t="shared" si="37"/>
        <v>187.96992481203006</v>
      </c>
      <c r="F95" s="71">
        <f t="shared" si="32"/>
        <v>1.65</v>
      </c>
      <c r="G95" s="69">
        <f t="shared" si="38"/>
        <v>1.65</v>
      </c>
      <c r="H95" s="71">
        <f t="shared" si="33"/>
        <v>1.65</v>
      </c>
      <c r="I95" s="72">
        <f t="shared" si="39"/>
        <v>5.0769230769230942E-5</v>
      </c>
      <c r="J95" s="79">
        <f t="shared" si="44"/>
        <v>4.3153846153846142E-3</v>
      </c>
      <c r="K95" s="208">
        <f t="shared" si="40"/>
        <v>4.3153846153846143</v>
      </c>
      <c r="L95" s="161">
        <f t="shared" si="41"/>
        <v>1</v>
      </c>
      <c r="M95" s="70">
        <f t="shared" si="34"/>
        <v>142.40145819093186</v>
      </c>
      <c r="N95" s="70">
        <f t="shared" si="42"/>
        <v>2.0201272189349176E-4</v>
      </c>
      <c r="O95" s="70">
        <f t="shared" si="43"/>
        <v>3.9790384615384604</v>
      </c>
      <c r="P95" s="70">
        <f t="shared" si="35"/>
        <v>5.4259615384615358</v>
      </c>
      <c r="Q95" s="70">
        <f t="shared" si="36"/>
        <v>2.821499999999999</v>
      </c>
    </row>
    <row r="96" spans="1:17" x14ac:dyDescent="0.25">
      <c r="A96" s="70">
        <f t="shared" si="28"/>
        <v>13.2</v>
      </c>
      <c r="B96" s="73">
        <f t="shared" si="29"/>
        <v>10.915384615384614</v>
      </c>
      <c r="C96" s="71">
        <f t="shared" si="30"/>
        <v>0</v>
      </c>
      <c r="D96" s="69">
        <f t="shared" si="31"/>
        <v>849.96327058725331</v>
      </c>
      <c r="E96" s="69">
        <f t="shared" si="37"/>
        <v>187.96992481203006</v>
      </c>
      <c r="F96" s="71">
        <f t="shared" si="32"/>
        <v>1.65</v>
      </c>
      <c r="G96" s="69">
        <f t="shared" si="38"/>
        <v>1.65</v>
      </c>
      <c r="H96" s="71">
        <f t="shared" si="33"/>
        <v>1.65</v>
      </c>
      <c r="I96" s="72">
        <f t="shared" si="39"/>
        <v>5.0769230769230237E-5</v>
      </c>
      <c r="J96" s="79">
        <f t="shared" si="44"/>
        <v>4.3661538461538443E-3</v>
      </c>
      <c r="K96" s="208">
        <f t="shared" si="40"/>
        <v>4.3661538461538445</v>
      </c>
      <c r="L96" s="161">
        <f t="shared" si="41"/>
        <v>1</v>
      </c>
      <c r="M96" s="70">
        <f t="shared" si="34"/>
        <v>142.40145819093186</v>
      </c>
      <c r="N96" s="70">
        <f t="shared" si="42"/>
        <v>1.9138047337277913E-4</v>
      </c>
      <c r="O96" s="70">
        <f t="shared" si="43"/>
        <v>3.7696153846153857</v>
      </c>
      <c r="P96" s="70">
        <f t="shared" si="35"/>
        <v>5.1403846153846162</v>
      </c>
      <c r="Q96" s="70">
        <f t="shared" si="36"/>
        <v>2.6730000000000009</v>
      </c>
    </row>
    <row r="97" spans="1:17" x14ac:dyDescent="0.25">
      <c r="A97" s="70">
        <f t="shared" si="28"/>
        <v>13.2</v>
      </c>
      <c r="B97" s="73">
        <f t="shared" si="29"/>
        <v>11.042307692307691</v>
      </c>
      <c r="C97" s="71">
        <f t="shared" si="30"/>
        <v>0</v>
      </c>
      <c r="D97" s="69">
        <f t="shared" si="31"/>
        <v>847.9592220042573</v>
      </c>
      <c r="E97" s="69">
        <f t="shared" si="37"/>
        <v>187.96992481203006</v>
      </c>
      <c r="F97" s="71">
        <f t="shared" si="32"/>
        <v>1.65</v>
      </c>
      <c r="G97" s="69">
        <f t="shared" si="38"/>
        <v>1.65</v>
      </c>
      <c r="H97" s="71">
        <f t="shared" si="33"/>
        <v>1.65</v>
      </c>
      <c r="I97" s="72">
        <f t="shared" si="39"/>
        <v>5.0769230769230942E-5</v>
      </c>
      <c r="J97" s="79">
        <f t="shared" si="44"/>
        <v>4.4169230769230752E-3</v>
      </c>
      <c r="K97" s="208">
        <f t="shared" si="40"/>
        <v>4.4169230769230756</v>
      </c>
      <c r="L97" s="161">
        <f t="shared" si="41"/>
        <v>1</v>
      </c>
      <c r="M97" s="70">
        <f t="shared" si="34"/>
        <v>142.40145819093186</v>
      </c>
      <c r="N97" s="70">
        <f t="shared" si="42"/>
        <v>1.8074822485207164E-4</v>
      </c>
      <c r="O97" s="70">
        <f t="shared" si="43"/>
        <v>3.5601923076923079</v>
      </c>
      <c r="P97" s="70">
        <f t="shared" si="35"/>
        <v>4.8548076923076922</v>
      </c>
      <c r="Q97" s="70">
        <f t="shared" si="36"/>
        <v>2.5245000000000002</v>
      </c>
    </row>
    <row r="98" spans="1:17" x14ac:dyDescent="0.25">
      <c r="A98" s="70">
        <f t="shared" si="28"/>
        <v>13.2</v>
      </c>
      <c r="B98" s="73">
        <f t="shared" si="29"/>
        <v>11.169230769230769</v>
      </c>
      <c r="C98" s="71">
        <f t="shared" si="30"/>
        <v>0</v>
      </c>
      <c r="D98" s="69">
        <f t="shared" si="31"/>
        <v>845.95517342126141</v>
      </c>
      <c r="E98" s="69">
        <f t="shared" si="37"/>
        <v>187.96992481203006</v>
      </c>
      <c r="F98" s="71">
        <f t="shared" si="32"/>
        <v>1.65</v>
      </c>
      <c r="G98" s="69">
        <f t="shared" si="38"/>
        <v>1.65</v>
      </c>
      <c r="H98" s="71">
        <f t="shared" si="33"/>
        <v>1.65</v>
      </c>
      <c r="I98" s="72">
        <f t="shared" si="39"/>
        <v>5.0769230769230942E-5</v>
      </c>
      <c r="J98" s="79">
        <f t="shared" si="44"/>
        <v>4.4676923076923062E-3</v>
      </c>
      <c r="K98" s="208">
        <f t="shared" si="40"/>
        <v>4.4676923076923059</v>
      </c>
      <c r="L98" s="161">
        <f t="shared" si="41"/>
        <v>1</v>
      </c>
      <c r="M98" s="70">
        <f t="shared" si="34"/>
        <v>142.40145819093186</v>
      </c>
      <c r="N98" s="70">
        <f t="shared" si="42"/>
        <v>1.7011597633136152E-4</v>
      </c>
      <c r="O98" s="70">
        <f t="shared" si="43"/>
        <v>3.3507692307692305</v>
      </c>
      <c r="P98" s="70">
        <f t="shared" si="35"/>
        <v>4.5692307692307681</v>
      </c>
      <c r="Q98" s="70">
        <f t="shared" si="36"/>
        <v>2.3759999999999999</v>
      </c>
    </row>
    <row r="99" spans="1:17" x14ac:dyDescent="0.25">
      <c r="A99" s="70">
        <f t="shared" si="28"/>
        <v>13.2</v>
      </c>
      <c r="B99" s="73">
        <f t="shared" si="29"/>
        <v>11.296153846153844</v>
      </c>
      <c r="C99" s="71">
        <f t="shared" si="30"/>
        <v>0</v>
      </c>
      <c r="D99" s="69">
        <f t="shared" si="31"/>
        <v>843.9511248382654</v>
      </c>
      <c r="E99" s="69">
        <f t="shared" si="37"/>
        <v>187.96992481203006</v>
      </c>
      <c r="F99" s="71">
        <f t="shared" si="32"/>
        <v>1.65</v>
      </c>
      <c r="G99" s="69">
        <f t="shared" si="38"/>
        <v>1.65</v>
      </c>
      <c r="H99" s="71">
        <f t="shared" si="33"/>
        <v>1.65</v>
      </c>
      <c r="I99" s="72">
        <f t="shared" si="39"/>
        <v>5.0769230769230237E-5</v>
      </c>
      <c r="J99" s="79">
        <f t="shared" si="44"/>
        <v>4.5184615384615363E-3</v>
      </c>
      <c r="K99" s="208">
        <f t="shared" si="40"/>
        <v>4.5184615384615361</v>
      </c>
      <c r="L99" s="161">
        <f t="shared" si="41"/>
        <v>1</v>
      </c>
      <c r="M99" s="70">
        <f t="shared" si="34"/>
        <v>142.40145819093186</v>
      </c>
      <c r="N99" s="70">
        <f t="shared" si="42"/>
        <v>1.5948372781064932E-4</v>
      </c>
      <c r="O99" s="70">
        <f t="shared" si="43"/>
        <v>3.1413461538461558</v>
      </c>
      <c r="P99" s="70">
        <f t="shared" si="35"/>
        <v>4.2836538461538485</v>
      </c>
      <c r="Q99" s="70">
        <f t="shared" si="36"/>
        <v>2.2275000000000014</v>
      </c>
    </row>
    <row r="100" spans="1:17" x14ac:dyDescent="0.25">
      <c r="A100" s="70">
        <f t="shared" si="28"/>
        <v>13.2</v>
      </c>
      <c r="B100" s="73">
        <f t="shared" si="29"/>
        <v>11.423076923076923</v>
      </c>
      <c r="C100" s="71">
        <f t="shared" si="30"/>
        <v>0</v>
      </c>
      <c r="D100" s="69">
        <f t="shared" si="31"/>
        <v>841.94707625526939</v>
      </c>
      <c r="E100" s="69">
        <f t="shared" si="37"/>
        <v>187.96992481203006</v>
      </c>
      <c r="F100" s="71">
        <f t="shared" si="32"/>
        <v>1.65</v>
      </c>
      <c r="G100" s="69">
        <f t="shared" si="38"/>
        <v>1.65</v>
      </c>
      <c r="H100" s="71">
        <f t="shared" si="33"/>
        <v>1.65</v>
      </c>
      <c r="I100" s="72">
        <f t="shared" si="39"/>
        <v>5.076923076923166E-5</v>
      </c>
      <c r="J100" s="79">
        <f t="shared" si="44"/>
        <v>4.5692307692307681E-3</v>
      </c>
      <c r="K100" s="208">
        <f t="shared" si="40"/>
        <v>4.5692307692307681</v>
      </c>
      <c r="L100" s="161">
        <f t="shared" si="41"/>
        <v>1</v>
      </c>
      <c r="M100" s="70">
        <f t="shared" si="34"/>
        <v>142.40145819093186</v>
      </c>
      <c r="N100" s="70">
        <f t="shared" si="42"/>
        <v>1.4885147928994335E-4</v>
      </c>
      <c r="O100" s="70">
        <f t="shared" si="43"/>
        <v>2.9319230769230753</v>
      </c>
      <c r="P100" s="70">
        <f t="shared" si="35"/>
        <v>3.99807692307692</v>
      </c>
      <c r="Q100" s="70">
        <f t="shared" si="36"/>
        <v>2.0789999999999988</v>
      </c>
    </row>
    <row r="101" spans="1:17" x14ac:dyDescent="0.25">
      <c r="A101" s="70">
        <f t="shared" si="28"/>
        <v>13.2</v>
      </c>
      <c r="B101" s="73">
        <f t="shared" si="29"/>
        <v>11.549999999999999</v>
      </c>
      <c r="C101" s="71">
        <f t="shared" si="30"/>
        <v>0</v>
      </c>
      <c r="D101" s="69">
        <f t="shared" si="31"/>
        <v>839.9430276722735</v>
      </c>
      <c r="E101" s="69">
        <f t="shared" si="37"/>
        <v>187.96992481203006</v>
      </c>
      <c r="F101" s="71">
        <f t="shared" si="32"/>
        <v>1.65</v>
      </c>
      <c r="G101" s="69">
        <f t="shared" si="38"/>
        <v>1.65</v>
      </c>
      <c r="H101" s="71">
        <f t="shared" si="33"/>
        <v>1.65</v>
      </c>
      <c r="I101" s="72">
        <f t="shared" si="39"/>
        <v>5.0769230769230237E-5</v>
      </c>
      <c r="J101" s="79">
        <f t="shared" si="44"/>
        <v>4.6199999999999982E-3</v>
      </c>
      <c r="K101" s="208">
        <f t="shared" si="40"/>
        <v>4.6199999999999983</v>
      </c>
      <c r="L101" s="161">
        <f t="shared" si="41"/>
        <v>1</v>
      </c>
      <c r="M101" s="70">
        <f t="shared" si="34"/>
        <v>142.40145819093186</v>
      </c>
      <c r="N101" s="70">
        <f t="shared" si="42"/>
        <v>1.3821923076922935E-4</v>
      </c>
      <c r="O101" s="70">
        <f t="shared" si="43"/>
        <v>2.7225000000000006</v>
      </c>
      <c r="P101" s="70">
        <f t="shared" si="35"/>
        <v>3.7124999999999999</v>
      </c>
      <c r="Q101" s="70">
        <f t="shared" si="36"/>
        <v>1.9305000000000003</v>
      </c>
    </row>
    <row r="102" spans="1:17" x14ac:dyDescent="0.25">
      <c r="A102" s="70">
        <f t="shared" si="28"/>
        <v>13.2</v>
      </c>
      <c r="B102" s="73">
        <f t="shared" si="29"/>
        <v>11.676923076923076</v>
      </c>
      <c r="C102" s="71">
        <f t="shared" si="30"/>
        <v>0</v>
      </c>
      <c r="D102" s="69">
        <f t="shared" si="31"/>
        <v>837.93897908927761</v>
      </c>
      <c r="E102" s="69">
        <f t="shared" si="37"/>
        <v>187.96992481203006</v>
      </c>
      <c r="F102" s="71">
        <f t="shared" si="32"/>
        <v>1.65</v>
      </c>
      <c r="G102" s="69">
        <f t="shared" si="38"/>
        <v>1.65</v>
      </c>
      <c r="H102" s="71">
        <f t="shared" si="33"/>
        <v>1.65</v>
      </c>
      <c r="I102" s="72">
        <f t="shared" si="39"/>
        <v>5.0769230769230942E-5</v>
      </c>
      <c r="J102" s="79">
        <f t="shared" si="44"/>
        <v>4.6707692307692292E-3</v>
      </c>
      <c r="K102" s="208">
        <f t="shared" si="40"/>
        <v>4.6707692307692295</v>
      </c>
      <c r="L102" s="161">
        <f t="shared" si="41"/>
        <v>1</v>
      </c>
      <c r="M102" s="70">
        <f t="shared" si="34"/>
        <v>142.40145819093186</v>
      </c>
      <c r="N102" s="70">
        <f t="shared" si="42"/>
        <v>1.2758698224852113E-4</v>
      </c>
      <c r="O102" s="70">
        <f t="shared" si="43"/>
        <v>2.5130769230769228</v>
      </c>
      <c r="P102" s="70">
        <f t="shared" si="35"/>
        <v>3.4269230769230759</v>
      </c>
      <c r="Q102" s="70">
        <f t="shared" si="36"/>
        <v>1.7819999999999998</v>
      </c>
    </row>
    <row r="103" spans="1:17" x14ac:dyDescent="0.25">
      <c r="A103" s="70">
        <f t="shared" si="28"/>
        <v>13.2</v>
      </c>
      <c r="B103" s="73">
        <f t="shared" si="29"/>
        <v>11.803846153846154</v>
      </c>
      <c r="C103" s="71">
        <f t="shared" si="30"/>
        <v>0</v>
      </c>
      <c r="D103" s="69">
        <f t="shared" si="31"/>
        <v>835.9349305062816</v>
      </c>
      <c r="E103" s="69">
        <f t="shared" si="37"/>
        <v>187.96992481203006</v>
      </c>
      <c r="F103" s="71">
        <f t="shared" si="32"/>
        <v>1.65</v>
      </c>
      <c r="G103" s="69">
        <f t="shared" si="38"/>
        <v>1.65</v>
      </c>
      <c r="H103" s="71">
        <f t="shared" si="33"/>
        <v>1.65</v>
      </c>
      <c r="I103" s="72">
        <f t="shared" si="39"/>
        <v>5.0769230769230942E-5</v>
      </c>
      <c r="J103" s="79">
        <f t="shared" si="44"/>
        <v>4.7215384615384602E-3</v>
      </c>
      <c r="K103" s="208">
        <f t="shared" si="40"/>
        <v>4.7215384615384606</v>
      </c>
      <c r="L103" s="161">
        <f t="shared" si="41"/>
        <v>1</v>
      </c>
      <c r="M103" s="70">
        <f t="shared" si="34"/>
        <v>142.40145819093186</v>
      </c>
      <c r="N103" s="70">
        <f t="shared" si="42"/>
        <v>1.16954733727811E-4</v>
      </c>
      <c r="O103" s="70">
        <f t="shared" si="43"/>
        <v>2.3036538461538454</v>
      </c>
      <c r="P103" s="70">
        <f t="shared" si="35"/>
        <v>3.1413461538461522</v>
      </c>
      <c r="Q103" s="70">
        <f t="shared" si="36"/>
        <v>1.6334999999999993</v>
      </c>
    </row>
    <row r="104" spans="1:17" x14ac:dyDescent="0.25">
      <c r="A104" s="70">
        <f t="shared" si="28"/>
        <v>13.2</v>
      </c>
      <c r="B104" s="73">
        <f t="shared" si="29"/>
        <v>11.930769230769231</v>
      </c>
      <c r="C104" s="71">
        <f t="shared" si="30"/>
        <v>0</v>
      </c>
      <c r="D104" s="69">
        <f t="shared" si="31"/>
        <v>833.9308819232856</v>
      </c>
      <c r="E104" s="69">
        <f t="shared" si="37"/>
        <v>187.96992481203006</v>
      </c>
      <c r="F104" s="71">
        <f t="shared" si="32"/>
        <v>1.65</v>
      </c>
      <c r="G104" s="69">
        <f t="shared" si="38"/>
        <v>1.65</v>
      </c>
      <c r="H104" s="71">
        <f t="shared" si="33"/>
        <v>1.65</v>
      </c>
      <c r="I104" s="72">
        <f t="shared" si="39"/>
        <v>5.0769230769230942E-5</v>
      </c>
      <c r="J104" s="79">
        <f t="shared" si="44"/>
        <v>4.7723076923076911E-3</v>
      </c>
      <c r="K104" s="208">
        <f t="shared" si="40"/>
        <v>4.7723076923076908</v>
      </c>
      <c r="L104" s="161">
        <f t="shared" si="41"/>
        <v>1</v>
      </c>
      <c r="M104" s="70">
        <f t="shared" si="34"/>
        <v>142.40145819093186</v>
      </c>
      <c r="N104" s="70">
        <f t="shared" si="42"/>
        <v>1.0632248520710087E-4</v>
      </c>
      <c r="O104" s="70">
        <f t="shared" si="43"/>
        <v>2.0942307692307676</v>
      </c>
      <c r="P104" s="70">
        <f t="shared" si="35"/>
        <v>2.8557692307692282</v>
      </c>
      <c r="Q104" s="70">
        <f t="shared" si="36"/>
        <v>1.4849999999999988</v>
      </c>
    </row>
    <row r="105" spans="1:17" x14ac:dyDescent="0.25">
      <c r="A105" s="70">
        <f t="shared" si="28"/>
        <v>13.2</v>
      </c>
      <c r="B105" s="73">
        <f t="shared" si="29"/>
        <v>12.057692307692307</v>
      </c>
      <c r="C105" s="71">
        <f t="shared" si="30"/>
        <v>0</v>
      </c>
      <c r="D105" s="69">
        <f t="shared" si="31"/>
        <v>831.9268333402897</v>
      </c>
      <c r="E105" s="69">
        <f t="shared" si="37"/>
        <v>187.96992481203006</v>
      </c>
      <c r="F105" s="71">
        <f t="shared" si="32"/>
        <v>1.65</v>
      </c>
      <c r="G105" s="69">
        <f t="shared" si="38"/>
        <v>1.65</v>
      </c>
      <c r="H105" s="71">
        <f t="shared" si="33"/>
        <v>1.65</v>
      </c>
      <c r="I105" s="72">
        <f t="shared" si="39"/>
        <v>5.0769230769230237E-5</v>
      </c>
      <c r="J105" s="79">
        <f t="shared" si="44"/>
        <v>4.8230769230769212E-3</v>
      </c>
      <c r="K105" s="208">
        <f t="shared" si="40"/>
        <v>4.823076923076921</v>
      </c>
      <c r="L105" s="161">
        <f t="shared" si="41"/>
        <v>1</v>
      </c>
      <c r="M105" s="70">
        <f t="shared" si="34"/>
        <v>142.40145819093186</v>
      </c>
      <c r="N105" s="70">
        <f t="shared" si="42"/>
        <v>9.5690236686389563E-5</v>
      </c>
      <c r="O105" s="70">
        <f t="shared" si="43"/>
        <v>1.8848076923076929</v>
      </c>
      <c r="P105" s="70">
        <f t="shared" si="35"/>
        <v>2.5701923076923081</v>
      </c>
      <c r="Q105" s="70">
        <f t="shared" si="36"/>
        <v>1.3365000000000005</v>
      </c>
    </row>
    <row r="106" spans="1:17" x14ac:dyDescent="0.25">
      <c r="A106" s="70">
        <f t="shared" ref="A106:A114" si="45">VINMAX</f>
        <v>13.2</v>
      </c>
      <c r="B106" s="73">
        <f t="shared" ref="B106:B114" si="46">VINMAX*((ROW()-10)/104)</f>
        <v>12.184615384615384</v>
      </c>
      <c r="C106" s="71">
        <f t="shared" ref="C106:C110" si="47">IF(B106&gt;=$H$2,IF($D$2="CC", $G$2, B106/$G$2), 0)</f>
        <v>0</v>
      </c>
      <c r="D106" s="69">
        <f t="shared" ref="D106:D110" si="48">$B$2-B106*$J$2/($I$2*0.001)</f>
        <v>829.92278475729381</v>
      </c>
      <c r="E106" s="69">
        <f t="shared" si="37"/>
        <v>187.96992481203006</v>
      </c>
      <c r="F106" s="71">
        <f t="shared" ref="F106:F110" si="49">I_Cout_ss+C106</f>
        <v>1.65</v>
      </c>
      <c r="G106" s="69">
        <f t="shared" si="38"/>
        <v>1.65</v>
      </c>
      <c r="H106" s="71">
        <f t="shared" ref="H106:H110" si="50">G106-C106</f>
        <v>1.65</v>
      </c>
      <c r="I106" s="72">
        <f t="shared" si="39"/>
        <v>5.0769230769230942E-5</v>
      </c>
      <c r="J106" s="79">
        <f t="shared" si="44"/>
        <v>4.8738461538461522E-3</v>
      </c>
      <c r="K106" s="208">
        <f t="shared" si="40"/>
        <v>4.8738461538461522</v>
      </c>
      <c r="L106" s="161">
        <f t="shared" si="41"/>
        <v>1</v>
      </c>
      <c r="M106" s="70">
        <f t="shared" ref="M106:M114" si="51">1/COUTMAX*(E106/2-C106)*1000</f>
        <v>142.40145819093186</v>
      </c>
      <c r="N106" s="70">
        <f t="shared" si="42"/>
        <v>8.5057988165680761E-5</v>
      </c>
      <c r="O106" s="70">
        <f t="shared" si="43"/>
        <v>1.6753846153846153</v>
      </c>
      <c r="P106" s="70">
        <f t="shared" ref="P106:P114" si="52">(A106-B106)*(I_Cout_ss*$Q$2+C106)</f>
        <v>2.284615384615384</v>
      </c>
      <c r="Q106" s="70">
        <f t="shared" ref="Q106:Q114" si="53">(A106-B106)*(I_Cout_ss*$R$2+C106)</f>
        <v>1.1879999999999999</v>
      </c>
    </row>
    <row r="107" spans="1:17" x14ac:dyDescent="0.25">
      <c r="A107" s="70">
        <f t="shared" si="45"/>
        <v>13.2</v>
      </c>
      <c r="B107" s="73">
        <f t="shared" si="46"/>
        <v>12.311538461538461</v>
      </c>
      <c r="C107" s="71">
        <f t="shared" si="47"/>
        <v>0</v>
      </c>
      <c r="D107" s="69">
        <f t="shared" si="48"/>
        <v>827.91873617429781</v>
      </c>
      <c r="E107" s="69">
        <f t="shared" si="37"/>
        <v>187.96992481203006</v>
      </c>
      <c r="F107" s="71">
        <f t="shared" si="49"/>
        <v>1.65</v>
      </c>
      <c r="G107" s="69">
        <f t="shared" si="38"/>
        <v>1.65</v>
      </c>
      <c r="H107" s="71">
        <f t="shared" si="50"/>
        <v>1.65</v>
      </c>
      <c r="I107" s="72">
        <f t="shared" ref="I107:I110" si="54">(COUTMAX/1000000)*(B107-B106)/H107</f>
        <v>5.0769230769230942E-5</v>
      </c>
      <c r="J107" s="79">
        <f t="shared" si="44"/>
        <v>4.9246153846153832E-3</v>
      </c>
      <c r="K107" s="208">
        <f t="shared" si="40"/>
        <v>4.9246153846153833</v>
      </c>
      <c r="L107" s="161">
        <f t="shared" si="41"/>
        <v>1</v>
      </c>
      <c r="M107" s="70">
        <f t="shared" si="51"/>
        <v>142.40145819093186</v>
      </c>
      <c r="N107" s="70">
        <f t="shared" si="42"/>
        <v>7.442573964497063E-5</v>
      </c>
      <c r="O107" s="70">
        <f t="shared" si="43"/>
        <v>1.4659615384615376</v>
      </c>
      <c r="P107" s="70">
        <f t="shared" si="52"/>
        <v>1.99903846153846</v>
      </c>
      <c r="Q107" s="70">
        <f t="shared" si="53"/>
        <v>1.0394999999999994</v>
      </c>
    </row>
    <row r="108" spans="1:17" x14ac:dyDescent="0.25">
      <c r="A108" s="70">
        <f t="shared" si="45"/>
        <v>13.2</v>
      </c>
      <c r="B108" s="73">
        <f t="shared" si="46"/>
        <v>12.438461538461537</v>
      </c>
      <c r="C108" s="71">
        <f t="shared" si="47"/>
        <v>0</v>
      </c>
      <c r="D108" s="69">
        <f t="shared" si="48"/>
        <v>825.91468759130191</v>
      </c>
      <c r="E108" s="69">
        <f t="shared" si="37"/>
        <v>187.96992481203006</v>
      </c>
      <c r="F108" s="71">
        <f t="shared" si="49"/>
        <v>1.65</v>
      </c>
      <c r="G108" s="69">
        <f t="shared" si="38"/>
        <v>1.65</v>
      </c>
      <c r="H108" s="71">
        <f t="shared" si="50"/>
        <v>1.65</v>
      </c>
      <c r="I108" s="72">
        <f t="shared" si="54"/>
        <v>5.0769230769230237E-5</v>
      </c>
      <c r="J108" s="79">
        <f t="shared" si="44"/>
        <v>4.9753846153846133E-3</v>
      </c>
      <c r="K108" s="208">
        <f t="shared" si="40"/>
        <v>4.9753846153846135</v>
      </c>
      <c r="L108" s="161">
        <f t="shared" si="41"/>
        <v>1</v>
      </c>
      <c r="M108" s="70">
        <f t="shared" si="51"/>
        <v>142.40145819093186</v>
      </c>
      <c r="N108" s="70">
        <f t="shared" si="42"/>
        <v>6.3793491124259754E-5</v>
      </c>
      <c r="O108" s="70">
        <f t="shared" si="43"/>
        <v>1.2565384615384629</v>
      </c>
      <c r="P108" s="70">
        <f t="shared" si="52"/>
        <v>1.7134615384615399</v>
      </c>
      <c r="Q108" s="70">
        <f t="shared" si="53"/>
        <v>0.8910000000000009</v>
      </c>
    </row>
    <row r="109" spans="1:17" x14ac:dyDescent="0.25">
      <c r="A109" s="70">
        <f t="shared" si="45"/>
        <v>13.2</v>
      </c>
      <c r="B109" s="73">
        <f t="shared" si="46"/>
        <v>12.565384615384614</v>
      </c>
      <c r="C109" s="71">
        <f t="shared" si="47"/>
        <v>0</v>
      </c>
      <c r="D109" s="69">
        <f t="shared" si="48"/>
        <v>823.91063900830591</v>
      </c>
      <c r="E109" s="69">
        <f t="shared" si="37"/>
        <v>187.96992481203006</v>
      </c>
      <c r="F109" s="71">
        <f t="shared" si="49"/>
        <v>1.65</v>
      </c>
      <c r="G109" s="69">
        <f t="shared" si="38"/>
        <v>1.65</v>
      </c>
      <c r="H109" s="71">
        <f t="shared" si="50"/>
        <v>1.65</v>
      </c>
      <c r="I109" s="72">
        <f t="shared" si="54"/>
        <v>5.0769230769230942E-5</v>
      </c>
      <c r="J109" s="79">
        <f t="shared" si="44"/>
        <v>5.0261538461538443E-3</v>
      </c>
      <c r="K109" s="208">
        <f t="shared" si="40"/>
        <v>5.0261538461538446</v>
      </c>
      <c r="L109" s="161">
        <f t="shared" si="41"/>
        <v>1</v>
      </c>
      <c r="M109" s="70">
        <f t="shared" si="51"/>
        <v>142.40145819093186</v>
      </c>
      <c r="N109" s="70">
        <f t="shared" si="42"/>
        <v>5.3161242603550511E-5</v>
      </c>
      <c r="O109" s="70">
        <f t="shared" si="43"/>
        <v>1.0471153846153853</v>
      </c>
      <c r="P109" s="70">
        <f t="shared" si="52"/>
        <v>1.4278846153846161</v>
      </c>
      <c r="Q109" s="70">
        <f t="shared" si="53"/>
        <v>0.74250000000000038</v>
      </c>
    </row>
    <row r="110" spans="1:17" x14ac:dyDescent="0.25">
      <c r="A110" s="70">
        <f t="shared" si="45"/>
        <v>13.2</v>
      </c>
      <c r="B110" s="73">
        <f t="shared" si="46"/>
        <v>12.692307692307692</v>
      </c>
      <c r="C110" s="71">
        <f t="shared" si="47"/>
        <v>0</v>
      </c>
      <c r="D110" s="69">
        <f t="shared" si="48"/>
        <v>821.90659042531001</v>
      </c>
      <c r="E110" s="69">
        <f t="shared" si="37"/>
        <v>187.96992481203006</v>
      </c>
      <c r="F110" s="71">
        <f t="shared" si="49"/>
        <v>1.65</v>
      </c>
      <c r="G110" s="69">
        <f t="shared" si="38"/>
        <v>1.65</v>
      </c>
      <c r="H110" s="71">
        <f t="shared" si="50"/>
        <v>1.65</v>
      </c>
      <c r="I110" s="72">
        <f t="shared" si="54"/>
        <v>5.0769230769230942E-5</v>
      </c>
      <c r="J110" s="79">
        <f t="shared" si="44"/>
        <v>5.0769230769230752E-3</v>
      </c>
      <c r="K110" s="208">
        <f t="shared" si="40"/>
        <v>5.0769230769230749</v>
      </c>
      <c r="L110" s="161">
        <f t="shared" si="41"/>
        <v>1</v>
      </c>
      <c r="M110" s="70">
        <f t="shared" si="51"/>
        <v>142.40145819093186</v>
      </c>
      <c r="N110" s="70">
        <f t="shared" si="42"/>
        <v>4.252899408284038E-5</v>
      </c>
      <c r="O110" s="70">
        <f t="shared" si="43"/>
        <v>0.83769230769230763</v>
      </c>
      <c r="P110" s="70">
        <f t="shared" si="52"/>
        <v>1.142307692307692</v>
      </c>
      <c r="Q110" s="70">
        <f t="shared" si="53"/>
        <v>0.59399999999999997</v>
      </c>
    </row>
    <row r="111" spans="1:17" x14ac:dyDescent="0.25">
      <c r="A111" s="70">
        <f t="shared" si="45"/>
        <v>13.2</v>
      </c>
      <c r="B111" s="73">
        <f t="shared" si="46"/>
        <v>12.819230769230769</v>
      </c>
      <c r="C111" s="71">
        <f>IF(B111&gt;=$H$2,IF($D$2="CC", $G$2, B111/$G$2), 0)</f>
        <v>0</v>
      </c>
      <c r="D111" s="69">
        <f>$B$2-B111*$J$2/($I$2*0.001)</f>
        <v>819.90254184231401</v>
      </c>
      <c r="E111" s="69">
        <f>$C$2</f>
        <v>187.96992481203006</v>
      </c>
      <c r="F111" s="71">
        <f>I_Cout_ss+C111</f>
        <v>1.65</v>
      </c>
      <c r="G111" s="69">
        <f>IF($F$2="YES", F111, E111)</f>
        <v>1.65</v>
      </c>
      <c r="H111" s="71">
        <f>G111-C111</f>
        <v>1.65</v>
      </c>
      <c r="I111" s="72">
        <f>(COUTMAX/1000000)*(B111-B110)/H111</f>
        <v>5.0769230769230942E-5</v>
      </c>
      <c r="J111" s="79">
        <f>J110+I111</f>
        <v>5.1276923076923062E-3</v>
      </c>
      <c r="K111" s="208">
        <f t="shared" si="40"/>
        <v>5.127692307692306</v>
      </c>
      <c r="L111" s="161">
        <f>H111/G111</f>
        <v>1</v>
      </c>
      <c r="M111" s="70">
        <f t="shared" si="51"/>
        <v>142.40145819093186</v>
      </c>
      <c r="N111" s="70">
        <f>I111*G111*(A111-B111)</f>
        <v>3.189674556213025E-5</v>
      </c>
      <c r="O111" s="70">
        <f t="shared" si="43"/>
        <v>0.62826923076922991</v>
      </c>
      <c r="P111" s="70">
        <f t="shared" si="52"/>
        <v>0.85673076923076796</v>
      </c>
      <c r="Q111" s="70">
        <f t="shared" si="53"/>
        <v>0.44549999999999945</v>
      </c>
    </row>
    <row r="112" spans="1:17" x14ac:dyDescent="0.25">
      <c r="A112" s="70">
        <f t="shared" si="45"/>
        <v>13.2</v>
      </c>
      <c r="B112" s="73">
        <f t="shared" si="46"/>
        <v>12.946153846153845</v>
      </c>
      <c r="C112" s="71">
        <f>IF(B112&gt;=$H$2,IF($D$2="CC", $G$2, B112/$G$2), 0)</f>
        <v>0</v>
      </c>
      <c r="D112" s="69">
        <f t="shared" ref="D112:D113" si="55">$B$2-B112*$J$2/($I$2*0.001)</f>
        <v>817.89849325931812</v>
      </c>
      <c r="E112" s="69">
        <f>$C$2</f>
        <v>187.96992481203006</v>
      </c>
      <c r="F112" s="71">
        <f t="shared" ref="F112:F113" si="56">I_Cout_ss+C112</f>
        <v>1.65</v>
      </c>
      <c r="G112" s="69">
        <f t="shared" ref="G112:G113" si="57">IF($F$2="YES", F112, E112)</f>
        <v>1.65</v>
      </c>
      <c r="H112" s="71">
        <f t="shared" ref="H112:H113" si="58">G112-C112</f>
        <v>1.65</v>
      </c>
      <c r="I112" s="72">
        <f t="shared" ref="I112:I113" si="59">(COUTMAX/1000000)*(B112-B111)/H112</f>
        <v>5.0769230769230237E-5</v>
      </c>
      <c r="J112" s="79">
        <f t="shared" ref="J112:J113" si="60">J111+I112</f>
        <v>5.1784615384615363E-3</v>
      </c>
      <c r="K112" s="208">
        <f t="shared" si="40"/>
        <v>5.1784615384615362</v>
      </c>
      <c r="L112" s="161">
        <f t="shared" ref="L112:L113" si="61">H112/G112</f>
        <v>1</v>
      </c>
      <c r="M112" s="70">
        <f t="shared" si="51"/>
        <v>142.40145819093186</v>
      </c>
      <c r="N112" s="70">
        <f t="shared" ref="N112:N113" si="62">I112*G112*(A112-B112)</f>
        <v>2.1264497041419967E-5</v>
      </c>
      <c r="O112" s="70">
        <f t="shared" si="43"/>
        <v>0.41884615384615526</v>
      </c>
      <c r="P112" s="70">
        <f t="shared" si="52"/>
        <v>0.57115384615384801</v>
      </c>
      <c r="Q112" s="70">
        <f t="shared" si="53"/>
        <v>0.29700000000000099</v>
      </c>
    </row>
    <row r="113" spans="1:17" x14ac:dyDescent="0.25">
      <c r="A113" s="70">
        <f t="shared" si="45"/>
        <v>13.2</v>
      </c>
      <c r="B113" s="73">
        <f t="shared" si="46"/>
        <v>13.073076923076924</v>
      </c>
      <c r="C113" s="71">
        <f>IF(B113&gt;=$H$2,IF($D$2="CC", $G$2, B113/$G$2), 0)</f>
        <v>0</v>
      </c>
      <c r="D113" s="69">
        <f t="shared" si="55"/>
        <v>815.89444467632211</v>
      </c>
      <c r="E113" s="69">
        <f>$C$2</f>
        <v>187.96992481203006</v>
      </c>
      <c r="F113" s="71">
        <f t="shared" si="56"/>
        <v>1.65</v>
      </c>
      <c r="G113" s="69">
        <f t="shared" si="57"/>
        <v>1.65</v>
      </c>
      <c r="H113" s="71">
        <f t="shared" si="58"/>
        <v>1.65</v>
      </c>
      <c r="I113" s="72">
        <f t="shared" si="59"/>
        <v>5.076923076923166E-5</v>
      </c>
      <c r="J113" s="79">
        <f t="shared" si="60"/>
        <v>5.2292307692307681E-3</v>
      </c>
      <c r="K113" s="208">
        <f t="shared" si="40"/>
        <v>5.2292307692307682</v>
      </c>
      <c r="L113" s="161">
        <f t="shared" si="61"/>
        <v>1</v>
      </c>
      <c r="M113" s="70">
        <f t="shared" si="51"/>
        <v>142.40145819093186</v>
      </c>
      <c r="N113" s="70">
        <f t="shared" si="62"/>
        <v>1.0632248520710132E-5</v>
      </c>
      <c r="O113" s="70">
        <f t="shared" si="43"/>
        <v>0.20942307692307471</v>
      </c>
      <c r="P113" s="70">
        <f t="shared" si="52"/>
        <v>0.28557692307692001</v>
      </c>
      <c r="Q113" s="70">
        <f t="shared" si="53"/>
        <v>0.14849999999999841</v>
      </c>
    </row>
    <row r="114" spans="1:17" x14ac:dyDescent="0.25">
      <c r="A114" s="70">
        <f t="shared" si="45"/>
        <v>13.2</v>
      </c>
      <c r="B114" s="73">
        <f t="shared" si="46"/>
        <v>13.2</v>
      </c>
      <c r="C114" s="71">
        <f>IF(B114&gt;=$H$2,IF($D$2="CC", $G$2, B114/$G$2), 0)</f>
        <v>0</v>
      </c>
      <c r="D114" s="69">
        <f t="shared" ref="D114" si="63">$B$2-B114*$J$2/($I$2*0.001)</f>
        <v>813.8903960933261</v>
      </c>
      <c r="E114" s="69">
        <f>$C$2</f>
        <v>187.96992481203006</v>
      </c>
      <c r="F114" s="71">
        <f t="shared" ref="F114" si="64">I_Cout_ss+C114</f>
        <v>1.65</v>
      </c>
      <c r="G114" s="69">
        <f t="shared" ref="G114" si="65">IF($F$2="YES", F114, E114)</f>
        <v>1.65</v>
      </c>
      <c r="H114" s="71">
        <f t="shared" ref="H114" si="66">G114-C114</f>
        <v>1.65</v>
      </c>
      <c r="I114" s="72">
        <f t="shared" ref="I114" si="67">(COUTMAX/1000000)*(B114-B113)/H114</f>
        <v>5.0769230769230237E-5</v>
      </c>
      <c r="J114" s="79">
        <f t="shared" ref="J114" si="68">J113+I114</f>
        <v>5.2799999999999982E-3</v>
      </c>
      <c r="K114" s="208">
        <f t="shared" si="40"/>
        <v>5.2799999999999985</v>
      </c>
      <c r="L114" s="161">
        <f t="shared" ref="L114" si="69">H114/G114</f>
        <v>1</v>
      </c>
      <c r="M114" s="70">
        <f t="shared" si="51"/>
        <v>142.40145819093186</v>
      </c>
      <c r="N114" s="70">
        <f t="shared" ref="N114" si="70">I114*G114*(A114-B114)</f>
        <v>0</v>
      </c>
      <c r="O114" s="70">
        <f t="shared" si="43"/>
        <v>0</v>
      </c>
      <c r="P114" s="70">
        <f t="shared" si="52"/>
        <v>0</v>
      </c>
      <c r="Q114" s="70">
        <f t="shared" si="53"/>
        <v>0</v>
      </c>
    </row>
    <row r="115" spans="1:17" x14ac:dyDescent="0.25">
      <c r="K115" s="209">
        <f>K114+0.5</f>
        <v>5.7799999999999985</v>
      </c>
      <c r="N115" s="70">
        <v>0</v>
      </c>
      <c r="O115" s="70">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zoomScale="85" zoomScaleNormal="85" workbookViewId="0">
      <selection activeCell="H28" sqref="H28"/>
    </sheetView>
  </sheetViews>
  <sheetFormatPr defaultRowHeight="13.2" x14ac:dyDescent="0.25"/>
  <cols>
    <col min="1" max="1" width="19.6640625" customWidth="1"/>
    <col min="2" max="2" width="17.33203125" customWidth="1"/>
    <col min="3" max="3" width="13.33203125" customWidth="1"/>
    <col min="4" max="4" width="16" customWidth="1"/>
    <col min="5" max="6" width="17.6640625" customWidth="1"/>
    <col min="7" max="7" width="31.5546875" customWidth="1"/>
    <col min="8" max="8" width="20" customWidth="1"/>
    <col min="13" max="13" width="12.6640625" customWidth="1"/>
    <col min="15" max="15" width="17.33203125" customWidth="1"/>
    <col min="17" max="17" width="13.33203125" customWidth="1"/>
    <col min="18" max="18" width="16.6640625" customWidth="1"/>
    <col min="20" max="20" width="13" customWidth="1"/>
    <col min="21" max="21" width="10.33203125" customWidth="1"/>
  </cols>
  <sheetData>
    <row r="1" spans="1:22" x14ac:dyDescent="0.25">
      <c r="A1" s="249"/>
      <c r="B1" s="249"/>
      <c r="C1" s="251"/>
      <c r="D1" s="251"/>
      <c r="E1" s="251"/>
      <c r="F1" s="251"/>
      <c r="G1" s="251"/>
      <c r="H1" s="249"/>
      <c r="I1" s="249"/>
      <c r="J1" s="249"/>
      <c r="K1" s="249"/>
      <c r="L1" s="249"/>
      <c r="M1" s="249"/>
      <c r="N1" s="249"/>
      <c r="O1" s="249"/>
      <c r="P1" s="249"/>
      <c r="Q1" s="249"/>
      <c r="R1" s="249"/>
      <c r="S1" s="249"/>
      <c r="T1" s="249"/>
      <c r="U1" s="249"/>
      <c r="V1" s="249"/>
    </row>
    <row r="2" spans="1:22" x14ac:dyDescent="0.25">
      <c r="A2" s="256"/>
      <c r="B2" s="271"/>
      <c r="C2" s="368" t="s">
        <v>186</v>
      </c>
      <c r="D2" s="369"/>
      <c r="E2" s="369"/>
      <c r="F2" s="259"/>
      <c r="G2" s="259"/>
      <c r="H2" s="253" t="s">
        <v>207</v>
      </c>
      <c r="I2" s="251"/>
      <c r="J2" s="251"/>
      <c r="K2" s="251"/>
      <c r="L2" s="251"/>
      <c r="M2" s="251"/>
      <c r="N2" s="251"/>
      <c r="O2" s="257"/>
      <c r="P2" s="257"/>
      <c r="Q2" s="257"/>
      <c r="R2" s="257"/>
      <c r="S2" s="257"/>
      <c r="T2" s="257"/>
      <c r="U2" s="251"/>
      <c r="V2" s="251"/>
    </row>
    <row r="3" spans="1:22" x14ac:dyDescent="0.25">
      <c r="A3" s="256"/>
      <c r="B3" s="258" t="s">
        <v>246</v>
      </c>
      <c r="C3" s="258" t="s">
        <v>187</v>
      </c>
      <c r="D3" s="258" t="s">
        <v>188</v>
      </c>
      <c r="E3" s="258" t="s">
        <v>189</v>
      </c>
      <c r="F3" s="272" t="s">
        <v>401</v>
      </c>
      <c r="G3" s="262"/>
      <c r="H3" s="253" t="s">
        <v>205</v>
      </c>
      <c r="I3" s="259"/>
      <c r="J3" s="259"/>
      <c r="K3" s="259"/>
      <c r="L3" s="259"/>
      <c r="M3" s="259"/>
      <c r="N3" s="251"/>
      <c r="O3" s="259"/>
      <c r="P3" s="259"/>
      <c r="Q3" s="260"/>
      <c r="R3" s="260"/>
      <c r="S3" s="260"/>
      <c r="T3" s="260"/>
      <c r="U3" s="251"/>
      <c r="V3" s="251"/>
    </row>
    <row r="4" spans="1:22" ht="21.6" customHeight="1" x14ac:dyDescent="0.25">
      <c r="A4" s="258" t="s">
        <v>190</v>
      </c>
      <c r="B4" s="256">
        <f>'Design Calculator'!AN57</f>
        <v>50</v>
      </c>
      <c r="C4" s="261">
        <f>'Design Calculator'!$AN$58</f>
        <v>16</v>
      </c>
      <c r="D4" s="261">
        <f>'Design Calculator'!$AN$59</f>
        <v>9</v>
      </c>
      <c r="E4" s="261">
        <f>IF('Design Calculator'!$AN$60 = "NA", F4, 'Design Calculator'!$AN$60)</f>
        <v>4</v>
      </c>
      <c r="F4" s="261">
        <f>'Design Calculator'!AN61</f>
        <v>4</v>
      </c>
      <c r="G4" s="265"/>
      <c r="H4" s="253" t="s">
        <v>206</v>
      </c>
      <c r="I4" s="259"/>
      <c r="J4" s="259"/>
      <c r="K4" s="259"/>
      <c r="L4" s="260"/>
      <c r="M4" s="260"/>
      <c r="N4" s="251"/>
      <c r="O4" s="259"/>
      <c r="P4" s="259"/>
      <c r="Q4" s="260"/>
      <c r="R4" s="260"/>
      <c r="S4" s="260"/>
      <c r="T4" s="260"/>
      <c r="U4" s="251"/>
      <c r="V4" s="251"/>
    </row>
    <row r="5" spans="1:22" x14ac:dyDescent="0.25">
      <c r="A5" s="251"/>
      <c r="B5" s="249"/>
      <c r="C5" s="259"/>
      <c r="D5" s="260"/>
      <c r="E5" s="260"/>
      <c r="F5" s="260"/>
      <c r="G5" s="260"/>
      <c r="H5" s="251"/>
      <c r="I5" s="259"/>
      <c r="J5" s="259"/>
      <c r="K5" s="259"/>
      <c r="L5" s="260"/>
      <c r="M5" s="260"/>
      <c r="N5" s="370"/>
      <c r="O5" s="370"/>
      <c r="P5" s="370"/>
      <c r="Q5" s="260"/>
      <c r="R5" s="371"/>
      <c r="S5" s="372"/>
      <c r="T5" s="372"/>
      <c r="U5" s="251"/>
      <c r="V5" s="251"/>
    </row>
    <row r="6" spans="1:22" x14ac:dyDescent="0.25">
      <c r="A6" s="251"/>
      <c r="B6" s="249"/>
      <c r="C6" s="259"/>
      <c r="D6" s="260"/>
      <c r="E6" s="260"/>
      <c r="F6" s="260"/>
      <c r="G6" s="260"/>
      <c r="H6" s="251"/>
      <c r="I6" s="259"/>
      <c r="J6" s="259"/>
      <c r="K6" s="259"/>
      <c r="L6" s="260"/>
      <c r="M6" s="260"/>
      <c r="N6" s="251"/>
      <c r="O6" s="262"/>
      <c r="P6" s="251"/>
      <c r="Q6" s="251"/>
      <c r="R6" s="251"/>
      <c r="S6" s="251"/>
      <c r="T6" s="251"/>
      <c r="U6" s="251"/>
      <c r="V6" s="251"/>
    </row>
    <row r="7" spans="1:22" ht="14.4" x14ac:dyDescent="0.3">
      <c r="A7" s="251"/>
      <c r="B7" s="263" t="s">
        <v>396</v>
      </c>
      <c r="C7" s="249"/>
      <c r="D7" s="249"/>
      <c r="E7" s="249"/>
      <c r="F7" s="249"/>
      <c r="G7" s="270" t="s">
        <v>383</v>
      </c>
      <c r="H7" s="251"/>
      <c r="I7" s="249"/>
      <c r="J7" s="269"/>
      <c r="K7" s="260"/>
      <c r="L7" s="251"/>
      <c r="M7" s="251"/>
      <c r="N7" s="262"/>
      <c r="O7" s="262"/>
      <c r="P7" s="262"/>
      <c r="Q7" s="251"/>
      <c r="R7" s="251"/>
      <c r="S7" s="251"/>
      <c r="T7" s="264"/>
      <c r="U7" s="259"/>
      <c r="V7" s="251"/>
    </row>
    <row r="8" spans="1:22" ht="14.4" x14ac:dyDescent="0.3">
      <c r="A8" s="251"/>
      <c r="B8" s="253" t="s">
        <v>191</v>
      </c>
      <c r="C8" s="249">
        <f>IF('Design Calculator'!F72="No", 'Design Calculator'!$F$78,'Design Calculator'!F91)</f>
        <v>1.888888888888889E-3</v>
      </c>
      <c r="D8" s="253" t="s">
        <v>8</v>
      </c>
      <c r="E8" s="249"/>
      <c r="F8" s="249"/>
      <c r="G8" s="253" t="s">
        <v>191</v>
      </c>
      <c r="H8" s="249">
        <f>Equations!F70</f>
        <v>2.6146153846153846</v>
      </c>
      <c r="I8" s="249"/>
      <c r="J8" s="268"/>
      <c r="K8" s="260"/>
      <c r="L8" s="251"/>
      <c r="M8" s="251"/>
      <c r="N8" s="262"/>
      <c r="O8" s="251"/>
      <c r="P8" s="264"/>
      <c r="Q8" s="251"/>
      <c r="R8" s="251"/>
      <c r="S8" s="251"/>
      <c r="T8" s="264"/>
      <c r="U8" s="259"/>
      <c r="V8" s="251"/>
    </row>
    <row r="9" spans="1:22" ht="14.4" x14ac:dyDescent="0.3">
      <c r="A9" s="251"/>
      <c r="B9" s="253" t="s">
        <v>192</v>
      </c>
      <c r="C9" s="249">
        <f>VINMAX</f>
        <v>13.2</v>
      </c>
      <c r="D9" s="249" t="s">
        <v>92</v>
      </c>
      <c r="E9" s="249"/>
      <c r="F9" s="249"/>
      <c r="G9" s="253" t="s">
        <v>192</v>
      </c>
      <c r="H9" s="249">
        <f>VINMAX</f>
        <v>13.2</v>
      </c>
      <c r="I9" s="249"/>
      <c r="J9" s="249"/>
      <c r="K9" s="260"/>
      <c r="L9" s="251"/>
      <c r="M9" s="251"/>
      <c r="N9" s="262"/>
      <c r="O9" s="251"/>
      <c r="P9" s="264"/>
      <c r="Q9" s="251"/>
      <c r="R9" s="251"/>
      <c r="S9" s="251"/>
      <c r="T9" s="264"/>
      <c r="U9" s="251"/>
      <c r="V9" s="251"/>
    </row>
    <row r="10" spans="1:22" ht="14.4" x14ac:dyDescent="0.3">
      <c r="A10" s="251"/>
      <c r="B10" s="253" t="s">
        <v>193</v>
      </c>
      <c r="C10" s="249">
        <f>IF(C8&lt;10, IF(C8&lt;1, 0.1, 1), IF(C8&lt;100, 10, 100))</f>
        <v>0.1</v>
      </c>
      <c r="D10" s="253" t="s">
        <v>8</v>
      </c>
      <c r="E10" s="249"/>
      <c r="F10" s="249"/>
      <c r="G10" s="253" t="s">
        <v>193</v>
      </c>
      <c r="H10" s="249">
        <f>IF(H8&lt;10, IF(H8&lt;1, 0.1, 1), IF(H8&lt;100, 10, 100))</f>
        <v>1</v>
      </c>
      <c r="I10" s="249"/>
      <c r="J10" s="249"/>
      <c r="K10" s="260"/>
      <c r="L10" s="251"/>
      <c r="M10" s="251"/>
      <c r="N10" s="262"/>
      <c r="O10" s="251"/>
      <c r="P10" s="264"/>
      <c r="Q10" s="251"/>
      <c r="R10" s="251"/>
      <c r="S10" s="251"/>
      <c r="T10" s="264"/>
      <c r="U10" s="251"/>
      <c r="V10" s="251"/>
    </row>
    <row r="11" spans="1:22" ht="14.4" x14ac:dyDescent="0.3">
      <c r="A11" s="251"/>
      <c r="B11" s="253" t="s">
        <v>478</v>
      </c>
      <c r="C11" s="249">
        <f>IF('Design Calculator'!F60="NA", MIN(SOA!C10,1),SOA!C10)</f>
        <v>0.1</v>
      </c>
      <c r="D11" s="253"/>
      <c r="E11" s="249"/>
      <c r="F11" s="249"/>
      <c r="G11" s="253" t="s">
        <v>478</v>
      </c>
      <c r="H11" s="249">
        <f>IF('Design Calculator'!F60="NA", MIN(SOA!H10,1),SOA!H10)</f>
        <v>1</v>
      </c>
      <c r="I11" s="249"/>
      <c r="J11" s="249"/>
      <c r="K11" s="260"/>
      <c r="L11" s="251"/>
      <c r="M11" s="251"/>
      <c r="N11" s="251"/>
      <c r="O11" s="251"/>
      <c r="P11" s="264"/>
      <c r="Q11" s="251"/>
      <c r="R11" s="251"/>
      <c r="S11" s="251"/>
      <c r="T11" s="251"/>
      <c r="U11" s="251"/>
      <c r="V11" s="251"/>
    </row>
    <row r="12" spans="1:22" x14ac:dyDescent="0.25">
      <c r="A12" s="251"/>
      <c r="B12" s="253" t="s">
        <v>194</v>
      </c>
      <c r="C12" s="249">
        <f>C10*10</f>
        <v>1</v>
      </c>
      <c r="D12" s="253" t="s">
        <v>8</v>
      </c>
      <c r="E12" s="249"/>
      <c r="F12" s="249"/>
      <c r="G12" s="253" t="s">
        <v>479</v>
      </c>
      <c r="H12" s="249">
        <f>H10*10</f>
        <v>10</v>
      </c>
      <c r="I12" s="249"/>
      <c r="J12" s="249"/>
      <c r="K12" s="260"/>
      <c r="L12" s="251"/>
      <c r="M12" s="251"/>
      <c r="N12" s="251"/>
      <c r="O12" s="251"/>
      <c r="P12" s="251"/>
      <c r="Q12" s="251"/>
      <c r="R12" s="251"/>
      <c r="S12" s="251"/>
      <c r="T12" s="251"/>
      <c r="U12" s="251"/>
      <c r="V12" s="251"/>
    </row>
    <row r="13" spans="1:22" x14ac:dyDescent="0.25">
      <c r="A13" s="251"/>
      <c r="B13" s="253" t="s">
        <v>480</v>
      </c>
      <c r="C13" s="249">
        <f>IF('Design Calculator'!F61="NA", MIN(SOA!C12,10),SOA!C12)</f>
        <v>1</v>
      </c>
      <c r="D13" s="253"/>
      <c r="E13" s="249"/>
      <c r="F13" s="249"/>
      <c r="G13" s="253" t="s">
        <v>480</v>
      </c>
      <c r="H13" s="249">
        <f>IF('Design Calculator'!F61="NA", MIN(SOA!H12,10),SOA!H12)</f>
        <v>10</v>
      </c>
      <c r="I13" s="249"/>
      <c r="J13" s="249"/>
      <c r="K13" s="260"/>
      <c r="L13" s="251"/>
      <c r="M13" s="251"/>
      <c r="N13" s="251"/>
      <c r="O13" s="251"/>
      <c r="P13" s="251"/>
      <c r="Q13" s="251"/>
      <c r="R13" s="251"/>
      <c r="S13" s="251"/>
      <c r="T13" s="251"/>
      <c r="U13" s="251"/>
      <c r="V13" s="251"/>
    </row>
    <row r="14" spans="1:22" x14ac:dyDescent="0.25">
      <c r="A14" s="251"/>
      <c r="B14" s="253" t="s">
        <v>195</v>
      </c>
      <c r="C14" s="249">
        <f>IF(C11=0.1, B4, IF(C11=1, C4, IF(C11=10, D4, E4)))</f>
        <v>50</v>
      </c>
      <c r="D14" s="253" t="s">
        <v>28</v>
      </c>
      <c r="E14" s="249"/>
      <c r="F14" s="249"/>
      <c r="G14" s="253" t="s">
        <v>195</v>
      </c>
      <c r="H14" s="249">
        <f>IF(H11=0.1, B4, IF(H11=1, C4, IF(H11=10, D4, E4)))</f>
        <v>16</v>
      </c>
      <c r="I14" s="249"/>
      <c r="J14" s="249"/>
      <c r="K14" s="260"/>
      <c r="L14" s="251"/>
      <c r="M14" s="251"/>
      <c r="N14" s="251"/>
      <c r="O14" s="251"/>
      <c r="P14" s="251"/>
      <c r="Q14" s="251"/>
      <c r="R14" s="251"/>
      <c r="S14" s="251"/>
      <c r="T14" s="251"/>
      <c r="U14" s="251"/>
      <c r="V14" s="251"/>
    </row>
    <row r="15" spans="1:22" x14ac:dyDescent="0.25">
      <c r="A15" s="251"/>
      <c r="B15" s="253" t="s">
        <v>196</v>
      </c>
      <c r="C15" s="249">
        <f>IF(C13=1000, F4, IF(C13=1, C4, IF(C13=10, D4, E4)))</f>
        <v>16</v>
      </c>
      <c r="D15" s="253" t="s">
        <v>28</v>
      </c>
      <c r="E15" s="249"/>
      <c r="F15" s="249"/>
      <c r="G15" s="253" t="s">
        <v>196</v>
      </c>
      <c r="H15" s="249">
        <f>IF(H13=1000, F4, IF(H13=1, C4, IF(H13=10, D4, E4)))</f>
        <v>9</v>
      </c>
      <c r="I15" s="249"/>
      <c r="J15" s="249"/>
      <c r="K15" s="260"/>
      <c r="L15" s="251"/>
      <c r="M15" s="251"/>
      <c r="N15" s="251"/>
      <c r="O15" s="251"/>
      <c r="P15" s="251"/>
      <c r="Q15" s="251"/>
      <c r="R15" s="251"/>
      <c r="S15" s="251"/>
      <c r="T15" s="251"/>
      <c r="U15" s="251"/>
      <c r="V15" s="251"/>
    </row>
    <row r="16" spans="1:22" x14ac:dyDescent="0.25">
      <c r="A16" s="251"/>
      <c r="B16" s="249"/>
      <c r="C16" s="249"/>
      <c r="D16" s="249"/>
      <c r="E16" s="249"/>
      <c r="F16" s="249"/>
      <c r="G16" s="249"/>
      <c r="H16" s="249"/>
      <c r="I16" s="249"/>
      <c r="J16" s="249"/>
      <c r="K16" s="260"/>
      <c r="L16" s="251"/>
      <c r="M16" s="251"/>
      <c r="N16" s="251"/>
      <c r="O16" s="251"/>
      <c r="P16" s="251"/>
      <c r="Q16" s="251"/>
      <c r="R16" s="251"/>
      <c r="S16" s="251"/>
      <c r="T16" s="251"/>
      <c r="U16" s="251"/>
      <c r="V16" s="251"/>
    </row>
    <row r="17" spans="1:22" x14ac:dyDescent="0.25">
      <c r="A17" s="251"/>
      <c r="B17" s="253" t="s">
        <v>200</v>
      </c>
      <c r="C17" s="249"/>
      <c r="D17" s="249"/>
      <c r="E17" s="249"/>
      <c r="F17" s="249"/>
      <c r="G17" s="253" t="s">
        <v>200</v>
      </c>
      <c r="H17" s="249"/>
      <c r="I17" s="249"/>
      <c r="J17" s="249"/>
      <c r="K17" s="260"/>
      <c r="L17" s="251"/>
      <c r="M17" s="251"/>
      <c r="N17" s="251"/>
      <c r="O17" s="251"/>
      <c r="P17" s="251"/>
      <c r="Q17" s="251"/>
      <c r="R17" s="251"/>
      <c r="S17" s="251"/>
      <c r="T17" s="251"/>
      <c r="U17" s="251"/>
      <c r="V17" s="251"/>
    </row>
    <row r="18" spans="1:22" x14ac:dyDescent="0.25">
      <c r="A18" s="251"/>
      <c r="B18" s="253" t="s">
        <v>197</v>
      </c>
      <c r="C18" s="249">
        <f>C14/C11^C19</f>
        <v>16.000000000000004</v>
      </c>
      <c r="D18" s="249"/>
      <c r="E18" s="249"/>
      <c r="F18" s="253"/>
      <c r="G18" s="253" t="s">
        <v>197</v>
      </c>
      <c r="H18" s="249">
        <f>H14/H11^H19</f>
        <v>16</v>
      </c>
      <c r="I18" s="249"/>
      <c r="J18" s="249"/>
      <c r="K18" s="249"/>
      <c r="L18" s="249"/>
      <c r="M18" s="249"/>
      <c r="N18" s="249"/>
      <c r="O18" s="274"/>
      <c r="P18" s="274"/>
      <c r="Q18" s="251"/>
      <c r="R18" s="251"/>
      <c r="S18" s="251"/>
      <c r="T18" s="251"/>
      <c r="U18" s="251"/>
      <c r="V18" s="251"/>
    </row>
    <row r="19" spans="1:22" x14ac:dyDescent="0.25">
      <c r="A19" s="251"/>
      <c r="B19" s="253" t="s">
        <v>198</v>
      </c>
      <c r="C19" s="249">
        <f>LOG(C14/C15)/LOG(C11/C13)</f>
        <v>-0.49485002168009401</v>
      </c>
      <c r="D19" s="249"/>
      <c r="E19" s="249"/>
      <c r="F19" s="253"/>
      <c r="G19" s="253" t="s">
        <v>198</v>
      </c>
      <c r="H19" s="249">
        <f>IF(H14=H15,0.000000000001,LOG(H14/H15)/LOG(H11/H13))</f>
        <v>-0.24987747321659989</v>
      </c>
      <c r="I19" s="253" t="s">
        <v>486</v>
      </c>
      <c r="J19" s="249"/>
      <c r="K19" s="260"/>
      <c r="L19" s="251"/>
      <c r="M19" s="274"/>
      <c r="N19" s="274"/>
      <c r="O19" s="251"/>
      <c r="P19" s="251"/>
      <c r="Q19" s="251"/>
      <c r="R19" s="251"/>
      <c r="S19" s="251"/>
      <c r="T19" s="251"/>
      <c r="U19" s="251"/>
      <c r="V19" s="251"/>
    </row>
    <row r="20" spans="1:22" x14ac:dyDescent="0.25">
      <c r="A20" s="251"/>
      <c r="B20" s="253" t="s">
        <v>199</v>
      </c>
      <c r="C20" s="249">
        <f>C18*C8^C19</f>
        <v>356.44235039473466</v>
      </c>
      <c r="D20" s="253" t="s">
        <v>28</v>
      </c>
      <c r="E20" s="249"/>
      <c r="F20" s="249"/>
      <c r="G20" s="253" t="s">
        <v>199</v>
      </c>
      <c r="H20" s="249">
        <f>H18*H8^H19</f>
        <v>12.584013433394817</v>
      </c>
      <c r="I20" s="249"/>
      <c r="J20" s="249"/>
      <c r="K20" s="260"/>
      <c r="L20" s="251"/>
      <c r="M20" s="262"/>
      <c r="N20" s="251"/>
      <c r="O20" s="251"/>
      <c r="P20" s="251"/>
      <c r="Q20" s="251"/>
      <c r="R20" s="251"/>
      <c r="S20" s="251"/>
      <c r="T20" s="251"/>
      <c r="U20" s="251"/>
      <c r="V20" s="251"/>
    </row>
    <row r="21" spans="1:22" x14ac:dyDescent="0.25">
      <c r="A21" s="251"/>
      <c r="B21" s="249"/>
      <c r="C21" s="249"/>
      <c r="D21" s="249"/>
      <c r="E21" s="249"/>
      <c r="F21" s="249"/>
      <c r="G21" s="249"/>
      <c r="H21" s="249"/>
      <c r="I21" s="249"/>
      <c r="J21" s="249"/>
      <c r="K21" s="260"/>
      <c r="L21" s="251"/>
      <c r="M21" s="251"/>
      <c r="N21" s="259"/>
      <c r="O21" s="251"/>
      <c r="P21" s="251"/>
      <c r="Q21" s="251"/>
      <c r="R21" s="251"/>
      <c r="S21" s="251"/>
      <c r="T21" s="251"/>
      <c r="U21" s="251"/>
      <c r="V21" s="251"/>
    </row>
    <row r="22" spans="1:22" x14ac:dyDescent="0.25">
      <c r="A22" s="251"/>
      <c r="B22" s="254" t="s">
        <v>202</v>
      </c>
      <c r="C22" s="249">
        <f xml:space="preserve"> C20*C9</f>
        <v>4705.0390252104971</v>
      </c>
      <c r="D22" s="253"/>
      <c r="E22" s="249"/>
      <c r="F22" s="249"/>
      <c r="G22" s="254" t="s">
        <v>202</v>
      </c>
      <c r="H22" s="249">
        <f xml:space="preserve"> H20*H9</f>
        <v>166.10897732081159</v>
      </c>
      <c r="I22" s="249"/>
      <c r="J22" s="249"/>
      <c r="K22" s="260"/>
      <c r="L22" s="251"/>
      <c r="M22" s="251"/>
      <c r="N22" s="251"/>
      <c r="O22" s="251"/>
      <c r="P22" s="251"/>
      <c r="Q22" s="251"/>
      <c r="R22" s="251"/>
      <c r="S22" s="251"/>
      <c r="T22" s="251"/>
      <c r="U22" s="251"/>
      <c r="V22" s="251"/>
    </row>
    <row r="23" spans="1:22" x14ac:dyDescent="0.25">
      <c r="A23" s="251"/>
      <c r="B23" s="249"/>
      <c r="C23" s="249"/>
      <c r="D23" s="249"/>
      <c r="E23" s="249"/>
      <c r="F23" s="249"/>
      <c r="G23" s="249"/>
      <c r="H23" s="249"/>
      <c r="I23" s="249"/>
      <c r="J23" s="249"/>
      <c r="K23" s="260"/>
      <c r="L23" s="251"/>
      <c r="M23" s="251"/>
      <c r="N23" s="251"/>
      <c r="O23" s="251"/>
      <c r="P23" s="251"/>
      <c r="Q23" s="251"/>
      <c r="R23" s="251"/>
      <c r="S23" s="251"/>
      <c r="T23" s="251"/>
      <c r="U23" s="251"/>
      <c r="V23" s="251"/>
    </row>
    <row r="24" spans="1:22" x14ac:dyDescent="0.25">
      <c r="A24" s="251"/>
      <c r="B24" s="249"/>
      <c r="C24" s="249"/>
      <c r="D24" s="249"/>
      <c r="E24" s="249"/>
      <c r="F24" s="249"/>
      <c r="G24" s="253" t="s">
        <v>404</v>
      </c>
      <c r="H24" s="249" t="str">
        <f>'Design Calculator'!F80</f>
        <v>Yes</v>
      </c>
      <c r="I24" s="249"/>
      <c r="J24" s="249"/>
      <c r="K24" s="260"/>
      <c r="L24" s="251"/>
      <c r="M24" s="251"/>
      <c r="N24" s="251"/>
      <c r="O24" s="259"/>
      <c r="P24" s="251"/>
      <c r="Q24" s="251"/>
      <c r="R24" s="251"/>
      <c r="S24" s="251"/>
      <c r="T24" s="251"/>
      <c r="U24" s="251"/>
      <c r="V24" s="251"/>
    </row>
    <row r="25" spans="1:22" x14ac:dyDescent="0.25">
      <c r="A25" s="251"/>
      <c r="B25" s="268" t="s">
        <v>208</v>
      </c>
      <c r="C25" s="249">
        <f>(TJMAX-TJ)/(TJMAX-25)</f>
        <v>0.46600000000000003</v>
      </c>
      <c r="D25" s="260"/>
      <c r="E25" s="260"/>
      <c r="F25" s="260"/>
      <c r="G25" s="253" t="s">
        <v>403</v>
      </c>
      <c r="H25" s="249">
        <f>IF(H24="Yes", TJ,TAMB)</f>
        <v>91.75</v>
      </c>
      <c r="I25" s="249"/>
      <c r="J25" s="249"/>
      <c r="K25" s="260"/>
      <c r="L25" s="251"/>
      <c r="M25" s="251"/>
      <c r="N25" s="251"/>
      <c r="O25" s="259"/>
      <c r="P25" s="251"/>
      <c r="Q25" s="251"/>
      <c r="R25" s="251"/>
      <c r="S25" s="251"/>
      <c r="T25" s="251"/>
      <c r="U25" s="251"/>
      <c r="V25" s="251"/>
    </row>
    <row r="26" spans="1:22" x14ac:dyDescent="0.25">
      <c r="A26" s="251"/>
      <c r="B26" s="266" t="s">
        <v>203</v>
      </c>
      <c r="C26" s="249">
        <f>IF((C22*C25)&lt;0,0.000000001,C22*C25)</f>
        <v>2192.5481857480918</v>
      </c>
      <c r="D26" s="267" t="s">
        <v>93</v>
      </c>
      <c r="E26" s="260"/>
      <c r="F26" s="260"/>
      <c r="G26" s="249"/>
      <c r="H26" s="249"/>
      <c r="I26" s="249"/>
      <c r="J26" s="249"/>
      <c r="K26" s="260"/>
      <c r="L26" s="251"/>
      <c r="M26" s="251"/>
      <c r="N26" s="251"/>
      <c r="O26" s="251"/>
      <c r="P26" s="251"/>
      <c r="Q26" s="251"/>
      <c r="R26" s="251"/>
      <c r="S26" s="251"/>
      <c r="T26" s="251"/>
      <c r="U26" s="251"/>
      <c r="V26" s="251"/>
    </row>
    <row r="27" spans="1:22" x14ac:dyDescent="0.25">
      <c r="A27" s="251"/>
      <c r="B27" s="259"/>
      <c r="C27" s="259"/>
      <c r="D27" s="260"/>
      <c r="E27" s="260"/>
      <c r="F27" s="260"/>
      <c r="G27" s="268" t="s">
        <v>208</v>
      </c>
      <c r="H27" s="249">
        <f>(TJMAX-H25)/(TJMAX-25)</f>
        <v>0.46600000000000003</v>
      </c>
      <c r="I27" s="249"/>
      <c r="J27" s="249"/>
      <c r="K27" s="260"/>
      <c r="L27" s="251"/>
      <c r="M27" s="251"/>
      <c r="N27" s="251"/>
      <c r="O27" s="251"/>
      <c r="P27" s="251"/>
      <c r="Q27" s="251"/>
      <c r="R27" s="251"/>
      <c r="S27" s="251"/>
      <c r="T27" s="251"/>
      <c r="U27" s="251"/>
      <c r="V27" s="251"/>
    </row>
    <row r="28" spans="1:22" x14ac:dyDescent="0.25">
      <c r="A28" s="251"/>
      <c r="B28" s="259"/>
      <c r="C28" s="249"/>
      <c r="D28" s="260"/>
      <c r="E28" s="260"/>
      <c r="F28" s="260"/>
      <c r="G28" s="266" t="s">
        <v>203</v>
      </c>
      <c r="H28" s="249">
        <f>IF((H22*H27)&lt;0,0.000000001,H22*H27)</f>
        <v>77.406783431498212</v>
      </c>
      <c r="I28" s="249"/>
      <c r="J28" s="249"/>
      <c r="K28" s="260"/>
      <c r="L28" s="251"/>
      <c r="M28" s="251"/>
      <c r="N28" s="251"/>
      <c r="O28" s="251"/>
      <c r="P28" s="251"/>
      <c r="Q28" s="251"/>
      <c r="R28" s="251"/>
      <c r="S28" s="251"/>
      <c r="T28" s="251"/>
      <c r="U28" s="251"/>
      <c r="V28" s="251"/>
    </row>
    <row r="29" spans="1:22" x14ac:dyDescent="0.25">
      <c r="A29" s="251"/>
      <c r="B29" s="268" t="s">
        <v>435</v>
      </c>
      <c r="C29" s="249"/>
      <c r="D29" s="260"/>
      <c r="E29" s="260"/>
      <c r="F29" s="260"/>
      <c r="G29" s="249"/>
      <c r="H29" s="251"/>
      <c r="I29" s="265"/>
      <c r="J29" s="265"/>
      <c r="K29" s="265"/>
      <c r="L29" s="251"/>
      <c r="M29" s="251"/>
      <c r="N29" s="251"/>
      <c r="O29" s="251"/>
      <c r="P29" s="251"/>
      <c r="Q29" s="251"/>
      <c r="R29" s="251"/>
      <c r="S29" s="251"/>
      <c r="T29" s="251"/>
      <c r="U29" s="251"/>
      <c r="V29" s="251"/>
    </row>
    <row r="30" spans="1:22" x14ac:dyDescent="0.25">
      <c r="A30" s="251"/>
      <c r="B30" s="249"/>
      <c r="C30" s="263" t="s">
        <v>436</v>
      </c>
      <c r="D30" s="273" t="s">
        <v>437</v>
      </c>
      <c r="E30" s="273" t="s">
        <v>438</v>
      </c>
      <c r="F30" s="273" t="s">
        <v>439</v>
      </c>
      <c r="G30" s="260"/>
      <c r="H30" s="251"/>
      <c r="I30" s="265"/>
      <c r="J30" s="265"/>
      <c r="K30" s="265"/>
      <c r="L30" s="251"/>
      <c r="M30" s="251"/>
      <c r="N30" s="251"/>
      <c r="O30" s="251"/>
      <c r="P30" s="251"/>
      <c r="Q30" s="251"/>
      <c r="R30" s="251"/>
      <c r="S30" s="251"/>
      <c r="T30" s="251"/>
      <c r="U30" s="251"/>
      <c r="V30" s="251"/>
    </row>
    <row r="31" spans="1:22" x14ac:dyDescent="0.25">
      <c r="A31" s="249"/>
      <c r="B31" s="268" t="s">
        <v>440</v>
      </c>
      <c r="C31" s="255">
        <v>0.1</v>
      </c>
      <c r="D31" s="250">
        <v>1</v>
      </c>
      <c r="E31" s="260">
        <v>10</v>
      </c>
      <c r="F31" s="259">
        <v>100</v>
      </c>
      <c r="G31" s="270"/>
      <c r="H31" s="251"/>
      <c r="I31" s="251"/>
      <c r="J31" s="251"/>
      <c r="K31" s="251"/>
      <c r="L31" s="251"/>
      <c r="M31" s="251"/>
      <c r="N31" s="251"/>
      <c r="O31" s="251"/>
      <c r="P31" s="251"/>
      <c r="Q31" s="251"/>
      <c r="R31" s="251"/>
      <c r="S31" s="251"/>
      <c r="T31" s="251"/>
      <c r="U31" s="251"/>
      <c r="V31" s="251"/>
    </row>
    <row r="32" spans="1:22" x14ac:dyDescent="0.25">
      <c r="A32" s="249"/>
      <c r="B32" s="255" t="s">
        <v>441</v>
      </c>
      <c r="C32" s="250">
        <v>1</v>
      </c>
      <c r="D32" s="250">
        <v>10</v>
      </c>
      <c r="E32" s="260">
        <v>100</v>
      </c>
      <c r="F32" s="259">
        <v>1000</v>
      </c>
      <c r="G32" s="266"/>
      <c r="H32" s="251"/>
      <c r="I32" s="251"/>
      <c r="J32" s="251"/>
      <c r="K32" s="251"/>
      <c r="L32" s="251"/>
      <c r="M32" s="251"/>
      <c r="N32" s="251"/>
      <c r="O32" s="251"/>
      <c r="P32" s="251"/>
      <c r="Q32" s="251"/>
      <c r="R32" s="251"/>
      <c r="S32" s="251"/>
      <c r="T32" s="251"/>
      <c r="U32" s="251"/>
      <c r="V32" s="251"/>
    </row>
    <row r="33" spans="2:22" x14ac:dyDescent="0.25">
      <c r="B33" s="255" t="s">
        <v>197</v>
      </c>
      <c r="C33" s="250">
        <f>B4/(C31^C34)</f>
        <v>16.000000000000004</v>
      </c>
      <c r="D33" s="250">
        <f>C4/(D31^D34)</f>
        <v>16</v>
      </c>
      <c r="E33" s="250">
        <f>IF('Design Calculator'!F61="NA",D33,D4/(E31^E34))</f>
        <v>20.25</v>
      </c>
      <c r="F33" s="250">
        <f>IF('Design Calculator'!F61="NA", E33, E4/(F31^F34))</f>
        <v>4</v>
      </c>
      <c r="G33" s="253"/>
      <c r="H33" s="251"/>
      <c r="I33" s="251"/>
      <c r="J33" s="251"/>
      <c r="K33" s="251"/>
      <c r="L33" s="251"/>
      <c r="M33" s="251"/>
      <c r="N33" s="251"/>
      <c r="O33" s="251"/>
      <c r="P33" s="251"/>
      <c r="Q33" s="251"/>
      <c r="R33" s="251"/>
      <c r="S33" s="251"/>
      <c r="T33" s="251"/>
      <c r="U33" s="251"/>
      <c r="V33" s="251"/>
    </row>
    <row r="34" spans="2:22" x14ac:dyDescent="0.25">
      <c r="B34" s="255" t="s">
        <v>198</v>
      </c>
      <c r="C34" s="252">
        <f>LOG(B4/C4)/LOG(C31/C32)</f>
        <v>-0.49485002168009401</v>
      </c>
      <c r="D34" s="252">
        <f>LOG(C4/D4)/LOG(D31/D32)</f>
        <v>-0.24987747321659989</v>
      </c>
      <c r="E34" s="252">
        <f>IF('Design Calculator'!F61="NA", D34, LOG(D4/E4)/LOG(E31/E32))</f>
        <v>-0.35218251811136247</v>
      </c>
      <c r="F34" s="252">
        <f>IF('Design Calculator'!F61="NA",E34,LOG(E4/F4)/LOG(F31/F32))</f>
        <v>0</v>
      </c>
      <c r="G34" s="253"/>
      <c r="H34" s="251"/>
      <c r="I34" s="251"/>
      <c r="J34" s="251"/>
      <c r="K34" s="251"/>
      <c r="L34" s="251"/>
      <c r="M34" s="251"/>
      <c r="N34" s="251"/>
      <c r="O34" s="251"/>
      <c r="P34" s="251"/>
      <c r="Q34" s="251"/>
      <c r="R34" s="251"/>
      <c r="S34" s="251"/>
      <c r="T34" s="251"/>
      <c r="U34" s="251"/>
      <c r="V34" s="251"/>
    </row>
    <row r="35" spans="2:22" x14ac:dyDescent="0.25">
      <c r="B35" s="249"/>
      <c r="C35" s="249"/>
      <c r="D35" s="249"/>
      <c r="E35" s="260"/>
      <c r="F35" s="251"/>
      <c r="G35" s="253"/>
      <c r="H35" s="251"/>
      <c r="I35" s="251"/>
      <c r="J35" s="251"/>
      <c r="K35" s="251"/>
      <c r="L35" s="251"/>
      <c r="M35" s="251"/>
      <c r="N35" s="251"/>
      <c r="O35" s="251"/>
      <c r="P35" s="251"/>
      <c r="Q35" s="251"/>
      <c r="R35" s="251"/>
      <c r="S35" s="251"/>
      <c r="T35" s="251"/>
      <c r="U35" s="251"/>
      <c r="V35" s="251"/>
    </row>
    <row r="36" spans="2:22" ht="13.8" thickBot="1" x14ac:dyDescent="0.3">
      <c r="B36" s="134" t="s">
        <v>488</v>
      </c>
      <c r="C36" s="135"/>
      <c r="D36" s="249"/>
      <c r="E36" s="260"/>
      <c r="F36" s="251"/>
      <c r="G36" s="253"/>
      <c r="H36" s="251"/>
      <c r="I36" s="251"/>
      <c r="J36" s="251"/>
      <c r="K36" s="251"/>
      <c r="L36" s="251"/>
      <c r="M36" s="251"/>
      <c r="N36" s="251"/>
      <c r="O36" s="251"/>
      <c r="P36" s="251"/>
      <c r="Q36" s="251"/>
      <c r="R36" s="251"/>
      <c r="S36" s="251"/>
      <c r="T36" s="251"/>
      <c r="U36" s="251"/>
      <c r="V36" s="251"/>
    </row>
    <row r="37" spans="2:22" ht="15.6" x14ac:dyDescent="0.35">
      <c r="B37" s="136" t="s">
        <v>60</v>
      </c>
      <c r="C37" s="137" t="s">
        <v>124</v>
      </c>
      <c r="D37" s="249"/>
      <c r="E37" s="260"/>
      <c r="F37" s="251"/>
      <c r="G37" s="253"/>
      <c r="H37" s="251"/>
      <c r="I37" s="251"/>
      <c r="J37" s="251"/>
      <c r="K37" s="251"/>
      <c r="L37" s="251"/>
      <c r="M37" s="251"/>
      <c r="N37" s="251"/>
      <c r="O37" s="251"/>
      <c r="P37" s="251"/>
      <c r="Q37" s="251"/>
      <c r="R37" s="251"/>
      <c r="S37" s="251"/>
      <c r="T37" s="251"/>
      <c r="U37" s="251"/>
      <c r="V37" s="251"/>
    </row>
    <row r="38" spans="2:22" x14ac:dyDescent="0.25">
      <c r="B38" s="138" t="s">
        <v>9</v>
      </c>
      <c r="C38" s="139" t="s">
        <v>10</v>
      </c>
      <c r="D38" s="249"/>
      <c r="E38" s="260"/>
      <c r="F38" s="251"/>
      <c r="G38" s="253"/>
      <c r="H38" s="251"/>
      <c r="I38" s="251"/>
      <c r="J38" s="251"/>
      <c r="K38" s="251"/>
      <c r="L38" s="251"/>
      <c r="M38" s="251"/>
      <c r="N38" s="251"/>
      <c r="O38" s="251"/>
      <c r="P38" s="251"/>
      <c r="Q38" s="251"/>
      <c r="R38" s="251"/>
      <c r="S38" s="251"/>
      <c r="T38" s="251"/>
      <c r="U38" s="251"/>
      <c r="V38" s="251"/>
    </row>
    <row r="39" spans="2:22" x14ac:dyDescent="0.25">
      <c r="B39" s="140">
        <v>1</v>
      </c>
      <c r="C39" s="141">
        <f>SOA!$C$26/B39</f>
        <v>2192.5481857480918</v>
      </c>
      <c r="D39" s="249"/>
      <c r="E39" s="260"/>
      <c r="F39" s="251"/>
      <c r="G39" s="249"/>
      <c r="H39" s="251"/>
      <c r="I39" s="251"/>
      <c r="J39" s="251"/>
      <c r="K39" s="251"/>
      <c r="L39" s="251"/>
      <c r="M39" s="251"/>
      <c r="N39" s="251"/>
      <c r="O39" s="251"/>
      <c r="P39" s="251"/>
      <c r="Q39" s="251"/>
      <c r="R39" s="251"/>
      <c r="S39" s="251"/>
      <c r="T39" s="251"/>
      <c r="U39" s="251"/>
      <c r="V39" s="251"/>
    </row>
    <row r="40" spans="2:22" x14ac:dyDescent="0.25">
      <c r="B40" s="140">
        <v>1.2</v>
      </c>
      <c r="C40" s="141">
        <f>SOA!$C$26/B40</f>
        <v>1827.12348812341</v>
      </c>
      <c r="D40" s="249"/>
      <c r="E40" s="260"/>
      <c r="F40" s="251"/>
      <c r="G40" s="253"/>
      <c r="H40" s="251"/>
      <c r="I40" s="251"/>
      <c r="J40" s="251"/>
      <c r="K40" s="251"/>
      <c r="L40" s="251"/>
      <c r="M40" s="251"/>
      <c r="N40" s="251"/>
      <c r="O40" s="251"/>
      <c r="P40" s="251"/>
      <c r="Q40" s="251"/>
      <c r="R40" s="251"/>
      <c r="S40" s="251"/>
      <c r="T40" s="251"/>
      <c r="U40" s="251"/>
      <c r="V40" s="251"/>
    </row>
    <row r="41" spans="2:22" x14ac:dyDescent="0.25">
      <c r="B41" s="140">
        <v>30</v>
      </c>
      <c r="C41" s="141">
        <f>SOA!$C$26/B41</f>
        <v>73.084939524936388</v>
      </c>
      <c r="D41" s="249"/>
      <c r="E41" s="260"/>
      <c r="F41" s="251"/>
      <c r="G41" s="249"/>
      <c r="H41" s="251"/>
      <c r="I41" s="251"/>
      <c r="J41" s="251"/>
      <c r="K41" s="251"/>
      <c r="L41" s="251"/>
      <c r="M41" s="251"/>
      <c r="N41" s="251"/>
      <c r="O41" s="251"/>
      <c r="P41" s="251"/>
      <c r="Q41" s="251"/>
      <c r="R41" s="251"/>
      <c r="S41" s="251"/>
      <c r="T41" s="251"/>
      <c r="U41" s="251"/>
      <c r="V41" s="251"/>
    </row>
    <row r="42" spans="2:22" x14ac:dyDescent="0.25">
      <c r="B42" s="140"/>
      <c r="C42" s="141"/>
      <c r="D42" s="249"/>
      <c r="E42" s="260"/>
      <c r="F42" s="251"/>
      <c r="G42" s="253"/>
      <c r="H42" s="251"/>
      <c r="I42" s="251"/>
      <c r="J42" s="251"/>
      <c r="K42" s="251"/>
      <c r="L42" s="251"/>
      <c r="M42" s="251"/>
      <c r="N42" s="251"/>
      <c r="O42" s="251"/>
      <c r="P42" s="251"/>
      <c r="Q42" s="251"/>
      <c r="R42" s="251"/>
      <c r="S42" s="251"/>
      <c r="T42" s="251"/>
      <c r="U42" s="251"/>
      <c r="V42" s="251"/>
    </row>
    <row r="43" spans="2:22" ht="13.8" thickBot="1" x14ac:dyDescent="0.3">
      <c r="B43" s="142"/>
      <c r="C43" s="143"/>
      <c r="D43" s="249"/>
      <c r="E43" s="260"/>
      <c r="F43" s="251"/>
      <c r="G43" s="253"/>
      <c r="H43" s="251"/>
      <c r="I43" s="251"/>
      <c r="J43" s="251"/>
      <c r="K43" s="251"/>
      <c r="L43" s="251"/>
      <c r="M43" s="251"/>
      <c r="N43" s="251"/>
      <c r="O43" s="251"/>
      <c r="P43" s="251"/>
      <c r="Q43" s="251"/>
      <c r="R43" s="251"/>
      <c r="S43" s="251"/>
      <c r="T43" s="251"/>
      <c r="U43" s="251"/>
      <c r="V43" s="251"/>
    </row>
    <row r="44" spans="2:22" x14ac:dyDescent="0.25">
      <c r="B44" s="249"/>
      <c r="C44" s="249"/>
      <c r="D44" s="249"/>
      <c r="E44" s="260"/>
      <c r="F44" s="251"/>
      <c r="G44" s="253"/>
      <c r="H44" s="251"/>
      <c r="I44" s="251"/>
      <c r="J44" s="251"/>
      <c r="K44" s="251"/>
      <c r="L44" s="251"/>
      <c r="M44" s="251"/>
      <c r="N44" s="251"/>
      <c r="O44" s="251"/>
      <c r="P44" s="251"/>
      <c r="Q44" s="251"/>
      <c r="R44" s="251"/>
      <c r="S44" s="251"/>
      <c r="T44" s="251"/>
      <c r="U44" s="251"/>
      <c r="V44" s="251"/>
    </row>
    <row r="45" spans="2:22" x14ac:dyDescent="0.25">
      <c r="B45" s="249"/>
      <c r="C45" s="249"/>
      <c r="D45" s="249"/>
      <c r="E45" s="260"/>
      <c r="F45" s="251"/>
      <c r="G45" s="249"/>
      <c r="H45" s="251"/>
      <c r="I45" s="251"/>
      <c r="J45" s="251"/>
      <c r="K45" s="251"/>
      <c r="L45" s="251"/>
      <c r="M45" s="251"/>
      <c r="N45" s="251"/>
      <c r="O45" s="251"/>
      <c r="P45" s="251"/>
      <c r="Q45" s="251"/>
      <c r="R45" s="251"/>
      <c r="S45" s="251"/>
      <c r="T45" s="251"/>
      <c r="U45" s="251"/>
      <c r="V45" s="251"/>
    </row>
    <row r="46" spans="2:22" x14ac:dyDescent="0.25">
      <c r="B46" s="249"/>
      <c r="C46" s="249"/>
      <c r="D46" s="249"/>
      <c r="E46" s="260"/>
      <c r="F46" s="251"/>
      <c r="G46" s="254"/>
      <c r="H46" s="251"/>
      <c r="I46" s="251"/>
      <c r="J46" s="251"/>
      <c r="K46" s="251"/>
      <c r="L46" s="251"/>
      <c r="M46" s="251"/>
      <c r="N46" s="251"/>
      <c r="O46" s="251"/>
      <c r="P46" s="251"/>
      <c r="Q46" s="251"/>
      <c r="R46" s="251"/>
      <c r="S46" s="251"/>
      <c r="T46" s="251"/>
      <c r="U46" s="251"/>
      <c r="V46" s="251"/>
    </row>
    <row r="47" spans="2:22" x14ac:dyDescent="0.25">
      <c r="B47" s="249"/>
      <c r="C47" s="249"/>
      <c r="D47" s="249"/>
      <c r="E47" s="260"/>
      <c r="F47" s="251"/>
      <c r="G47" s="249"/>
      <c r="H47" s="251"/>
      <c r="I47" s="251"/>
      <c r="J47" s="251"/>
      <c r="K47" s="251"/>
      <c r="L47" s="251"/>
      <c r="M47" s="251"/>
      <c r="N47" s="251"/>
      <c r="O47" s="251"/>
      <c r="P47" s="251"/>
      <c r="Q47" s="251"/>
      <c r="R47" s="251"/>
      <c r="S47" s="251"/>
      <c r="T47" s="251"/>
      <c r="U47" s="251"/>
      <c r="V47" s="251"/>
    </row>
    <row r="48" spans="2:22" x14ac:dyDescent="0.25">
      <c r="B48" s="249"/>
      <c r="C48" s="249"/>
      <c r="D48" s="249"/>
      <c r="E48" s="260"/>
      <c r="F48" s="251"/>
      <c r="G48" s="249"/>
      <c r="H48" s="251"/>
      <c r="I48" s="251"/>
      <c r="J48" s="251"/>
      <c r="K48" s="251"/>
      <c r="L48" s="251"/>
      <c r="M48" s="251"/>
      <c r="N48" s="251"/>
      <c r="O48" s="251"/>
      <c r="P48" s="251"/>
      <c r="Q48" s="251"/>
      <c r="R48" s="251"/>
      <c r="S48" s="251"/>
      <c r="T48" s="251"/>
      <c r="U48" s="251"/>
      <c r="V48" s="251"/>
    </row>
    <row r="49" spans="1:22" x14ac:dyDescent="0.25">
      <c r="A49" s="249"/>
      <c r="B49" s="249"/>
      <c r="C49" s="249"/>
      <c r="D49" s="249"/>
      <c r="E49" s="260"/>
      <c r="F49" s="251"/>
      <c r="G49" s="268"/>
      <c r="H49" s="251"/>
      <c r="I49" s="251"/>
      <c r="J49" s="251"/>
      <c r="K49" s="251"/>
      <c r="L49" s="251"/>
      <c r="M49" s="251"/>
      <c r="N49" s="251"/>
      <c r="O49" s="251"/>
      <c r="P49" s="251"/>
      <c r="Q49" s="251"/>
      <c r="R49" s="251"/>
      <c r="S49" s="251"/>
      <c r="T49" s="251"/>
      <c r="U49" s="251"/>
      <c r="V49" s="251"/>
    </row>
    <row r="50" spans="1:22" x14ac:dyDescent="0.25">
      <c r="A50" s="249"/>
      <c r="B50" s="249"/>
      <c r="C50" s="249"/>
      <c r="D50" s="249"/>
      <c r="E50" s="260"/>
      <c r="F50" s="251"/>
      <c r="G50" s="266"/>
      <c r="H50" s="251"/>
      <c r="I50" s="251"/>
      <c r="J50" s="251"/>
      <c r="K50" s="251"/>
      <c r="L50" s="251"/>
      <c r="M50" s="251"/>
      <c r="N50" s="251"/>
      <c r="O50" s="251"/>
      <c r="P50" s="251"/>
      <c r="Q50" s="251"/>
      <c r="R50" s="251"/>
      <c r="S50" s="251"/>
      <c r="T50" s="251"/>
      <c r="U50" s="251"/>
      <c r="V50" s="251"/>
    </row>
    <row r="51" spans="1:22" x14ac:dyDescent="0.25">
      <c r="A51" s="249"/>
      <c r="B51" s="249"/>
      <c r="C51" s="249"/>
      <c r="D51" s="249"/>
      <c r="E51" s="260"/>
      <c r="F51" s="260"/>
      <c r="G51" s="260"/>
      <c r="H51" s="251"/>
      <c r="I51" s="251"/>
      <c r="J51" s="251"/>
      <c r="K51" s="251"/>
      <c r="L51" s="251"/>
      <c r="M51" s="251"/>
      <c r="N51" s="251"/>
      <c r="O51" s="251"/>
      <c r="P51" s="251"/>
      <c r="Q51" s="251"/>
      <c r="R51" s="251"/>
      <c r="S51" s="251"/>
      <c r="T51" s="251"/>
      <c r="U51" s="251"/>
      <c r="V51" s="251"/>
    </row>
    <row r="52" spans="1:22" x14ac:dyDescent="0.25">
      <c r="A52" s="249"/>
      <c r="B52" s="249"/>
      <c r="C52" s="249"/>
      <c r="D52" s="249"/>
      <c r="E52" s="260"/>
      <c r="F52" s="260"/>
      <c r="G52" s="260"/>
      <c r="H52" s="251"/>
      <c r="I52" s="251"/>
      <c r="J52" s="251"/>
      <c r="K52" s="251"/>
      <c r="L52" s="251"/>
      <c r="M52" s="251"/>
      <c r="N52" s="251"/>
      <c r="O52" s="251"/>
      <c r="P52" s="251"/>
      <c r="Q52" s="251"/>
      <c r="R52" s="251"/>
      <c r="S52" s="251"/>
      <c r="T52" s="251"/>
      <c r="U52" s="251"/>
      <c r="V52" s="251"/>
    </row>
    <row r="53" spans="1:22" x14ac:dyDescent="0.25">
      <c r="A53" s="251"/>
      <c r="B53" s="251"/>
      <c r="C53" s="259"/>
      <c r="D53" s="260"/>
      <c r="E53" s="260"/>
      <c r="F53" s="260"/>
      <c r="G53" s="260"/>
      <c r="H53" s="251"/>
      <c r="I53" s="251"/>
      <c r="J53" s="251"/>
      <c r="K53" s="251"/>
      <c r="L53" s="251"/>
      <c r="M53" s="251"/>
      <c r="N53" s="251"/>
      <c r="O53" s="251"/>
      <c r="P53" s="251"/>
      <c r="Q53" s="251"/>
      <c r="R53" s="251"/>
      <c r="S53" s="251"/>
      <c r="T53" s="251"/>
      <c r="U53" s="251"/>
      <c r="V53" s="251"/>
    </row>
    <row r="54" spans="1:22" x14ac:dyDescent="0.25">
      <c r="A54" s="251"/>
      <c r="B54" s="251"/>
      <c r="C54" s="259"/>
      <c r="D54" s="260"/>
      <c r="E54" s="260"/>
      <c r="F54" s="260"/>
      <c r="G54" s="260"/>
      <c r="H54" s="251"/>
      <c r="I54" s="251"/>
      <c r="J54" s="251"/>
      <c r="K54" s="251"/>
      <c r="L54" s="251"/>
      <c r="M54" s="251"/>
      <c r="N54" s="251"/>
      <c r="O54" s="251"/>
      <c r="P54" s="251"/>
      <c r="Q54" s="251"/>
      <c r="R54" s="251"/>
      <c r="S54" s="251"/>
      <c r="T54" s="251"/>
      <c r="U54" s="251"/>
      <c r="V54" s="251"/>
    </row>
    <row r="55" spans="1:22" x14ac:dyDescent="0.25">
      <c r="A55" s="251"/>
      <c r="B55" s="251"/>
      <c r="C55" s="259"/>
      <c r="D55" s="260"/>
      <c r="E55" s="260"/>
      <c r="F55" s="260"/>
      <c r="G55" s="260"/>
      <c r="H55" s="251"/>
      <c r="I55" s="251"/>
      <c r="J55" s="251"/>
      <c r="K55" s="251"/>
      <c r="L55" s="251"/>
      <c r="M55" s="251"/>
      <c r="N55" s="251"/>
      <c r="O55" s="251"/>
      <c r="P55" s="251"/>
      <c r="Q55" s="251"/>
      <c r="R55" s="251"/>
      <c r="S55" s="251"/>
      <c r="T55" s="251"/>
      <c r="U55" s="251"/>
      <c r="V55" s="251"/>
    </row>
    <row r="56" spans="1:22" x14ac:dyDescent="0.25">
      <c r="A56" s="251"/>
      <c r="B56" s="251"/>
      <c r="C56" s="259"/>
      <c r="D56" s="260"/>
      <c r="E56" s="260"/>
      <c r="F56" s="260"/>
      <c r="G56" s="260"/>
      <c r="H56" s="251"/>
      <c r="I56" s="249"/>
      <c r="J56" s="249"/>
      <c r="K56" s="249"/>
      <c r="L56" s="249"/>
      <c r="M56" s="249"/>
      <c r="N56" s="249"/>
      <c r="O56" s="249"/>
      <c r="P56" s="249"/>
      <c r="Q56" s="249"/>
      <c r="R56" s="249"/>
      <c r="S56" s="249"/>
      <c r="T56" s="249"/>
      <c r="U56" s="249"/>
      <c r="V56" s="249"/>
    </row>
    <row r="57" spans="1:22" x14ac:dyDescent="0.25">
      <c r="A57" s="251"/>
      <c r="B57" s="251"/>
      <c r="C57" s="259"/>
      <c r="D57" s="260"/>
      <c r="E57" s="260"/>
      <c r="F57" s="260"/>
      <c r="G57" s="260"/>
      <c r="H57" s="249"/>
      <c r="I57" s="249"/>
      <c r="J57" s="249"/>
      <c r="K57" s="249"/>
      <c r="L57" s="249"/>
      <c r="M57" s="249"/>
      <c r="N57" s="249"/>
      <c r="O57" s="249"/>
      <c r="P57" s="249"/>
      <c r="Q57" s="249"/>
      <c r="R57" s="249"/>
      <c r="S57" s="249"/>
      <c r="T57" s="249"/>
      <c r="U57" s="249"/>
      <c r="V57" s="249"/>
    </row>
    <row r="58" spans="1:22" x14ac:dyDescent="0.25">
      <c r="A58" s="251"/>
      <c r="B58" s="251"/>
      <c r="C58" s="259"/>
      <c r="D58" s="260"/>
      <c r="E58" s="260"/>
      <c r="F58" s="260"/>
      <c r="G58" s="260"/>
      <c r="H58" s="249"/>
      <c r="I58" s="249"/>
      <c r="J58" s="249"/>
      <c r="K58" s="249"/>
      <c r="L58" s="249"/>
      <c r="M58" s="249"/>
      <c r="N58" s="249"/>
      <c r="O58" s="249"/>
      <c r="P58" s="249"/>
      <c r="Q58" s="249"/>
      <c r="R58" s="249"/>
      <c r="S58" s="249"/>
      <c r="T58" s="249"/>
      <c r="U58" s="249"/>
      <c r="V58" s="249"/>
    </row>
    <row r="59" spans="1:22" x14ac:dyDescent="0.25">
      <c r="A59" s="251"/>
      <c r="B59" s="251"/>
      <c r="C59" s="259"/>
      <c r="D59" s="260"/>
      <c r="E59" s="260"/>
      <c r="F59" s="260"/>
      <c r="G59" s="260"/>
      <c r="H59" s="249"/>
      <c r="I59" s="249"/>
      <c r="J59" s="249"/>
      <c r="K59" s="249"/>
      <c r="L59" s="249"/>
      <c r="M59" s="249"/>
      <c r="N59" s="249"/>
      <c r="O59" s="249"/>
      <c r="P59" s="249"/>
      <c r="Q59" s="249"/>
      <c r="R59" s="249"/>
      <c r="S59" s="249"/>
      <c r="T59" s="249"/>
      <c r="U59" s="249"/>
      <c r="V59" s="249"/>
    </row>
    <row r="60" spans="1:22" x14ac:dyDescent="0.25">
      <c r="A60" s="251"/>
      <c r="B60" s="251"/>
      <c r="C60" s="259"/>
      <c r="D60" s="260"/>
      <c r="E60" s="260"/>
      <c r="F60" s="260"/>
      <c r="G60" s="260"/>
      <c r="H60" s="249"/>
      <c r="I60" s="249"/>
      <c r="J60" s="249"/>
      <c r="K60" s="249"/>
      <c r="L60" s="249"/>
      <c r="M60" s="249"/>
      <c r="N60" s="249"/>
      <c r="O60" s="249"/>
      <c r="P60" s="249"/>
      <c r="Q60" s="249"/>
      <c r="R60" s="249"/>
      <c r="S60" s="249"/>
      <c r="T60" s="249"/>
      <c r="U60" s="249"/>
      <c r="V60" s="249"/>
    </row>
    <row r="61" spans="1:22" x14ac:dyDescent="0.25">
      <c r="A61" s="251"/>
      <c r="B61" s="251"/>
      <c r="C61" s="259"/>
      <c r="D61" s="260"/>
      <c r="E61" s="260"/>
      <c r="F61" s="260"/>
      <c r="G61" s="260"/>
      <c r="H61" s="249"/>
      <c r="I61" s="249"/>
      <c r="J61" s="249"/>
      <c r="K61" s="249"/>
      <c r="L61" s="249"/>
      <c r="M61" s="249"/>
      <c r="N61" s="249"/>
      <c r="O61" s="249"/>
      <c r="P61" s="249"/>
      <c r="Q61" s="249"/>
      <c r="R61" s="249"/>
      <c r="S61" s="249"/>
      <c r="T61" s="249"/>
      <c r="U61" s="249"/>
      <c r="V61" s="249"/>
    </row>
    <row r="62" spans="1:22" x14ac:dyDescent="0.25">
      <c r="A62" s="251"/>
      <c r="B62" s="251"/>
      <c r="C62" s="259"/>
      <c r="D62" s="260"/>
      <c r="E62" s="260"/>
      <c r="F62" s="260"/>
      <c r="G62" s="260"/>
      <c r="H62" s="249"/>
      <c r="I62" s="249"/>
      <c r="J62" s="249"/>
      <c r="K62" s="249"/>
      <c r="L62" s="249"/>
      <c r="M62" s="249"/>
      <c r="N62" s="249"/>
      <c r="O62" s="249"/>
      <c r="P62" s="249"/>
      <c r="Q62" s="249"/>
      <c r="R62" s="249"/>
      <c r="S62" s="249"/>
      <c r="T62" s="249"/>
      <c r="U62" s="249"/>
      <c r="V62" s="249"/>
    </row>
    <row r="63" spans="1:22" x14ac:dyDescent="0.25">
      <c r="A63" s="251"/>
      <c r="B63" s="251"/>
      <c r="C63" s="259"/>
      <c r="D63" s="260"/>
      <c r="E63" s="260"/>
      <c r="F63" s="260"/>
      <c r="G63" s="260"/>
      <c r="H63" s="249"/>
      <c r="I63" s="249"/>
      <c r="J63" s="249"/>
      <c r="K63" s="249"/>
      <c r="L63" s="249"/>
      <c r="M63" s="249"/>
      <c r="N63" s="249"/>
      <c r="O63" s="249"/>
      <c r="P63" s="249"/>
      <c r="Q63" s="249"/>
      <c r="R63" s="249"/>
      <c r="S63" s="249"/>
      <c r="T63" s="249"/>
      <c r="U63" s="249"/>
      <c r="V63" s="249"/>
    </row>
    <row r="64" spans="1:22" x14ac:dyDescent="0.25">
      <c r="A64" s="251"/>
      <c r="B64" s="251"/>
      <c r="C64" s="259"/>
      <c r="D64" s="260"/>
      <c r="E64" s="260"/>
      <c r="F64" s="260"/>
      <c r="G64" s="260"/>
      <c r="H64" s="249"/>
      <c r="I64" s="249"/>
      <c r="J64" s="249"/>
      <c r="K64" s="249"/>
      <c r="L64" s="249"/>
      <c r="M64" s="249"/>
      <c r="N64" s="249"/>
      <c r="O64" s="249"/>
      <c r="P64" s="249"/>
      <c r="Q64" s="249"/>
      <c r="R64" s="249"/>
      <c r="S64" s="249"/>
      <c r="T64" s="249"/>
      <c r="U64" s="249"/>
      <c r="V64" s="249"/>
    </row>
    <row r="65" spans="1:7" x14ac:dyDescent="0.25">
      <c r="A65" s="251"/>
      <c r="B65" s="251"/>
      <c r="C65" s="259"/>
      <c r="D65" s="260"/>
      <c r="E65" s="260"/>
      <c r="F65" s="260"/>
      <c r="G65" s="260"/>
    </row>
    <row r="66" spans="1:7" x14ac:dyDescent="0.25">
      <c r="A66" s="251"/>
      <c r="B66" s="251"/>
      <c r="C66" s="259"/>
      <c r="D66" s="260"/>
      <c r="E66" s="260"/>
      <c r="F66" s="260"/>
      <c r="G66" s="260"/>
    </row>
    <row r="67" spans="1:7" x14ac:dyDescent="0.25">
      <c r="A67" s="251"/>
      <c r="B67" s="251"/>
      <c r="C67" s="259"/>
      <c r="D67" s="260"/>
      <c r="E67" s="260"/>
      <c r="F67" s="260"/>
      <c r="G67" s="260"/>
    </row>
    <row r="68" spans="1:7" x14ac:dyDescent="0.25">
      <c r="A68" s="251"/>
      <c r="B68" s="251"/>
      <c r="C68" s="259"/>
      <c r="D68" s="260"/>
      <c r="E68" s="260"/>
      <c r="F68" s="260"/>
      <c r="G68" s="260"/>
    </row>
    <row r="69" spans="1:7" x14ac:dyDescent="0.25">
      <c r="A69" s="251"/>
      <c r="B69" s="251"/>
      <c r="C69" s="259"/>
      <c r="D69" s="260"/>
      <c r="E69" s="260"/>
      <c r="F69" s="260"/>
      <c r="G69" s="260"/>
    </row>
    <row r="70" spans="1:7" x14ac:dyDescent="0.25">
      <c r="A70" s="251"/>
      <c r="B70" s="251"/>
      <c r="C70" s="249"/>
      <c r="D70" s="249"/>
      <c r="E70" s="249"/>
      <c r="F70" s="249"/>
      <c r="G70" s="249"/>
    </row>
  </sheetData>
  <mergeCells count="3">
    <mergeCell ref="C2:E2"/>
    <mergeCell ref="N5:P5"/>
    <mergeCell ref="R5:T5"/>
  </mergeCell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5:Y59"/>
  <sheetViews>
    <sheetView topLeftCell="C1" zoomScale="85" zoomScaleNormal="85" workbookViewId="0">
      <selection activeCell="G15" sqref="G15"/>
    </sheetView>
  </sheetViews>
  <sheetFormatPr defaultRowHeight="13.2" x14ac:dyDescent="0.25"/>
  <cols>
    <col min="4" max="4" width="37.44140625" customWidth="1"/>
    <col min="5" max="5" width="15.6640625" customWidth="1"/>
    <col min="9" max="9" width="13.33203125" customWidth="1"/>
    <col min="10" max="10" width="11.6640625" customWidth="1"/>
    <col min="11" max="11" width="11.44140625" customWidth="1"/>
    <col min="12" max="12" width="15" customWidth="1"/>
    <col min="13" max="13" width="13.6640625" customWidth="1"/>
  </cols>
  <sheetData>
    <row r="5" spans="3:4" x14ac:dyDescent="0.25">
      <c r="C5" s="240" t="s">
        <v>414</v>
      </c>
      <c r="D5" s="237"/>
    </row>
    <row r="7" spans="3:4" x14ac:dyDescent="0.25">
      <c r="C7" s="240" t="s">
        <v>415</v>
      </c>
      <c r="D7" s="237"/>
    </row>
    <row r="8" spans="3:4" x14ac:dyDescent="0.25">
      <c r="C8" s="240" t="s">
        <v>416</v>
      </c>
      <c r="D8" s="237"/>
    </row>
    <row r="10" spans="3:4" x14ac:dyDescent="0.25">
      <c r="C10" s="240" t="s">
        <v>417</v>
      </c>
      <c r="D10" s="237"/>
    </row>
    <row r="11" spans="3:4" x14ac:dyDescent="0.25">
      <c r="C11" s="240" t="s">
        <v>483</v>
      </c>
      <c r="D11" s="237"/>
    </row>
    <row r="12" spans="3:4" x14ac:dyDescent="0.25">
      <c r="C12" s="240" t="s">
        <v>484</v>
      </c>
      <c r="D12" s="237"/>
    </row>
    <row r="13" spans="3:4" x14ac:dyDescent="0.25">
      <c r="C13" s="240" t="s">
        <v>485</v>
      </c>
      <c r="D13" s="237"/>
    </row>
    <row r="14" spans="3:4" x14ac:dyDescent="0.25">
      <c r="C14" s="240" t="s">
        <v>428</v>
      </c>
      <c r="D14" s="240" t="s">
        <v>429</v>
      </c>
    </row>
    <row r="15" spans="3:4" ht="12" customHeight="1" x14ac:dyDescent="0.25">
      <c r="C15" s="240"/>
      <c r="D15" s="240" t="s">
        <v>431</v>
      </c>
    </row>
    <row r="16" spans="3:4" ht="12" customHeight="1" x14ac:dyDescent="0.25">
      <c r="C16" s="240"/>
      <c r="D16" s="240"/>
    </row>
    <row r="17" spans="3:13" ht="12" customHeight="1" x14ac:dyDescent="0.25">
      <c r="C17" s="240"/>
      <c r="D17" s="240"/>
      <c r="E17" s="237"/>
      <c r="F17" s="237"/>
      <c r="G17" s="237"/>
      <c r="H17" s="237"/>
      <c r="I17" s="237"/>
      <c r="J17" s="237"/>
      <c r="K17" s="237"/>
      <c r="L17" s="237"/>
      <c r="M17" s="237"/>
    </row>
    <row r="18" spans="3:13" ht="12" customHeight="1" x14ac:dyDescent="0.25">
      <c r="C18" s="240"/>
      <c r="D18" s="244" t="s">
        <v>446</v>
      </c>
      <c r="E18" s="237"/>
      <c r="F18" s="237"/>
      <c r="G18" s="237"/>
      <c r="H18" s="237"/>
      <c r="I18" s="237"/>
      <c r="J18" s="237"/>
      <c r="K18" s="237"/>
      <c r="L18" s="237"/>
      <c r="M18" s="237"/>
    </row>
    <row r="19" spans="3:13" x14ac:dyDescent="0.25">
      <c r="C19" s="240"/>
      <c r="D19" s="240" t="s">
        <v>444</v>
      </c>
      <c r="E19" s="237">
        <f>SOA!H25</f>
        <v>91.75</v>
      </c>
      <c r="F19" s="237"/>
      <c r="G19" s="237"/>
      <c r="H19" s="237"/>
      <c r="I19" s="237"/>
      <c r="J19" s="237"/>
      <c r="K19" s="237"/>
      <c r="L19" s="237"/>
      <c r="M19" s="237"/>
    </row>
    <row r="20" spans="3:13" x14ac:dyDescent="0.25">
      <c r="C20" s="237"/>
      <c r="D20" s="240" t="s">
        <v>426</v>
      </c>
      <c r="E20" s="237">
        <v>1.3</v>
      </c>
      <c r="F20" s="237"/>
      <c r="G20" s="237"/>
      <c r="H20" s="237"/>
      <c r="I20" s="245" t="s">
        <v>435</v>
      </c>
      <c r="J20" s="237"/>
      <c r="K20" s="243"/>
      <c r="L20" s="243"/>
      <c r="M20" s="243"/>
    </row>
    <row r="21" spans="3:13" x14ac:dyDescent="0.25">
      <c r="C21" s="237"/>
      <c r="D21" s="240" t="s">
        <v>418</v>
      </c>
      <c r="E21" s="237">
        <f>1/2*COUTMAX*VINMAX^2*0.000001</f>
        <v>5.7499199999999993E-2</v>
      </c>
      <c r="F21" s="237"/>
      <c r="G21" s="237"/>
      <c r="H21" s="237"/>
      <c r="I21" s="237"/>
      <c r="J21" s="244" t="s">
        <v>436</v>
      </c>
      <c r="K21" s="248" t="s">
        <v>437</v>
      </c>
      <c r="L21" s="248" t="s">
        <v>438</v>
      </c>
      <c r="M21" s="248" t="s">
        <v>439</v>
      </c>
    </row>
    <row r="22" spans="3:13" x14ac:dyDescent="0.25">
      <c r="C22" s="237"/>
      <c r="D22" s="240" t="s">
        <v>420</v>
      </c>
      <c r="E22" s="237">
        <f>MAX(Equations!F68-E21,0)</f>
        <v>0</v>
      </c>
      <c r="F22" s="237"/>
      <c r="G22" s="237"/>
      <c r="H22" s="237"/>
      <c r="I22" s="245" t="s">
        <v>440</v>
      </c>
      <c r="J22" s="241">
        <v>0.1</v>
      </c>
      <c r="K22" s="238">
        <v>1</v>
      </c>
      <c r="L22" s="243">
        <v>10</v>
      </c>
      <c r="M22" s="242">
        <v>100</v>
      </c>
    </row>
    <row r="23" spans="3:13" x14ac:dyDescent="0.25">
      <c r="C23" s="237"/>
      <c r="D23" s="240" t="s">
        <v>421</v>
      </c>
      <c r="E23" s="237">
        <f>Equations!F67</f>
        <v>5.2799999999999994</v>
      </c>
      <c r="F23" s="237"/>
      <c r="G23" s="237"/>
      <c r="H23" s="237"/>
      <c r="I23" s="241" t="s">
        <v>441</v>
      </c>
      <c r="J23" s="238">
        <v>1</v>
      </c>
      <c r="K23" s="238">
        <v>10</v>
      </c>
      <c r="L23" s="243">
        <v>100</v>
      </c>
      <c r="M23" s="242">
        <v>1000</v>
      </c>
    </row>
    <row r="24" spans="3:13" x14ac:dyDescent="0.25">
      <c r="C24" s="237"/>
      <c r="D24" s="237"/>
      <c r="E24" s="237"/>
      <c r="F24" s="237"/>
      <c r="G24" s="237"/>
      <c r="H24" s="237"/>
      <c r="I24" s="241" t="s">
        <v>197</v>
      </c>
      <c r="J24" s="238">
        <f>SOA!C33</f>
        <v>16.000000000000004</v>
      </c>
      <c r="K24" s="238">
        <f>SOA!D33</f>
        <v>16</v>
      </c>
      <c r="L24" s="238">
        <f>SOA!E33</f>
        <v>20.25</v>
      </c>
      <c r="M24" s="238">
        <f>SOA!F33</f>
        <v>4</v>
      </c>
    </row>
    <row r="25" spans="3:13" x14ac:dyDescent="0.25">
      <c r="C25" s="237"/>
      <c r="D25" s="237" t="s">
        <v>204</v>
      </c>
      <c r="E25" s="237">
        <f>'Design Calculator'!F69</f>
        <v>0</v>
      </c>
      <c r="F25" s="237"/>
      <c r="G25" s="237"/>
      <c r="H25" s="237"/>
      <c r="I25" s="241" t="s">
        <v>198</v>
      </c>
      <c r="J25" s="236">
        <f>SOA!C34</f>
        <v>-0.49485002168009401</v>
      </c>
      <c r="K25" s="236">
        <f>SOA!D34</f>
        <v>-0.24987747321659989</v>
      </c>
      <c r="L25" s="236">
        <f>SOA!E34</f>
        <v>-0.35218251811136247</v>
      </c>
      <c r="M25" s="236">
        <f>SOA!F34</f>
        <v>0</v>
      </c>
    </row>
    <row r="26" spans="3:13" x14ac:dyDescent="0.25">
      <c r="C26" s="237"/>
      <c r="D26" s="237" t="s">
        <v>147</v>
      </c>
      <c r="E26" s="237" t="str">
        <f>'Design Calculator'!F70</f>
        <v>Constant Current</v>
      </c>
      <c r="F26" s="237"/>
      <c r="G26" s="237"/>
      <c r="H26" s="237"/>
      <c r="I26" s="237"/>
      <c r="J26" s="237"/>
      <c r="K26" s="237"/>
      <c r="L26" s="237"/>
      <c r="M26" s="237"/>
    </row>
    <row r="27" spans="3:13" x14ac:dyDescent="0.25">
      <c r="C27" s="237"/>
      <c r="D27" s="237" t="s">
        <v>148</v>
      </c>
      <c r="E27" s="237">
        <f>'Design Calculator'!F71</f>
        <v>0</v>
      </c>
      <c r="F27" s="237"/>
      <c r="G27" s="237"/>
      <c r="H27" s="237"/>
      <c r="I27" s="246" t="s">
        <v>457</v>
      </c>
      <c r="J27" s="244" t="s">
        <v>161</v>
      </c>
      <c r="K27" s="237"/>
      <c r="L27" s="237"/>
      <c r="M27" s="237"/>
    </row>
    <row r="28" spans="3:13" x14ac:dyDescent="0.25">
      <c r="C28" s="237"/>
      <c r="D28" s="237"/>
      <c r="E28" s="237"/>
      <c r="F28" s="237"/>
      <c r="G28" s="237" t="s">
        <v>455</v>
      </c>
      <c r="H28" s="237"/>
      <c r="I28" s="239">
        <f>SUM(E58:X58)</f>
        <v>9.0797607307073172</v>
      </c>
      <c r="J28" s="239">
        <f>IF(I28=0, "NA", I28/AVERAGE(1, E32))</f>
        <v>10.337605835323144</v>
      </c>
      <c r="K28" s="237"/>
      <c r="L28" s="237"/>
      <c r="M28" s="237"/>
    </row>
    <row r="29" spans="3:13" x14ac:dyDescent="0.25">
      <c r="C29" s="237"/>
      <c r="D29" s="240" t="s">
        <v>481</v>
      </c>
      <c r="E29" s="237">
        <f>12/1</f>
        <v>12</v>
      </c>
      <c r="F29" s="237"/>
      <c r="G29" s="237" t="s">
        <v>456</v>
      </c>
      <c r="H29" s="237"/>
      <c r="I29" s="239">
        <f>SUM(E59:X59)</f>
        <v>5.9999999999999984E-2</v>
      </c>
      <c r="J29" s="239">
        <f>IF(I29=0, "NA", I29*AVERAGE(1,E32))</f>
        <v>5.2699401826768279E-2</v>
      </c>
      <c r="K29" s="237"/>
      <c r="L29" s="237"/>
      <c r="M29" s="237"/>
    </row>
    <row r="30" spans="3:13" x14ac:dyDescent="0.25">
      <c r="C30" s="237"/>
      <c r="D30" s="240" t="s">
        <v>482</v>
      </c>
      <c r="E30" s="237">
        <v>0.06</v>
      </c>
      <c r="F30" s="237"/>
      <c r="G30" s="237"/>
      <c r="H30" s="237"/>
      <c r="I30" s="237"/>
      <c r="J30" s="237"/>
      <c r="K30" s="237"/>
      <c r="L30" s="237"/>
      <c r="M30" s="237"/>
    </row>
    <row r="31" spans="3:13" x14ac:dyDescent="0.25">
      <c r="C31" s="237"/>
      <c r="D31" s="240" t="s">
        <v>447</v>
      </c>
      <c r="E31" s="237">
        <v>20</v>
      </c>
      <c r="F31" s="237"/>
      <c r="G31" s="237"/>
      <c r="H31" s="237"/>
      <c r="I31" s="237"/>
      <c r="J31" s="237"/>
      <c r="K31" s="237"/>
      <c r="L31" s="237"/>
      <c r="M31" s="237"/>
    </row>
    <row r="32" spans="3:13" x14ac:dyDescent="0.25">
      <c r="C32" s="237"/>
      <c r="D32" s="240" t="s">
        <v>448</v>
      </c>
      <c r="E32" s="237">
        <f>(E30/E29)^(1/(E31-1))</f>
        <v>0.75664672755894302</v>
      </c>
      <c r="F32" s="237"/>
      <c r="G32" s="237"/>
      <c r="H32" s="237"/>
      <c r="I32" s="237"/>
      <c r="J32" s="237"/>
      <c r="K32" s="237"/>
      <c r="L32" s="237"/>
      <c r="M32" s="237"/>
    </row>
    <row r="33" spans="4:24" x14ac:dyDescent="0.25">
      <c r="D33" s="240"/>
      <c r="E33" s="237"/>
      <c r="F33" s="237"/>
      <c r="G33" s="237"/>
      <c r="H33" s="237"/>
      <c r="I33" s="237"/>
      <c r="J33" s="237"/>
      <c r="K33" s="237"/>
      <c r="L33" s="237"/>
      <c r="M33" s="237"/>
      <c r="N33" s="237"/>
      <c r="O33" s="237"/>
      <c r="P33" s="237"/>
      <c r="Q33" s="237"/>
      <c r="R33" s="237"/>
      <c r="S33" s="237"/>
      <c r="T33" s="237"/>
      <c r="U33" s="237"/>
      <c r="V33" s="237"/>
      <c r="W33" s="237"/>
      <c r="X33" s="237"/>
    </row>
    <row r="34" spans="4:24" x14ac:dyDescent="0.25">
      <c r="D34" s="237"/>
      <c r="E34" s="237">
        <v>1</v>
      </c>
      <c r="F34" s="237">
        <v>2</v>
      </c>
      <c r="G34" s="237">
        <v>3</v>
      </c>
      <c r="H34" s="237">
        <v>4</v>
      </c>
      <c r="I34" s="237">
        <v>5</v>
      </c>
      <c r="J34" s="237">
        <v>6</v>
      </c>
      <c r="K34" s="237">
        <v>7</v>
      </c>
      <c r="L34" s="237">
        <v>8</v>
      </c>
      <c r="M34" s="237">
        <v>9</v>
      </c>
      <c r="N34" s="237">
        <v>10</v>
      </c>
      <c r="O34" s="237">
        <v>11</v>
      </c>
      <c r="P34" s="237">
        <v>12</v>
      </c>
      <c r="Q34" s="237">
        <v>13</v>
      </c>
      <c r="R34" s="237">
        <v>14</v>
      </c>
      <c r="S34" s="237">
        <v>15</v>
      </c>
      <c r="T34" s="237">
        <v>16</v>
      </c>
      <c r="U34" s="237">
        <v>17</v>
      </c>
      <c r="V34" s="237">
        <v>18</v>
      </c>
      <c r="W34" s="237">
        <v>19</v>
      </c>
      <c r="X34" s="237">
        <v>20</v>
      </c>
    </row>
    <row r="35" spans="4:24" x14ac:dyDescent="0.25">
      <c r="D35" s="247" t="s">
        <v>419</v>
      </c>
      <c r="E35" s="247">
        <f>E29</f>
        <v>12</v>
      </c>
      <c r="F35" s="247">
        <f t="shared" ref="F35:X35" si="0">E35*$E$32</f>
        <v>9.0797607307073172</v>
      </c>
      <c r="G35" s="247">
        <f t="shared" si="0"/>
        <v>6.8701712439078886</v>
      </c>
      <c r="H35" s="247">
        <f t="shared" si="0"/>
        <v>5.198292589472457</v>
      </c>
      <c r="I35" s="247">
        <f t="shared" si="0"/>
        <v>3.9332710767182384</v>
      </c>
      <c r="J35" s="247">
        <f t="shared" si="0"/>
        <v>2.9760966888010953</v>
      </c>
      <c r="K35" s="247">
        <f t="shared" si="0"/>
        <v>2.2518538204803549</v>
      </c>
      <c r="L35" s="247">
        <f t="shared" si="0"/>
        <v>1.7038578242075642</v>
      </c>
      <c r="M35" s="247">
        <f t="shared" si="0"/>
        <v>1.2892184469123542</v>
      </c>
      <c r="N35" s="247">
        <f t="shared" si="0"/>
        <v>0.97548291896485573</v>
      </c>
      <c r="O35" s="247">
        <f t="shared" si="0"/>
        <v>0.73809595842440368</v>
      </c>
      <c r="P35" s="247">
        <f t="shared" si="0"/>
        <v>0.55847789156630667</v>
      </c>
      <c r="Q35" s="247">
        <f t="shared" si="0"/>
        <v>0.42257046906766416</v>
      </c>
      <c r="R35" s="247">
        <f t="shared" si="0"/>
        <v>0.31973656258309563</v>
      </c>
      <c r="S35" s="247">
        <f t="shared" si="0"/>
        <v>0.24192762375944449</v>
      </c>
      <c r="T35" s="247">
        <f t="shared" si="0"/>
        <v>0.18305374482369485</v>
      </c>
      <c r="U35" s="247">
        <f t="shared" si="0"/>
        <v>0.13850701698825851</v>
      </c>
      <c r="V35" s="247">
        <f t="shared" si="0"/>
        <v>0.10480088114811673</v>
      </c>
      <c r="W35" s="247">
        <f t="shared" si="0"/>
        <v>7.929724376601624E-2</v>
      </c>
      <c r="X35" s="247">
        <f t="shared" si="0"/>
        <v>5.9999999999999984E-2</v>
      </c>
    </row>
    <row r="36" spans="4:24" x14ac:dyDescent="0.25">
      <c r="D36" s="240" t="s">
        <v>422</v>
      </c>
      <c r="E36" s="237">
        <f t="shared" ref="E36:X36" si="1">VINMAX/E35</f>
        <v>1.0999999999999999</v>
      </c>
      <c r="F36" s="237">
        <f t="shared" si="1"/>
        <v>1.4537828023769646</v>
      </c>
      <c r="G36" s="237">
        <f t="shared" si="1"/>
        <v>1.9213494877154735</v>
      </c>
      <c r="H36" s="237">
        <f t="shared" si="1"/>
        <v>2.5392953114514061</v>
      </c>
      <c r="I36" s="237">
        <f t="shared" si="1"/>
        <v>3.3559853217677391</v>
      </c>
      <c r="J36" s="237">
        <f t="shared" si="1"/>
        <v>4.4353397689231491</v>
      </c>
      <c r="K36" s="237">
        <f t="shared" si="1"/>
        <v>5.8618369806900867</v>
      </c>
      <c r="L36" s="237">
        <f t="shared" si="1"/>
        <v>7.7471252662405083</v>
      </c>
      <c r="M36" s="237">
        <f t="shared" si="1"/>
        <v>10.238761345382288</v>
      </c>
      <c r="N36" s="237">
        <f t="shared" si="1"/>
        <v>13.531759237780731</v>
      </c>
      <c r="O36" s="237">
        <f t="shared" si="1"/>
        <v>17.883853514355685</v>
      </c>
      <c r="P36" s="237">
        <f t="shared" si="1"/>
        <v>23.63567152672649</v>
      </c>
      <c r="Q36" s="237">
        <f t="shared" si="1"/>
        <v>31.237393443805338</v>
      </c>
      <c r="R36" s="237">
        <f t="shared" si="1"/>
        <v>41.283986708806502</v>
      </c>
      <c r="S36" s="237">
        <f t="shared" si="1"/>
        <v>54.56177262802008</v>
      </c>
      <c r="T36" s="237">
        <f t="shared" si="1"/>
        <v>72.109969739834369</v>
      </c>
      <c r="U36" s="237">
        <f t="shared" si="1"/>
        <v>95.302030806995049</v>
      </c>
      <c r="V36" s="237">
        <f t="shared" si="1"/>
        <v>125.95313947164463</v>
      </c>
      <c r="W36" s="237">
        <f t="shared" si="1"/>
        <v>166.46228006296749</v>
      </c>
      <c r="X36" s="237">
        <f t="shared" si="1"/>
        <v>220.00000000000006</v>
      </c>
    </row>
    <row r="37" spans="4:24" x14ac:dyDescent="0.25">
      <c r="D37" s="240" t="s">
        <v>423</v>
      </c>
      <c r="E37" s="237">
        <f t="shared" ref="E37:X37" si="2">E35*COUTMAX/1000</f>
        <v>7.92</v>
      </c>
      <c r="F37" s="237">
        <f t="shared" si="2"/>
        <v>5.9926420822668298</v>
      </c>
      <c r="G37" s="237">
        <f t="shared" si="2"/>
        <v>4.534313020979206</v>
      </c>
      <c r="H37" s="237">
        <f t="shared" si="2"/>
        <v>3.4308731090518219</v>
      </c>
      <c r="I37" s="237">
        <f t="shared" si="2"/>
        <v>2.5959589106340371</v>
      </c>
      <c r="J37" s="237">
        <f t="shared" si="2"/>
        <v>1.964223814608723</v>
      </c>
      <c r="K37" s="237">
        <f t="shared" si="2"/>
        <v>1.4862235215170343</v>
      </c>
      <c r="L37" s="237">
        <f t="shared" si="2"/>
        <v>1.1245461639769925</v>
      </c>
      <c r="M37" s="237">
        <f t="shared" si="2"/>
        <v>0.85088417496215374</v>
      </c>
      <c r="N37" s="237">
        <f t="shared" si="2"/>
        <v>0.64381872651680472</v>
      </c>
      <c r="O37" s="237">
        <f t="shared" si="2"/>
        <v>0.48714333256010645</v>
      </c>
      <c r="P37" s="237">
        <f t="shared" si="2"/>
        <v>0.36859540843376243</v>
      </c>
      <c r="Q37" s="237">
        <f t="shared" si="2"/>
        <v>0.27889650958465834</v>
      </c>
      <c r="R37" s="237">
        <f t="shared" si="2"/>
        <v>0.21102613130484313</v>
      </c>
      <c r="S37" s="237">
        <f t="shared" si="2"/>
        <v>0.15967223168123337</v>
      </c>
      <c r="T37" s="237">
        <f t="shared" si="2"/>
        <v>0.1208154715836386</v>
      </c>
      <c r="U37" s="237">
        <f t="shared" si="2"/>
        <v>9.1414631212250616E-2</v>
      </c>
      <c r="V37" s="237">
        <f t="shared" si="2"/>
        <v>6.9168581557757042E-2</v>
      </c>
      <c r="W37" s="237">
        <f t="shared" si="2"/>
        <v>5.2336180885570717E-2</v>
      </c>
      <c r="X37" s="237">
        <f t="shared" si="2"/>
        <v>3.9599999999999989E-2</v>
      </c>
    </row>
    <row r="38" spans="4:24" x14ac:dyDescent="0.25">
      <c r="D38" s="240" t="s">
        <v>424</v>
      </c>
      <c r="E38" s="237">
        <f t="shared" ref="E38:X38" si="3">$E$21+$E$22*E36/$E$23</f>
        <v>5.7499199999999993E-2</v>
      </c>
      <c r="F38" s="237">
        <f t="shared" si="3"/>
        <v>5.7499199999999993E-2</v>
      </c>
      <c r="G38" s="237">
        <f t="shared" si="3"/>
        <v>5.7499199999999993E-2</v>
      </c>
      <c r="H38" s="237">
        <f t="shared" si="3"/>
        <v>5.7499199999999993E-2</v>
      </c>
      <c r="I38" s="237">
        <f t="shared" si="3"/>
        <v>5.7499199999999993E-2</v>
      </c>
      <c r="J38" s="237">
        <f t="shared" si="3"/>
        <v>5.7499199999999993E-2</v>
      </c>
      <c r="K38" s="237">
        <f t="shared" si="3"/>
        <v>5.7499199999999993E-2</v>
      </c>
      <c r="L38" s="237">
        <f t="shared" si="3"/>
        <v>5.7499199999999993E-2</v>
      </c>
      <c r="M38" s="237">
        <f t="shared" si="3"/>
        <v>5.7499199999999993E-2</v>
      </c>
      <c r="N38" s="237">
        <f t="shared" si="3"/>
        <v>5.7499199999999993E-2</v>
      </c>
      <c r="O38" s="237">
        <f t="shared" si="3"/>
        <v>5.7499199999999993E-2</v>
      </c>
      <c r="P38" s="237">
        <f t="shared" si="3"/>
        <v>5.7499199999999993E-2</v>
      </c>
      <c r="Q38" s="237">
        <f t="shared" si="3"/>
        <v>5.7499199999999993E-2</v>
      </c>
      <c r="R38" s="237">
        <f t="shared" si="3"/>
        <v>5.7499199999999993E-2</v>
      </c>
      <c r="S38" s="237">
        <f t="shared" si="3"/>
        <v>5.7499199999999993E-2</v>
      </c>
      <c r="T38" s="237">
        <f t="shared" si="3"/>
        <v>5.7499199999999993E-2</v>
      </c>
      <c r="U38" s="237">
        <f t="shared" si="3"/>
        <v>5.7499199999999993E-2</v>
      </c>
      <c r="V38" s="237">
        <f t="shared" si="3"/>
        <v>5.7499199999999993E-2</v>
      </c>
      <c r="W38" s="237">
        <f t="shared" si="3"/>
        <v>5.7499199999999993E-2</v>
      </c>
      <c r="X38" s="237">
        <f t="shared" si="3"/>
        <v>5.7499199999999993E-2</v>
      </c>
    </row>
    <row r="39" spans="4:24" x14ac:dyDescent="0.25">
      <c r="D39" s="240" t="s">
        <v>427</v>
      </c>
      <c r="E39" s="237">
        <f t="shared" ref="E39:X39" si="4">(E37+IF($E$26="Resistive",0,IF($E$25=0,$E$27,0)))*VINMAX</f>
        <v>104.544</v>
      </c>
      <c r="F39" s="237">
        <f t="shared" si="4"/>
        <v>79.102875485922155</v>
      </c>
      <c r="G39" s="237">
        <f t="shared" si="4"/>
        <v>59.852931876925517</v>
      </c>
      <c r="H39" s="237">
        <f t="shared" si="4"/>
        <v>45.287525039484045</v>
      </c>
      <c r="I39" s="237">
        <f t="shared" si="4"/>
        <v>34.266657620369287</v>
      </c>
      <c r="J39" s="237">
        <f t="shared" si="4"/>
        <v>25.927754352835141</v>
      </c>
      <c r="K39" s="237">
        <f t="shared" si="4"/>
        <v>19.618150484024852</v>
      </c>
      <c r="L39" s="237">
        <f t="shared" si="4"/>
        <v>14.8440093644963</v>
      </c>
      <c r="M39" s="237">
        <f t="shared" si="4"/>
        <v>11.231671109500429</v>
      </c>
      <c r="N39" s="237">
        <f t="shared" si="4"/>
        <v>8.4984071900218225</v>
      </c>
      <c r="O39" s="237">
        <f t="shared" si="4"/>
        <v>6.430291989793405</v>
      </c>
      <c r="P39" s="237">
        <f t="shared" si="4"/>
        <v>4.8654593913256639</v>
      </c>
      <c r="Q39" s="237">
        <f t="shared" si="4"/>
        <v>3.68143392651749</v>
      </c>
      <c r="R39" s="237">
        <f t="shared" si="4"/>
        <v>2.785544933223929</v>
      </c>
      <c r="S39" s="237">
        <f t="shared" si="4"/>
        <v>2.1076734581922802</v>
      </c>
      <c r="T39" s="237">
        <f t="shared" si="4"/>
        <v>1.5947642249040295</v>
      </c>
      <c r="U39" s="237">
        <f t="shared" si="4"/>
        <v>1.2066731320017081</v>
      </c>
      <c r="V39" s="237">
        <f t="shared" si="4"/>
        <v>0.91302527656239285</v>
      </c>
      <c r="W39" s="237">
        <f t="shared" si="4"/>
        <v>0.69083758768953341</v>
      </c>
      <c r="X39" s="237">
        <f t="shared" si="4"/>
        <v>0.52271999999999985</v>
      </c>
    </row>
    <row r="40" spans="4:24" x14ac:dyDescent="0.25">
      <c r="D40" s="240" t="s">
        <v>425</v>
      </c>
      <c r="E40" s="237">
        <f t="shared" ref="E40:X40" si="5">(E37+IF($E$26="Resistive", $E$25/$E$27,$E$27)) *(VINMAX-$E$25)</f>
        <v>104.544</v>
      </c>
      <c r="F40" s="237">
        <f t="shared" si="5"/>
        <v>79.102875485922155</v>
      </c>
      <c r="G40" s="237">
        <f t="shared" si="5"/>
        <v>59.852931876925517</v>
      </c>
      <c r="H40" s="237">
        <f t="shared" si="5"/>
        <v>45.287525039484045</v>
      </c>
      <c r="I40" s="237">
        <f t="shared" si="5"/>
        <v>34.266657620369287</v>
      </c>
      <c r="J40" s="237">
        <f t="shared" si="5"/>
        <v>25.927754352835141</v>
      </c>
      <c r="K40" s="237">
        <f t="shared" si="5"/>
        <v>19.618150484024852</v>
      </c>
      <c r="L40" s="237">
        <f t="shared" si="5"/>
        <v>14.8440093644963</v>
      </c>
      <c r="M40" s="237">
        <f t="shared" si="5"/>
        <v>11.231671109500429</v>
      </c>
      <c r="N40" s="237">
        <f t="shared" si="5"/>
        <v>8.4984071900218225</v>
      </c>
      <c r="O40" s="237">
        <f t="shared" si="5"/>
        <v>6.430291989793405</v>
      </c>
      <c r="P40" s="237">
        <f t="shared" si="5"/>
        <v>4.8654593913256639</v>
      </c>
      <c r="Q40" s="237">
        <f t="shared" si="5"/>
        <v>3.68143392651749</v>
      </c>
      <c r="R40" s="237">
        <f t="shared" si="5"/>
        <v>2.785544933223929</v>
      </c>
      <c r="S40" s="237">
        <f t="shared" si="5"/>
        <v>2.1076734581922802</v>
      </c>
      <c r="T40" s="237">
        <f t="shared" si="5"/>
        <v>1.5947642249040295</v>
      </c>
      <c r="U40" s="237">
        <f t="shared" si="5"/>
        <v>1.2066731320017081</v>
      </c>
      <c r="V40" s="237">
        <f t="shared" si="5"/>
        <v>0.91302527656239285</v>
      </c>
      <c r="W40" s="237">
        <f t="shared" si="5"/>
        <v>0.69083758768953341</v>
      </c>
      <c r="X40" s="237">
        <f t="shared" si="5"/>
        <v>0.52271999999999985</v>
      </c>
    </row>
    <row r="41" spans="4:24" x14ac:dyDescent="0.25">
      <c r="D41" s="240" t="s">
        <v>430</v>
      </c>
      <c r="E41" s="237">
        <f t="shared" ref="E41:X41" si="6">IF($E$26="Resistive", -$E$27*E37/2 + VINMAX/2, -1)</f>
        <v>-1</v>
      </c>
      <c r="F41" s="237">
        <f t="shared" si="6"/>
        <v>-1</v>
      </c>
      <c r="G41" s="237">
        <f t="shared" si="6"/>
        <v>-1</v>
      </c>
      <c r="H41" s="237">
        <f t="shared" si="6"/>
        <v>-1</v>
      </c>
      <c r="I41" s="237">
        <f t="shared" si="6"/>
        <v>-1</v>
      </c>
      <c r="J41" s="237">
        <f t="shared" si="6"/>
        <v>-1</v>
      </c>
      <c r="K41" s="237">
        <f t="shared" si="6"/>
        <v>-1</v>
      </c>
      <c r="L41" s="237">
        <f t="shared" si="6"/>
        <v>-1</v>
      </c>
      <c r="M41" s="237">
        <f t="shared" si="6"/>
        <v>-1</v>
      </c>
      <c r="N41" s="237">
        <f t="shared" si="6"/>
        <v>-1</v>
      </c>
      <c r="O41" s="237">
        <f t="shared" si="6"/>
        <v>-1</v>
      </c>
      <c r="P41" s="237">
        <f t="shared" si="6"/>
        <v>-1</v>
      </c>
      <c r="Q41" s="237">
        <f t="shared" si="6"/>
        <v>-1</v>
      </c>
      <c r="R41" s="237">
        <f t="shared" si="6"/>
        <v>-1</v>
      </c>
      <c r="S41" s="237">
        <f t="shared" si="6"/>
        <v>-1</v>
      </c>
      <c r="T41" s="237">
        <f t="shared" si="6"/>
        <v>-1</v>
      </c>
      <c r="U41" s="237">
        <f t="shared" si="6"/>
        <v>-1</v>
      </c>
      <c r="V41" s="237">
        <f t="shared" si="6"/>
        <v>-1</v>
      </c>
      <c r="W41" s="237">
        <f t="shared" si="6"/>
        <v>-1</v>
      </c>
      <c r="X41" s="237">
        <f t="shared" si="6"/>
        <v>-1</v>
      </c>
    </row>
    <row r="42" spans="4:24" x14ac:dyDescent="0.25">
      <c r="D42" s="240" t="s">
        <v>432</v>
      </c>
      <c r="E42" s="237">
        <f t="shared" ref="E42:X42" si="7">IF(AND(E41&lt;VINMAX, E41&gt;$E$25), (VINMAX-E41)*(E37+E41/$E$27), 0)</f>
        <v>0</v>
      </c>
      <c r="F42" s="237">
        <f t="shared" si="7"/>
        <v>0</v>
      </c>
      <c r="G42" s="237">
        <f t="shared" si="7"/>
        <v>0</v>
      </c>
      <c r="H42" s="237">
        <f t="shared" si="7"/>
        <v>0</v>
      </c>
      <c r="I42" s="237">
        <f t="shared" si="7"/>
        <v>0</v>
      </c>
      <c r="J42" s="237">
        <f t="shared" si="7"/>
        <v>0</v>
      </c>
      <c r="K42" s="237">
        <f t="shared" si="7"/>
        <v>0</v>
      </c>
      <c r="L42" s="237">
        <f t="shared" si="7"/>
        <v>0</v>
      </c>
      <c r="M42" s="237">
        <f t="shared" si="7"/>
        <v>0</v>
      </c>
      <c r="N42" s="237">
        <f t="shared" si="7"/>
        <v>0</v>
      </c>
      <c r="O42" s="237">
        <f t="shared" si="7"/>
        <v>0</v>
      </c>
      <c r="P42" s="237">
        <f t="shared" si="7"/>
        <v>0</v>
      </c>
      <c r="Q42" s="237">
        <f t="shared" si="7"/>
        <v>0</v>
      </c>
      <c r="R42" s="237">
        <f t="shared" si="7"/>
        <v>0</v>
      </c>
      <c r="S42" s="237">
        <f t="shared" si="7"/>
        <v>0</v>
      </c>
      <c r="T42" s="237">
        <f t="shared" si="7"/>
        <v>0</v>
      </c>
      <c r="U42" s="237">
        <f t="shared" si="7"/>
        <v>0</v>
      </c>
      <c r="V42" s="237">
        <f t="shared" si="7"/>
        <v>0</v>
      </c>
      <c r="W42" s="237">
        <f t="shared" si="7"/>
        <v>0</v>
      </c>
      <c r="X42" s="237">
        <f t="shared" si="7"/>
        <v>0</v>
      </c>
    </row>
    <row r="44" spans="4:24" x14ac:dyDescent="0.25">
      <c r="D44" s="240" t="s">
        <v>433</v>
      </c>
      <c r="E44" s="237">
        <f t="shared" ref="E44:X44" si="8">MAX(E39,E40,E42)</f>
        <v>104.544</v>
      </c>
      <c r="F44" s="237">
        <f t="shared" si="8"/>
        <v>79.102875485922155</v>
      </c>
      <c r="G44" s="237">
        <f t="shared" si="8"/>
        <v>59.852931876925517</v>
      </c>
      <c r="H44" s="237">
        <f t="shared" si="8"/>
        <v>45.287525039484045</v>
      </c>
      <c r="I44" s="237">
        <f t="shared" si="8"/>
        <v>34.266657620369287</v>
      </c>
      <c r="J44" s="237">
        <f t="shared" si="8"/>
        <v>25.927754352835141</v>
      </c>
      <c r="K44" s="237">
        <f t="shared" si="8"/>
        <v>19.618150484024852</v>
      </c>
      <c r="L44" s="237">
        <f t="shared" si="8"/>
        <v>14.8440093644963</v>
      </c>
      <c r="M44" s="237">
        <f t="shared" si="8"/>
        <v>11.231671109500429</v>
      </c>
      <c r="N44" s="237">
        <f t="shared" si="8"/>
        <v>8.4984071900218225</v>
      </c>
      <c r="O44" s="237">
        <f t="shared" si="8"/>
        <v>6.430291989793405</v>
      </c>
      <c r="P44" s="237">
        <f t="shared" si="8"/>
        <v>4.8654593913256639</v>
      </c>
      <c r="Q44" s="237">
        <f t="shared" si="8"/>
        <v>3.68143392651749</v>
      </c>
      <c r="R44" s="237">
        <f t="shared" si="8"/>
        <v>2.785544933223929</v>
      </c>
      <c r="S44" s="237">
        <f t="shared" si="8"/>
        <v>2.1076734581922802</v>
      </c>
      <c r="T44" s="237">
        <f t="shared" si="8"/>
        <v>1.5947642249040295</v>
      </c>
      <c r="U44" s="237">
        <f t="shared" si="8"/>
        <v>1.2066731320017081</v>
      </c>
      <c r="V44" s="237">
        <f t="shared" si="8"/>
        <v>0.91302527656239285</v>
      </c>
      <c r="W44" s="237">
        <f t="shared" si="8"/>
        <v>0.69083758768953341</v>
      </c>
      <c r="X44" s="237">
        <f t="shared" si="8"/>
        <v>0.52271999999999985</v>
      </c>
    </row>
    <row r="45" spans="4:24" x14ac:dyDescent="0.25">
      <c r="D45" s="240" t="s">
        <v>434</v>
      </c>
      <c r="E45" s="237">
        <f t="shared" ref="E45:X45" si="9">E38/E44*1000</f>
        <v>0.54999999999999993</v>
      </c>
      <c r="F45" s="237">
        <f t="shared" si="9"/>
        <v>0.72689140118848217</v>
      </c>
      <c r="G45" s="237">
        <f t="shared" si="9"/>
        <v>0.96067474385773677</v>
      </c>
      <c r="H45" s="237">
        <f t="shared" si="9"/>
        <v>1.269647655725703</v>
      </c>
      <c r="I45" s="237">
        <f t="shared" si="9"/>
        <v>1.6779926608838698</v>
      </c>
      <c r="J45" s="237">
        <f t="shared" si="9"/>
        <v>2.2176698844615745</v>
      </c>
      <c r="K45" s="237">
        <f t="shared" si="9"/>
        <v>2.9309184903450429</v>
      </c>
      <c r="L45" s="237">
        <f t="shared" si="9"/>
        <v>3.8735626331202537</v>
      </c>
      <c r="M45" s="237">
        <f t="shared" si="9"/>
        <v>5.1193806726911442</v>
      </c>
      <c r="N45" s="237">
        <f t="shared" si="9"/>
        <v>6.7658796188903656</v>
      </c>
      <c r="O45" s="237">
        <f t="shared" si="9"/>
        <v>8.9419267571778427</v>
      </c>
      <c r="P45" s="237">
        <f t="shared" si="9"/>
        <v>11.817835763363245</v>
      </c>
      <c r="Q45" s="237">
        <f t="shared" si="9"/>
        <v>15.618696721902669</v>
      </c>
      <c r="R45" s="237">
        <f t="shared" si="9"/>
        <v>20.641993354403251</v>
      </c>
      <c r="S45" s="237">
        <f t="shared" si="9"/>
        <v>27.28088631401004</v>
      </c>
      <c r="T45" s="237">
        <f t="shared" si="9"/>
        <v>36.054984869917185</v>
      </c>
      <c r="U45" s="237">
        <f t="shared" si="9"/>
        <v>47.651015403497524</v>
      </c>
      <c r="V45" s="237">
        <f t="shared" si="9"/>
        <v>62.976569735822316</v>
      </c>
      <c r="W45" s="237">
        <f t="shared" si="9"/>
        <v>83.231140031483761</v>
      </c>
      <c r="X45" s="237">
        <f t="shared" si="9"/>
        <v>110.00000000000001</v>
      </c>
    </row>
    <row r="47" spans="4:24" x14ac:dyDescent="0.25">
      <c r="D47" s="240" t="s">
        <v>197</v>
      </c>
      <c r="E47" s="237">
        <f t="shared" ref="E47:X47" si="10">IF(E45&lt;$J$23,$J$24,IF(E45&lt;$K$23,$K$24,IF(E45&lt;$L$23,$L$24,$M$24)))</f>
        <v>16.000000000000004</v>
      </c>
      <c r="F47" s="237">
        <f t="shared" si="10"/>
        <v>16.000000000000004</v>
      </c>
      <c r="G47" s="237">
        <f t="shared" si="10"/>
        <v>16.000000000000004</v>
      </c>
      <c r="H47" s="237">
        <f t="shared" si="10"/>
        <v>16</v>
      </c>
      <c r="I47" s="237">
        <f t="shared" si="10"/>
        <v>16</v>
      </c>
      <c r="J47" s="237">
        <f t="shared" si="10"/>
        <v>16</v>
      </c>
      <c r="K47" s="237">
        <f t="shared" si="10"/>
        <v>16</v>
      </c>
      <c r="L47" s="237">
        <f t="shared" si="10"/>
        <v>16</v>
      </c>
      <c r="M47" s="237">
        <f t="shared" si="10"/>
        <v>16</v>
      </c>
      <c r="N47" s="237">
        <f t="shared" si="10"/>
        <v>16</v>
      </c>
      <c r="O47" s="237">
        <f t="shared" si="10"/>
        <v>16</v>
      </c>
      <c r="P47" s="237">
        <f t="shared" si="10"/>
        <v>20.25</v>
      </c>
      <c r="Q47" s="237">
        <f t="shared" si="10"/>
        <v>20.25</v>
      </c>
      <c r="R47" s="237">
        <f t="shared" si="10"/>
        <v>20.25</v>
      </c>
      <c r="S47" s="237">
        <f t="shared" si="10"/>
        <v>20.25</v>
      </c>
      <c r="T47" s="237">
        <f t="shared" si="10"/>
        <v>20.25</v>
      </c>
      <c r="U47" s="237">
        <f t="shared" si="10"/>
        <v>20.25</v>
      </c>
      <c r="V47" s="237">
        <f t="shared" si="10"/>
        <v>20.25</v>
      </c>
      <c r="W47" s="237">
        <f t="shared" si="10"/>
        <v>20.25</v>
      </c>
      <c r="X47" s="237">
        <f t="shared" si="10"/>
        <v>4</v>
      </c>
    </row>
    <row r="48" spans="4:24" x14ac:dyDescent="0.25">
      <c r="D48" s="240" t="s">
        <v>198</v>
      </c>
      <c r="E48" s="237">
        <f t="shared" ref="E48:X48" si="11">IF(E45&lt;$J$23,$J$25,IF(E45&lt;$K$23,$K$25,IF(E45&lt;$L$23,$L$25,$M$25)))</f>
        <v>-0.49485002168009401</v>
      </c>
      <c r="F48" s="237">
        <f t="shared" si="11"/>
        <v>-0.49485002168009401</v>
      </c>
      <c r="G48" s="237">
        <f t="shared" si="11"/>
        <v>-0.49485002168009401</v>
      </c>
      <c r="H48" s="237">
        <f t="shared" si="11"/>
        <v>-0.24987747321659989</v>
      </c>
      <c r="I48" s="237">
        <f t="shared" si="11"/>
        <v>-0.24987747321659989</v>
      </c>
      <c r="J48" s="237">
        <f t="shared" si="11"/>
        <v>-0.24987747321659989</v>
      </c>
      <c r="K48" s="237">
        <f t="shared" si="11"/>
        <v>-0.24987747321659989</v>
      </c>
      <c r="L48" s="237">
        <f t="shared" si="11"/>
        <v>-0.24987747321659989</v>
      </c>
      <c r="M48" s="237">
        <f t="shared" si="11"/>
        <v>-0.24987747321659989</v>
      </c>
      <c r="N48" s="237">
        <f t="shared" si="11"/>
        <v>-0.24987747321659989</v>
      </c>
      <c r="O48" s="237">
        <f t="shared" si="11"/>
        <v>-0.24987747321659989</v>
      </c>
      <c r="P48" s="237">
        <f t="shared" si="11"/>
        <v>-0.35218251811136247</v>
      </c>
      <c r="Q48" s="237">
        <f t="shared" si="11"/>
        <v>-0.35218251811136247</v>
      </c>
      <c r="R48" s="237">
        <f t="shared" si="11"/>
        <v>-0.35218251811136247</v>
      </c>
      <c r="S48" s="237">
        <f t="shared" si="11"/>
        <v>-0.35218251811136247</v>
      </c>
      <c r="T48" s="237">
        <f t="shared" si="11"/>
        <v>-0.35218251811136247</v>
      </c>
      <c r="U48" s="237">
        <f t="shared" si="11"/>
        <v>-0.35218251811136247</v>
      </c>
      <c r="V48" s="237">
        <f t="shared" si="11"/>
        <v>-0.35218251811136247</v>
      </c>
      <c r="W48" s="237">
        <f t="shared" si="11"/>
        <v>-0.35218251811136247</v>
      </c>
      <c r="X48" s="237">
        <f t="shared" si="11"/>
        <v>0</v>
      </c>
    </row>
    <row r="50" spans="4:25" x14ac:dyDescent="0.25">
      <c r="D50" s="240" t="s">
        <v>442</v>
      </c>
      <c r="E50" s="237">
        <f t="shared" ref="E50:X50" si="12">E47*E45^E48*VINMAX</f>
        <v>283.90656984516914</v>
      </c>
      <c r="F50" s="237">
        <f t="shared" si="12"/>
        <v>247.31230163274134</v>
      </c>
      <c r="G50" s="237">
        <f t="shared" si="12"/>
        <v>215.43486849296923</v>
      </c>
      <c r="H50" s="237">
        <f t="shared" si="12"/>
        <v>198.96918180311246</v>
      </c>
      <c r="I50" s="237">
        <f t="shared" si="12"/>
        <v>185.57691141349997</v>
      </c>
      <c r="J50" s="237">
        <f t="shared" si="12"/>
        <v>173.08605150647156</v>
      </c>
      <c r="K50" s="237">
        <f t="shared" si="12"/>
        <v>161.43592970650948</v>
      </c>
      <c r="L50" s="237">
        <f t="shared" si="12"/>
        <v>150.56995739041773</v>
      </c>
      <c r="M50" s="237">
        <f t="shared" si="12"/>
        <v>140.4353548170389</v>
      </c>
      <c r="N50" s="237">
        <f t="shared" si="12"/>
        <v>130.98289475801317</v>
      </c>
      <c r="O50" s="237">
        <f t="shared" si="12"/>
        <v>122.16666338430591</v>
      </c>
      <c r="P50" s="237">
        <f t="shared" si="12"/>
        <v>112.0133646419178</v>
      </c>
      <c r="Q50" s="237">
        <f t="shared" si="12"/>
        <v>101.53555105619107</v>
      </c>
      <c r="R50" s="237">
        <f t="shared" si="12"/>
        <v>92.037839959914535</v>
      </c>
      <c r="S50" s="237">
        <f t="shared" si="12"/>
        <v>83.428551835986042</v>
      </c>
      <c r="T50" s="237">
        <f t="shared" si="12"/>
        <v>75.62458293764017</v>
      </c>
      <c r="U50" s="237">
        <f t="shared" si="12"/>
        <v>68.550603104501562</v>
      </c>
      <c r="V50" s="237">
        <f t="shared" si="12"/>
        <v>62.138328615522234</v>
      </c>
      <c r="W50" s="237">
        <f t="shared" si="12"/>
        <v>56.325863059796696</v>
      </c>
      <c r="X50" s="237">
        <f t="shared" si="12"/>
        <v>52.8</v>
      </c>
      <c r="Y50" s="237"/>
    </row>
    <row r="51" spans="4:25" x14ac:dyDescent="0.25">
      <c r="D51" s="240" t="s">
        <v>443</v>
      </c>
      <c r="E51" s="237">
        <f t="shared" ref="E51:X51" si="13">E50*(TJMAX-$E$19)/(TJMAX - 25)</f>
        <v>132.30046154784884</v>
      </c>
      <c r="F51" s="237">
        <f t="shared" si="13"/>
        <v>115.24753256085747</v>
      </c>
      <c r="G51" s="237">
        <f t="shared" si="13"/>
        <v>100.39264871772366</v>
      </c>
      <c r="H51" s="237">
        <f t="shared" si="13"/>
        <v>92.719638720250416</v>
      </c>
      <c r="I51" s="237">
        <f t="shared" si="13"/>
        <v>86.478840718690989</v>
      </c>
      <c r="J51" s="237">
        <f t="shared" si="13"/>
        <v>80.658100002015757</v>
      </c>
      <c r="K51" s="237">
        <f t="shared" si="13"/>
        <v>75.229143243233423</v>
      </c>
      <c r="L51" s="237">
        <f t="shared" si="13"/>
        <v>70.165600143934654</v>
      </c>
      <c r="M51" s="237">
        <f t="shared" si="13"/>
        <v>65.442875344740131</v>
      </c>
      <c r="N51" s="237">
        <f t="shared" si="13"/>
        <v>61.03802895723414</v>
      </c>
      <c r="O51" s="237">
        <f t="shared" si="13"/>
        <v>56.929665137086552</v>
      </c>
      <c r="P51" s="237">
        <f t="shared" si="13"/>
        <v>52.198227923133693</v>
      </c>
      <c r="Q51" s="237">
        <f t="shared" si="13"/>
        <v>47.315566792185038</v>
      </c>
      <c r="R51" s="237">
        <f t="shared" si="13"/>
        <v>42.88963342132017</v>
      </c>
      <c r="S51" s="237">
        <f t="shared" si="13"/>
        <v>38.877705155569494</v>
      </c>
      <c r="T51" s="237">
        <f t="shared" si="13"/>
        <v>35.241055648940318</v>
      </c>
      <c r="U51" s="237">
        <f t="shared" si="13"/>
        <v>31.944581046697728</v>
      </c>
      <c r="V51" s="237">
        <f t="shared" si="13"/>
        <v>28.956461134833361</v>
      </c>
      <c r="W51" s="237">
        <f t="shared" si="13"/>
        <v>26.247852185865259</v>
      </c>
      <c r="X51" s="237">
        <f t="shared" si="13"/>
        <v>24.604800000000001</v>
      </c>
      <c r="Y51" s="237"/>
    </row>
    <row r="52" spans="4:25" x14ac:dyDescent="0.25">
      <c r="D52" s="240" t="s">
        <v>445</v>
      </c>
      <c r="E52" s="237">
        <f t="shared" ref="E52:X52" si="14">E51/E44</f>
        <v>1.2655002826355299</v>
      </c>
      <c r="F52" s="237">
        <f t="shared" si="14"/>
        <v>1.4569322777825937</v>
      </c>
      <c r="G52" s="237">
        <f t="shared" si="14"/>
        <v>1.6773221556491036</v>
      </c>
      <c r="H52" s="237">
        <f t="shared" si="14"/>
        <v>2.0473549534758759</v>
      </c>
      <c r="I52" s="237">
        <f t="shared" si="14"/>
        <v>2.5237022436435406</v>
      </c>
      <c r="J52" s="237">
        <f t="shared" si="14"/>
        <v>3.1108787480931985</v>
      </c>
      <c r="K52" s="237">
        <f t="shared" si="14"/>
        <v>3.8346705161882029</v>
      </c>
      <c r="L52" s="237">
        <f t="shared" si="14"/>
        <v>4.7268631015388465</v>
      </c>
      <c r="M52" s="237">
        <f t="shared" si="14"/>
        <v>5.8266374350460257</v>
      </c>
      <c r="N52" s="237">
        <f t="shared" si="14"/>
        <v>7.1822904683715683</v>
      </c>
      <c r="O52" s="237">
        <f t="shared" si="14"/>
        <v>8.853356150459291</v>
      </c>
      <c r="P52" s="237">
        <f t="shared" si="14"/>
        <v>10.728324650328968</v>
      </c>
      <c r="Q52" s="237">
        <f t="shared" si="14"/>
        <v>12.852482955450986</v>
      </c>
      <c r="R52" s="237">
        <f t="shared" si="14"/>
        <v>15.39721471004262</v>
      </c>
      <c r="S52" s="237">
        <f t="shared" si="14"/>
        <v>18.445791497945947</v>
      </c>
      <c r="T52" s="237">
        <f t="shared" si="14"/>
        <v>22.097972288700589</v>
      </c>
      <c r="U52" s="237">
        <f t="shared" si="14"/>
        <v>26.473267863108855</v>
      </c>
      <c r="V52" s="237">
        <f t="shared" si="14"/>
        <v>31.714851579856106</v>
      </c>
      <c r="W52" s="237">
        <f t="shared" si="14"/>
        <v>37.994244455704404</v>
      </c>
      <c r="X52" s="237">
        <f t="shared" si="14"/>
        <v>47.070707070707087</v>
      </c>
      <c r="Y52" s="237"/>
    </row>
    <row r="54" spans="4:25" x14ac:dyDescent="0.25">
      <c r="D54" s="240" t="s">
        <v>449</v>
      </c>
      <c r="E54" s="237" t="str">
        <f t="shared" ref="E54:X54" si="15">IF(E52&gt;$E$20, "Y", "N")</f>
        <v>N</v>
      </c>
      <c r="F54" s="237" t="str">
        <f t="shared" si="15"/>
        <v>Y</v>
      </c>
      <c r="G54" s="237" t="str">
        <f t="shared" si="15"/>
        <v>Y</v>
      </c>
      <c r="H54" s="237" t="str">
        <f t="shared" si="15"/>
        <v>Y</v>
      </c>
      <c r="I54" s="237" t="str">
        <f t="shared" si="15"/>
        <v>Y</v>
      </c>
      <c r="J54" s="237" t="str">
        <f t="shared" si="15"/>
        <v>Y</v>
      </c>
      <c r="K54" s="237" t="str">
        <f t="shared" si="15"/>
        <v>Y</v>
      </c>
      <c r="L54" s="237" t="str">
        <f t="shared" si="15"/>
        <v>Y</v>
      </c>
      <c r="M54" s="237" t="str">
        <f t="shared" si="15"/>
        <v>Y</v>
      </c>
      <c r="N54" s="237" t="str">
        <f t="shared" si="15"/>
        <v>Y</v>
      </c>
      <c r="O54" s="237" t="str">
        <f t="shared" si="15"/>
        <v>Y</v>
      </c>
      <c r="P54" s="237" t="str">
        <f t="shared" si="15"/>
        <v>Y</v>
      </c>
      <c r="Q54" s="237" t="str">
        <f t="shared" si="15"/>
        <v>Y</v>
      </c>
      <c r="R54" s="237" t="str">
        <f t="shared" si="15"/>
        <v>Y</v>
      </c>
      <c r="S54" s="237" t="str">
        <f t="shared" si="15"/>
        <v>Y</v>
      </c>
      <c r="T54" s="237" t="str">
        <f t="shared" si="15"/>
        <v>Y</v>
      </c>
      <c r="U54" s="237" t="str">
        <f t="shared" si="15"/>
        <v>Y</v>
      </c>
      <c r="V54" s="237" t="str">
        <f t="shared" si="15"/>
        <v>Y</v>
      </c>
      <c r="W54" s="237" t="str">
        <f t="shared" si="15"/>
        <v>Y</v>
      </c>
      <c r="X54" s="237" t="str">
        <f t="shared" si="15"/>
        <v>Y</v>
      </c>
      <c r="Y54" s="237" t="s">
        <v>452</v>
      </c>
    </row>
    <row r="55" spans="4:25" x14ac:dyDescent="0.25">
      <c r="D55" s="240" t="s">
        <v>450</v>
      </c>
      <c r="E55" s="237">
        <f>IF(E54="Y", 1, 0)</f>
        <v>0</v>
      </c>
      <c r="F55" s="237">
        <f t="shared" ref="F55:X55" si="16">IF(AND(F54="Y", E54="N"),  1, 0)</f>
        <v>1</v>
      </c>
      <c r="G55" s="237">
        <f t="shared" si="16"/>
        <v>0</v>
      </c>
      <c r="H55" s="237">
        <f t="shared" si="16"/>
        <v>0</v>
      </c>
      <c r="I55" s="237">
        <f t="shared" si="16"/>
        <v>0</v>
      </c>
      <c r="J55" s="237">
        <f t="shared" si="16"/>
        <v>0</v>
      </c>
      <c r="K55" s="237">
        <f t="shared" si="16"/>
        <v>0</v>
      </c>
      <c r="L55" s="237">
        <f t="shared" si="16"/>
        <v>0</v>
      </c>
      <c r="M55" s="237">
        <f t="shared" si="16"/>
        <v>0</v>
      </c>
      <c r="N55" s="237">
        <f t="shared" si="16"/>
        <v>0</v>
      </c>
      <c r="O55" s="237">
        <f t="shared" si="16"/>
        <v>0</v>
      </c>
      <c r="P55" s="237">
        <f t="shared" si="16"/>
        <v>0</v>
      </c>
      <c r="Q55" s="237">
        <f t="shared" si="16"/>
        <v>0</v>
      </c>
      <c r="R55" s="237">
        <f t="shared" si="16"/>
        <v>0</v>
      </c>
      <c r="S55" s="237">
        <f t="shared" si="16"/>
        <v>0</v>
      </c>
      <c r="T55" s="237">
        <f t="shared" si="16"/>
        <v>0</v>
      </c>
      <c r="U55" s="237">
        <f t="shared" si="16"/>
        <v>0</v>
      </c>
      <c r="V55" s="237">
        <f t="shared" si="16"/>
        <v>0</v>
      </c>
      <c r="W55" s="237">
        <f t="shared" si="16"/>
        <v>0</v>
      </c>
      <c r="X55" s="237">
        <f t="shared" si="16"/>
        <v>0</v>
      </c>
      <c r="Y55" s="237"/>
    </row>
    <row r="56" spans="4:25" x14ac:dyDescent="0.25">
      <c r="D56" s="240" t="s">
        <v>451</v>
      </c>
      <c r="E56" s="237">
        <v>0</v>
      </c>
      <c r="F56" s="237">
        <f t="shared" ref="F56:X56" si="17">IF(AND(F54="Y", G54="N"),  1, 0)</f>
        <v>0</v>
      </c>
      <c r="G56" s="237">
        <f t="shared" si="17"/>
        <v>0</v>
      </c>
      <c r="H56" s="237">
        <f t="shared" si="17"/>
        <v>0</v>
      </c>
      <c r="I56" s="237">
        <f t="shared" si="17"/>
        <v>0</v>
      </c>
      <c r="J56" s="237">
        <f t="shared" si="17"/>
        <v>0</v>
      </c>
      <c r="K56" s="237">
        <f t="shared" si="17"/>
        <v>0</v>
      </c>
      <c r="L56" s="237">
        <f t="shared" si="17"/>
        <v>0</v>
      </c>
      <c r="M56" s="237">
        <f t="shared" si="17"/>
        <v>0</v>
      </c>
      <c r="N56" s="237">
        <f t="shared" si="17"/>
        <v>0</v>
      </c>
      <c r="O56" s="237">
        <f t="shared" si="17"/>
        <v>0</v>
      </c>
      <c r="P56" s="237">
        <f t="shared" si="17"/>
        <v>0</v>
      </c>
      <c r="Q56" s="237">
        <f t="shared" si="17"/>
        <v>0</v>
      </c>
      <c r="R56" s="237">
        <f t="shared" si="17"/>
        <v>0</v>
      </c>
      <c r="S56" s="237">
        <f t="shared" si="17"/>
        <v>0</v>
      </c>
      <c r="T56" s="237">
        <f t="shared" si="17"/>
        <v>0</v>
      </c>
      <c r="U56" s="237">
        <f t="shared" si="17"/>
        <v>0</v>
      </c>
      <c r="V56" s="237">
        <f t="shared" si="17"/>
        <v>0</v>
      </c>
      <c r="W56" s="237">
        <f t="shared" si="17"/>
        <v>0</v>
      </c>
      <c r="X56" s="237">
        <f t="shared" si="17"/>
        <v>1</v>
      </c>
      <c r="Y56" s="237"/>
    </row>
    <row r="58" spans="4:25" x14ac:dyDescent="0.25">
      <c r="D58" s="237" t="s">
        <v>453</v>
      </c>
      <c r="E58" s="237">
        <f t="shared" ref="E58:X58" si="18">E55*E35</f>
        <v>0</v>
      </c>
      <c r="F58" s="237">
        <f t="shared" si="18"/>
        <v>9.0797607307073172</v>
      </c>
      <c r="G58" s="237">
        <f t="shared" si="18"/>
        <v>0</v>
      </c>
      <c r="H58" s="237">
        <f t="shared" si="18"/>
        <v>0</v>
      </c>
      <c r="I58" s="237">
        <f t="shared" si="18"/>
        <v>0</v>
      </c>
      <c r="J58" s="237">
        <f t="shared" si="18"/>
        <v>0</v>
      </c>
      <c r="K58" s="237">
        <f t="shared" si="18"/>
        <v>0</v>
      </c>
      <c r="L58" s="237">
        <f t="shared" si="18"/>
        <v>0</v>
      </c>
      <c r="M58" s="237">
        <f t="shared" si="18"/>
        <v>0</v>
      </c>
      <c r="N58" s="237">
        <f t="shared" si="18"/>
        <v>0</v>
      </c>
      <c r="O58" s="237">
        <f t="shared" si="18"/>
        <v>0</v>
      </c>
      <c r="P58" s="237">
        <f t="shared" si="18"/>
        <v>0</v>
      </c>
      <c r="Q58" s="237">
        <f t="shared" si="18"/>
        <v>0</v>
      </c>
      <c r="R58" s="237">
        <f t="shared" si="18"/>
        <v>0</v>
      </c>
      <c r="S58" s="237">
        <f t="shared" si="18"/>
        <v>0</v>
      </c>
      <c r="T58" s="237">
        <f t="shared" si="18"/>
        <v>0</v>
      </c>
      <c r="U58" s="237">
        <f t="shared" si="18"/>
        <v>0</v>
      </c>
      <c r="V58" s="237">
        <f t="shared" si="18"/>
        <v>0</v>
      </c>
      <c r="W58" s="237">
        <f t="shared" si="18"/>
        <v>0</v>
      </c>
      <c r="X58" s="237">
        <f t="shared" si="18"/>
        <v>0</v>
      </c>
      <c r="Y58" s="237"/>
    </row>
    <row r="59" spans="4:25" x14ac:dyDescent="0.25">
      <c r="D59" s="237" t="s">
        <v>454</v>
      </c>
      <c r="E59" s="237">
        <f t="shared" ref="E59:X59" si="19">E35*E56</f>
        <v>0</v>
      </c>
      <c r="F59" s="237">
        <f t="shared" si="19"/>
        <v>0</v>
      </c>
      <c r="G59" s="237">
        <f t="shared" si="19"/>
        <v>0</v>
      </c>
      <c r="H59" s="237">
        <f t="shared" si="19"/>
        <v>0</v>
      </c>
      <c r="I59" s="237">
        <f t="shared" si="19"/>
        <v>0</v>
      </c>
      <c r="J59" s="237">
        <f t="shared" si="19"/>
        <v>0</v>
      </c>
      <c r="K59" s="237">
        <f t="shared" si="19"/>
        <v>0</v>
      </c>
      <c r="L59" s="237">
        <f t="shared" si="19"/>
        <v>0</v>
      </c>
      <c r="M59" s="237">
        <f t="shared" si="19"/>
        <v>0</v>
      </c>
      <c r="N59" s="237">
        <f t="shared" si="19"/>
        <v>0</v>
      </c>
      <c r="O59" s="237">
        <f t="shared" si="19"/>
        <v>0</v>
      </c>
      <c r="P59" s="237">
        <f t="shared" si="19"/>
        <v>0</v>
      </c>
      <c r="Q59" s="237">
        <f t="shared" si="19"/>
        <v>0</v>
      </c>
      <c r="R59" s="237">
        <f t="shared" si="19"/>
        <v>0</v>
      </c>
      <c r="S59" s="237">
        <f t="shared" si="19"/>
        <v>0</v>
      </c>
      <c r="T59" s="237">
        <f t="shared" si="19"/>
        <v>0</v>
      </c>
      <c r="U59" s="237">
        <f t="shared" si="19"/>
        <v>0</v>
      </c>
      <c r="V59" s="237">
        <f t="shared" si="19"/>
        <v>0</v>
      </c>
      <c r="W59" s="237">
        <f t="shared" si="19"/>
        <v>0</v>
      </c>
      <c r="X59" s="237">
        <f t="shared" si="19"/>
        <v>5.9999999999999984E-2</v>
      </c>
      <c r="Y59" s="237"/>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96B0A9-E706-44C7-A8F1-19DE24283961}">
  <ds:schemaRefs>
    <ds:schemaRef ds:uri="http://schemas.microsoft.com/sharepoint/v3/contenttype/forms"/>
  </ds:schemaRefs>
</ds:datastoreItem>
</file>

<file path=customXml/itemProps2.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0E7213C-EB81-44CF-9757-6BC109954BCA}">
  <ds:schemaRefs>
    <ds:schemaRef ds:uri="http://schemas.openxmlformats.org/package/2006/metadata/core-properties"/>
    <ds:schemaRef ds:uri="http://purl.org/dc/terms/"/>
    <ds:schemaRef ds:uri="http://purl.org/dc/dcmitype/"/>
    <ds:schemaRef ds:uri="http://schemas.microsoft.com/office/infopath/2007/PartnerControls"/>
    <ds:schemaRef ds:uri="http://schemas.microsoft.com/office/2006/metadata/properties"/>
    <ds:schemaRef ds:uri="http://purl.org/dc/elements/1.1/"/>
    <ds:schemaRef ds:uri="http://www.w3.org/XML/1998/namespace"/>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35</vt:i4>
      </vt:variant>
    </vt:vector>
  </HeadingPairs>
  <TitlesOfParts>
    <vt:vector size="42" baseType="lpstr">
      <vt:lpstr>Instructions</vt:lpstr>
      <vt:lpstr>Design Calculator</vt:lpstr>
      <vt:lpstr>Device Parmaters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VINMIN</vt:lpstr>
      <vt:lpstr>VINNOM</vt:lpstr>
      <vt:lpstr>yesno</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LM25066/I Design Tool</dc:title>
  <dc:creator>Timothy Hegarty</dc:creator>
  <cp:lastModifiedBy>GD, Praveen</cp:lastModifiedBy>
  <cp:lastPrinted>2013-08-26T22:42:43Z</cp:lastPrinted>
  <dcterms:created xsi:type="dcterms:W3CDTF">2009-04-21T16:00:33Z</dcterms:created>
  <dcterms:modified xsi:type="dcterms:W3CDTF">2021-09-09T04:08:21Z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