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embeddings/oleObject2.bin" ContentType="application/vnd.openxmlformats-officedocument.oleObject"/>
  <Override PartName="/xl/drawings/drawing7.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CA3" lockStructure="1"/>
  <bookViews>
    <workbookView xWindow="480" yWindow="135" windowWidth="19395" windowHeight="10995" tabRatio="725"/>
  </bookViews>
  <sheets>
    <sheet name="Insructions" sheetId="9" r:id="rId1"/>
    <sheet name="Main" sheetId="1" r:id="rId2"/>
    <sheet name="loop_gain" sheetId="6" state="hidden" r:id="rId3"/>
    <sheet name="FB_div" sheetId="7" state="hidden" r:id="rId4"/>
    <sheet name="Helper_calcs" sheetId="2" state="hidden" r:id="rId5"/>
    <sheet name="Notes" sheetId="3" state="hidden" r:id="rId6"/>
    <sheet name="Eamp" sheetId="11" state="hidden" r:id="rId7"/>
    <sheet name="cout_min_calc2" sheetId="14" state="hidden" r:id="rId8"/>
    <sheet name="cout_calc2" sheetId="12" state="hidden" r:id="rId9"/>
    <sheet name="Current_limit" sheetId="16" state="hidden" r:id="rId10"/>
    <sheet name="Revision History" sheetId="17" r:id="rId11"/>
  </sheets>
  <calcPr calcId="145621"/>
</workbook>
</file>

<file path=xl/calcChain.xml><?xml version="1.0" encoding="utf-8"?>
<calcChain xmlns="http://schemas.openxmlformats.org/spreadsheetml/2006/main">
  <c r="C20" i="1" l="1"/>
  <c r="A643" i="16" l="1"/>
  <c r="B23" i="16"/>
  <c r="A24" i="16" l="1"/>
  <c r="D23" i="16"/>
  <c r="A25" i="16" l="1"/>
  <c r="B24" i="16"/>
  <c r="D24" i="16" s="1"/>
  <c r="A26" i="16" l="1"/>
  <c r="B25" i="16"/>
  <c r="D25" i="16" s="1"/>
  <c r="B26" i="16" l="1"/>
  <c r="D26" i="16" s="1"/>
  <c r="A27" i="16"/>
  <c r="B27" i="16" l="1"/>
  <c r="D27" i="16" s="1"/>
  <c r="A28" i="16"/>
  <c r="B28" i="16" l="1"/>
  <c r="D28" i="16" s="1"/>
  <c r="A29" i="16"/>
  <c r="B29" i="16" l="1"/>
  <c r="D29" i="16" s="1"/>
  <c r="A30" i="16"/>
  <c r="B30" i="16" l="1"/>
  <c r="D30" i="16" s="1"/>
  <c r="A31" i="16"/>
  <c r="B31" i="16" l="1"/>
  <c r="D31" i="16" s="1"/>
  <c r="A32" i="16"/>
  <c r="B32" i="16" l="1"/>
  <c r="D32" i="16" s="1"/>
  <c r="A33" i="16"/>
  <c r="B33" i="16" l="1"/>
  <c r="D33" i="16" s="1"/>
  <c r="A34" i="16"/>
  <c r="B34" i="16" l="1"/>
  <c r="D34" i="16" s="1"/>
  <c r="A35" i="16"/>
  <c r="B35" i="16" l="1"/>
  <c r="D35" i="16" s="1"/>
  <c r="A36" i="16"/>
  <c r="B36" i="16" l="1"/>
  <c r="D36" i="16" s="1"/>
  <c r="A37" i="16"/>
  <c r="B37" i="16" l="1"/>
  <c r="D37" i="16" s="1"/>
  <c r="A38" i="16"/>
  <c r="B38" i="16" l="1"/>
  <c r="D38" i="16" s="1"/>
  <c r="A39" i="16"/>
  <c r="B39" i="16" l="1"/>
  <c r="D39" i="16" s="1"/>
  <c r="A40" i="16"/>
  <c r="B40" i="16" l="1"/>
  <c r="D40" i="16" s="1"/>
  <c r="A41" i="16"/>
  <c r="B41" i="16" l="1"/>
  <c r="D41" i="16" s="1"/>
  <c r="A42" i="16"/>
  <c r="B42" i="16" l="1"/>
  <c r="D42" i="16" s="1"/>
  <c r="A43" i="16"/>
  <c r="B43" i="16" l="1"/>
  <c r="D43" i="16" s="1"/>
  <c r="A44" i="16"/>
  <c r="B44" i="16" l="1"/>
  <c r="D44" i="16" s="1"/>
  <c r="A45" i="16"/>
  <c r="B45" i="16" l="1"/>
  <c r="D45" i="16" s="1"/>
  <c r="A46" i="16"/>
  <c r="B46" i="16" l="1"/>
  <c r="D46" i="16" s="1"/>
  <c r="A47" i="16"/>
  <c r="B47" i="16" l="1"/>
  <c r="D47" i="16" s="1"/>
  <c r="A48" i="16"/>
  <c r="B48" i="16" l="1"/>
  <c r="D48" i="16" s="1"/>
  <c r="A49" i="16"/>
  <c r="B49" i="16" l="1"/>
  <c r="D49" i="16" s="1"/>
  <c r="A50" i="16"/>
  <c r="B50" i="16" l="1"/>
  <c r="D50" i="16" s="1"/>
  <c r="A51" i="16"/>
  <c r="B51" i="16" l="1"/>
  <c r="D51" i="16" s="1"/>
  <c r="A52" i="16"/>
  <c r="B52" i="16" l="1"/>
  <c r="D52" i="16" s="1"/>
  <c r="A53" i="16"/>
  <c r="B53" i="16" l="1"/>
  <c r="D53" i="16" s="1"/>
  <c r="A54" i="16"/>
  <c r="B54" i="16" l="1"/>
  <c r="D54" i="16" s="1"/>
  <c r="A55" i="16"/>
  <c r="B55" i="16" l="1"/>
  <c r="D55" i="16" s="1"/>
  <c r="A56" i="16"/>
  <c r="B56" i="16" l="1"/>
  <c r="D56" i="16" s="1"/>
  <c r="A57" i="16"/>
  <c r="B57" i="16" l="1"/>
  <c r="D57" i="16" s="1"/>
  <c r="A58" i="16"/>
  <c r="B58" i="16" l="1"/>
  <c r="D58" i="16" s="1"/>
  <c r="A59" i="16"/>
  <c r="B59" i="16" l="1"/>
  <c r="D59" i="16" s="1"/>
  <c r="A60" i="16"/>
  <c r="B60" i="16" l="1"/>
  <c r="D60" i="16" s="1"/>
  <c r="A61" i="16"/>
  <c r="B61" i="16" l="1"/>
  <c r="D61" i="16" s="1"/>
  <c r="A62" i="16"/>
  <c r="B62" i="16" l="1"/>
  <c r="D62" i="16" s="1"/>
  <c r="A63" i="16"/>
  <c r="B63" i="16" l="1"/>
  <c r="D63" i="16" s="1"/>
  <c r="A64" i="16"/>
  <c r="B64" i="16" l="1"/>
  <c r="D64" i="16" s="1"/>
  <c r="A65" i="16"/>
  <c r="B65" i="16" l="1"/>
  <c r="D65" i="16" s="1"/>
  <c r="A66" i="16"/>
  <c r="B66" i="16" l="1"/>
  <c r="D66" i="16" s="1"/>
  <c r="A67" i="16"/>
  <c r="B67" i="16" l="1"/>
  <c r="D67" i="16" s="1"/>
  <c r="A68" i="16"/>
  <c r="B68" i="16" l="1"/>
  <c r="D68" i="16" s="1"/>
  <c r="A69" i="16"/>
  <c r="B69" i="16" l="1"/>
  <c r="D69" i="16" s="1"/>
  <c r="A70" i="16"/>
  <c r="B70" i="16" l="1"/>
  <c r="D70" i="16" s="1"/>
  <c r="A71" i="16"/>
  <c r="B71" i="16" l="1"/>
  <c r="D71" i="16" s="1"/>
  <c r="A72" i="16"/>
  <c r="B72" i="16" l="1"/>
  <c r="D72" i="16" s="1"/>
  <c r="A73" i="16"/>
  <c r="B73" i="16" l="1"/>
  <c r="D73" i="16" s="1"/>
  <c r="A74" i="16"/>
  <c r="B74" i="16" l="1"/>
  <c r="D74" i="16" s="1"/>
  <c r="A75" i="16"/>
  <c r="B75" i="16" l="1"/>
  <c r="D75" i="16" s="1"/>
  <c r="A76" i="16"/>
  <c r="B76" i="16" l="1"/>
  <c r="D76" i="16" s="1"/>
  <c r="A77" i="16"/>
  <c r="B77" i="16" l="1"/>
  <c r="D77" i="16" s="1"/>
  <c r="A78" i="16"/>
  <c r="B78" i="16" l="1"/>
  <c r="D78" i="16" s="1"/>
  <c r="A79" i="16"/>
  <c r="B79" i="16" l="1"/>
  <c r="D79" i="16" s="1"/>
  <c r="A80" i="16"/>
  <c r="B80" i="16" l="1"/>
  <c r="D80" i="16" s="1"/>
  <c r="A81" i="16"/>
  <c r="B81" i="16" l="1"/>
  <c r="D81" i="16" s="1"/>
  <c r="A82" i="16"/>
  <c r="B82" i="16" l="1"/>
  <c r="D82" i="16" s="1"/>
  <c r="A83" i="16"/>
  <c r="B83" i="16" l="1"/>
  <c r="D83" i="16" s="1"/>
  <c r="A84" i="16"/>
  <c r="B84" i="16" l="1"/>
  <c r="D84" i="16" s="1"/>
  <c r="A85" i="16"/>
  <c r="B85" i="16" l="1"/>
  <c r="D85" i="16" s="1"/>
  <c r="A86" i="16"/>
  <c r="B86" i="16" l="1"/>
  <c r="D86" i="16" s="1"/>
  <c r="A87" i="16"/>
  <c r="B87" i="16" l="1"/>
  <c r="D87" i="16" s="1"/>
  <c r="A88" i="16"/>
  <c r="B88" i="16" l="1"/>
  <c r="D88" i="16" s="1"/>
  <c r="A89" i="16"/>
  <c r="B89" i="16" l="1"/>
  <c r="D89" i="16" s="1"/>
  <c r="A90" i="16"/>
  <c r="B90" i="16" l="1"/>
  <c r="D90" i="16" s="1"/>
  <c r="A91" i="16"/>
  <c r="B91" i="16" l="1"/>
  <c r="D91" i="16" s="1"/>
  <c r="A92" i="16"/>
  <c r="B92" i="16" l="1"/>
  <c r="D92" i="16" s="1"/>
  <c r="A93" i="16"/>
  <c r="B93" i="16" l="1"/>
  <c r="D93" i="16" s="1"/>
  <c r="A94" i="16"/>
  <c r="B94" i="16" l="1"/>
  <c r="D94" i="16" s="1"/>
  <c r="A95" i="16"/>
  <c r="B95" i="16" l="1"/>
  <c r="D95" i="16" s="1"/>
  <c r="A96" i="16"/>
  <c r="B96" i="16" l="1"/>
  <c r="D96" i="16" s="1"/>
  <c r="A97" i="16"/>
  <c r="B97" i="16" l="1"/>
  <c r="D97" i="16" s="1"/>
  <c r="A98" i="16"/>
  <c r="B98" i="16" l="1"/>
  <c r="D98" i="16" s="1"/>
  <c r="A99" i="16"/>
  <c r="B99" i="16" l="1"/>
  <c r="D99" i="16" s="1"/>
  <c r="A100" i="16"/>
  <c r="B100" i="16" l="1"/>
  <c r="D100" i="16" s="1"/>
  <c r="A101" i="16"/>
  <c r="B101" i="16" l="1"/>
  <c r="D101" i="16" s="1"/>
  <c r="A102" i="16"/>
  <c r="B102" i="16" l="1"/>
  <c r="D102" i="16" s="1"/>
  <c r="A103" i="16"/>
  <c r="B103" i="16" l="1"/>
  <c r="D103" i="16" s="1"/>
  <c r="A104" i="16"/>
  <c r="B104" i="16" l="1"/>
  <c r="D104" i="16" s="1"/>
  <c r="A105" i="16"/>
  <c r="B105" i="16" l="1"/>
  <c r="D105" i="16" s="1"/>
  <c r="A106" i="16"/>
  <c r="B106" i="16" l="1"/>
  <c r="D106" i="16" s="1"/>
  <c r="A107" i="16"/>
  <c r="B107" i="16" l="1"/>
  <c r="D107" i="16" s="1"/>
  <c r="A108" i="16"/>
  <c r="B108" i="16" l="1"/>
  <c r="D108" i="16" s="1"/>
  <c r="A109" i="16"/>
  <c r="B109" i="16" l="1"/>
  <c r="D109" i="16" s="1"/>
  <c r="A110" i="16"/>
  <c r="B110" i="16" l="1"/>
  <c r="D110" i="16" s="1"/>
  <c r="A111" i="16"/>
  <c r="B111" i="16" l="1"/>
  <c r="D111" i="16" s="1"/>
  <c r="A112" i="16"/>
  <c r="B112" i="16" l="1"/>
  <c r="D112" i="16" s="1"/>
  <c r="A113" i="16"/>
  <c r="B113" i="16" l="1"/>
  <c r="D113" i="16" s="1"/>
  <c r="A114" i="16"/>
  <c r="B114" i="16" l="1"/>
  <c r="D114" i="16" s="1"/>
  <c r="A115" i="16"/>
  <c r="B115" i="16" l="1"/>
  <c r="D115" i="16" s="1"/>
  <c r="A116" i="16"/>
  <c r="B116" i="16" l="1"/>
  <c r="D116" i="16" s="1"/>
  <c r="A117" i="16"/>
  <c r="B117" i="16" l="1"/>
  <c r="D117" i="16" s="1"/>
  <c r="A118" i="16"/>
  <c r="B118" i="16" l="1"/>
  <c r="D118" i="16" s="1"/>
  <c r="A119" i="16"/>
  <c r="B119" i="16" l="1"/>
  <c r="D119" i="16" s="1"/>
  <c r="A120" i="16"/>
  <c r="B120" i="16" l="1"/>
  <c r="D120" i="16" s="1"/>
  <c r="A121" i="16"/>
  <c r="B121" i="16" l="1"/>
  <c r="D121" i="16" s="1"/>
  <c r="A122" i="16"/>
  <c r="B122" i="16" l="1"/>
  <c r="D122" i="16" s="1"/>
  <c r="A123" i="16"/>
  <c r="B123" i="16" l="1"/>
  <c r="D123" i="16" s="1"/>
  <c r="A124" i="16"/>
  <c r="B124" i="16" l="1"/>
  <c r="D124" i="16" s="1"/>
  <c r="A125" i="16"/>
  <c r="B125" i="16" l="1"/>
  <c r="D125" i="16" s="1"/>
  <c r="A126" i="16"/>
  <c r="B126" i="16" l="1"/>
  <c r="D126" i="16" s="1"/>
  <c r="A127" i="16"/>
  <c r="B127" i="16" l="1"/>
  <c r="D127" i="16" s="1"/>
  <c r="A128" i="16"/>
  <c r="B128" i="16" l="1"/>
  <c r="D128" i="16" s="1"/>
  <c r="A129" i="16"/>
  <c r="B129" i="16" l="1"/>
  <c r="D129" i="16" s="1"/>
  <c r="A130" i="16"/>
  <c r="B130" i="16" l="1"/>
  <c r="D130" i="16" s="1"/>
  <c r="A131" i="16"/>
  <c r="B131" i="16" l="1"/>
  <c r="D131" i="16" s="1"/>
  <c r="A132" i="16"/>
  <c r="B132" i="16" l="1"/>
  <c r="D132" i="16" s="1"/>
  <c r="A133" i="16"/>
  <c r="B133" i="16" l="1"/>
  <c r="D133" i="16" s="1"/>
  <c r="A134" i="16"/>
  <c r="B134" i="16" l="1"/>
  <c r="D134" i="16" s="1"/>
  <c r="A135" i="16"/>
  <c r="B135" i="16" l="1"/>
  <c r="D135" i="16" s="1"/>
  <c r="A136" i="16"/>
  <c r="B136" i="16" l="1"/>
  <c r="D136" i="16" s="1"/>
  <c r="A137" i="16"/>
  <c r="B137" i="16" l="1"/>
  <c r="D137" i="16" s="1"/>
  <c r="A138" i="16"/>
  <c r="B138" i="16" l="1"/>
  <c r="D138" i="16" s="1"/>
  <c r="A139" i="16"/>
  <c r="B139" i="16" l="1"/>
  <c r="D139" i="16" s="1"/>
  <c r="A140" i="16"/>
  <c r="B140" i="16" l="1"/>
  <c r="D140" i="16" s="1"/>
  <c r="A141" i="16"/>
  <c r="B141" i="16" l="1"/>
  <c r="D141" i="16" s="1"/>
  <c r="A142" i="16"/>
  <c r="B142" i="16" l="1"/>
  <c r="D142" i="16" s="1"/>
  <c r="A143" i="16"/>
  <c r="B143" i="16" l="1"/>
  <c r="D143" i="16" s="1"/>
  <c r="A144" i="16"/>
  <c r="B144" i="16" l="1"/>
  <c r="D144" i="16" s="1"/>
  <c r="A145" i="16"/>
  <c r="C22" i="1"/>
  <c r="B52" i="6"/>
  <c r="C19" i="1"/>
  <c r="B145" i="16" l="1"/>
  <c r="D145" i="16" s="1"/>
  <c r="A146" i="16"/>
  <c r="B34" i="6"/>
  <c r="B33" i="6"/>
  <c r="B23" i="11"/>
  <c r="B20" i="11"/>
  <c r="C20" i="11" s="1"/>
  <c r="B22" i="11"/>
  <c r="B26" i="11" s="1"/>
  <c r="B21" i="11"/>
  <c r="B32" i="6" l="1"/>
  <c r="B146" i="16"/>
  <c r="D146" i="16" s="1"/>
  <c r="A147" i="16"/>
  <c r="B27" i="11"/>
  <c r="B56" i="7"/>
  <c r="B45" i="1"/>
  <c r="B46" i="1"/>
  <c r="B57" i="7" s="1"/>
  <c r="B42" i="6"/>
  <c r="B77" i="6" s="1"/>
  <c r="C68" i="7"/>
  <c r="B68" i="7"/>
  <c r="B40" i="6"/>
  <c r="C73" i="7"/>
  <c r="B73" i="7"/>
  <c r="B147" i="16" l="1"/>
  <c r="D147" i="16" s="1"/>
  <c r="A148" i="16"/>
  <c r="C67" i="7"/>
  <c r="C66" i="7"/>
  <c r="C65" i="7"/>
  <c r="C64" i="7"/>
  <c r="C60" i="7"/>
  <c r="B60" i="7"/>
  <c r="C59" i="7"/>
  <c r="B148" i="16" l="1"/>
  <c r="D148" i="16" s="1"/>
  <c r="A149" i="16"/>
  <c r="B47" i="2"/>
  <c r="B46" i="2"/>
  <c r="B43" i="2"/>
  <c r="B42" i="2"/>
  <c r="B149" i="16" l="1"/>
  <c r="D149" i="16" s="1"/>
  <c r="A150" i="16"/>
  <c r="B22" i="2"/>
  <c r="B35" i="2" s="1"/>
  <c r="B150" i="16" l="1"/>
  <c r="D150" i="16" s="1"/>
  <c r="A151" i="16"/>
  <c r="A14" i="2"/>
  <c r="A16" i="2"/>
  <c r="B26" i="2"/>
  <c r="A13" i="2"/>
  <c r="A11" i="2"/>
  <c r="B27" i="2"/>
  <c r="B61" i="2"/>
  <c r="B14" i="16" l="1"/>
  <c r="B151" i="16"/>
  <c r="D151" i="16" s="1"/>
  <c r="A152" i="16"/>
  <c r="B21" i="6"/>
  <c r="B152" i="16" l="1"/>
  <c r="D152" i="16" s="1"/>
  <c r="A153" i="16"/>
  <c r="B52" i="2"/>
  <c r="B57" i="2" s="1"/>
  <c r="C57" i="2" s="1"/>
  <c r="B59" i="1" s="1"/>
  <c r="B153" i="16" l="1"/>
  <c r="D153" i="16" s="1"/>
  <c r="A154" i="16"/>
  <c r="B30" i="6"/>
  <c r="B23" i="6"/>
  <c r="B58" i="7" s="1"/>
  <c r="B154" i="16" l="1"/>
  <c r="D154" i="16" s="1"/>
  <c r="A155" i="16"/>
  <c r="B19" i="6"/>
  <c r="B155" i="16" l="1"/>
  <c r="D155" i="16" s="1"/>
  <c r="A156" i="16"/>
  <c r="B84" i="6"/>
  <c r="B48" i="6"/>
  <c r="B47" i="6"/>
  <c r="B24" i="6"/>
  <c r="B67" i="7" s="1"/>
  <c r="B41" i="6" s="1"/>
  <c r="B20" i="6"/>
  <c r="B18" i="6"/>
  <c r="B23" i="14" s="1"/>
  <c r="B17" i="6"/>
  <c r="B156" i="16" l="1"/>
  <c r="D156" i="16" s="1"/>
  <c r="A157" i="16"/>
  <c r="F25" i="16"/>
  <c r="F29" i="16"/>
  <c r="F33" i="16"/>
  <c r="F37" i="16"/>
  <c r="F41" i="16"/>
  <c r="F45" i="16"/>
  <c r="F49" i="16"/>
  <c r="F53" i="16"/>
  <c r="F57" i="16"/>
  <c r="F61" i="16"/>
  <c r="F65" i="16"/>
  <c r="F69" i="16"/>
  <c r="F73" i="16"/>
  <c r="F77" i="16"/>
  <c r="F81" i="16"/>
  <c r="F85" i="16"/>
  <c r="F89" i="16"/>
  <c r="F93" i="16"/>
  <c r="F97" i="16"/>
  <c r="F101" i="16"/>
  <c r="F105" i="16"/>
  <c r="F109" i="16"/>
  <c r="F113" i="16"/>
  <c r="F117" i="16"/>
  <c r="F121" i="16"/>
  <c r="F125" i="16"/>
  <c r="F129" i="16"/>
  <c r="F133" i="16"/>
  <c r="F137" i="16"/>
  <c r="F141" i="16"/>
  <c r="F145" i="16"/>
  <c r="F149" i="16"/>
  <c r="F153" i="16"/>
  <c r="F26" i="16"/>
  <c r="F30" i="16"/>
  <c r="F34" i="16"/>
  <c r="F38" i="16"/>
  <c r="F42" i="16"/>
  <c r="F46" i="16"/>
  <c r="F50" i="16"/>
  <c r="F54" i="16"/>
  <c r="F58" i="16"/>
  <c r="F62" i="16"/>
  <c r="F66" i="16"/>
  <c r="F27" i="16"/>
  <c r="F31" i="16"/>
  <c r="F35" i="16"/>
  <c r="F39" i="16"/>
  <c r="F43" i="16"/>
  <c r="F47" i="16"/>
  <c r="F51" i="16"/>
  <c r="F55" i="16"/>
  <c r="F59" i="16"/>
  <c r="F63" i="16"/>
  <c r="F67" i="16"/>
  <c r="F71" i="16"/>
  <c r="F75" i="16"/>
  <c r="F79" i="16"/>
  <c r="F83" i="16"/>
  <c r="F87" i="16"/>
  <c r="F91" i="16"/>
  <c r="F95" i="16"/>
  <c r="F99" i="16"/>
  <c r="F103" i="16"/>
  <c r="F107" i="16"/>
  <c r="F111" i="16"/>
  <c r="F115" i="16"/>
  <c r="F119" i="16"/>
  <c r="F123" i="16"/>
  <c r="F127" i="16"/>
  <c r="F131" i="16"/>
  <c r="F135" i="16"/>
  <c r="F139" i="16"/>
  <c r="F143" i="16"/>
  <c r="F147" i="16"/>
  <c r="F151" i="16"/>
  <c r="F155" i="16"/>
  <c r="F28" i="16"/>
  <c r="F44" i="16"/>
  <c r="F60" i="16"/>
  <c r="F72" i="16"/>
  <c r="F80" i="16"/>
  <c r="F88" i="16"/>
  <c r="F96" i="16"/>
  <c r="F104" i="16"/>
  <c r="F112" i="16"/>
  <c r="F120" i="16"/>
  <c r="F128" i="16"/>
  <c r="F136" i="16"/>
  <c r="F144" i="16"/>
  <c r="F152" i="16"/>
  <c r="E25" i="16"/>
  <c r="E29" i="16"/>
  <c r="E33" i="16"/>
  <c r="G33" i="16" s="1"/>
  <c r="E37" i="16"/>
  <c r="G37" i="16" s="1"/>
  <c r="E41" i="16"/>
  <c r="E45" i="16"/>
  <c r="E49" i="16"/>
  <c r="G49" i="16" s="1"/>
  <c r="E53" i="16"/>
  <c r="G53" i="16" s="1"/>
  <c r="E57" i="16"/>
  <c r="E61" i="16"/>
  <c r="E65" i="16"/>
  <c r="G65" i="16" s="1"/>
  <c r="E69" i="16"/>
  <c r="G69" i="16" s="1"/>
  <c r="E73" i="16"/>
  <c r="E77" i="16"/>
  <c r="E81" i="16"/>
  <c r="G81" i="16" s="1"/>
  <c r="E85" i="16"/>
  <c r="G85" i="16" s="1"/>
  <c r="E89" i="16"/>
  <c r="E93" i="16"/>
  <c r="E97" i="16"/>
  <c r="G97" i="16" s="1"/>
  <c r="E101" i="16"/>
  <c r="G101" i="16" s="1"/>
  <c r="E105" i="16"/>
  <c r="E109" i="16"/>
  <c r="E113" i="16"/>
  <c r="G113" i="16" s="1"/>
  <c r="E117" i="16"/>
  <c r="G117" i="16" s="1"/>
  <c r="E121" i="16"/>
  <c r="E125" i="16"/>
  <c r="E129" i="16"/>
  <c r="G129" i="16" s="1"/>
  <c r="E133" i="16"/>
  <c r="G133" i="16" s="1"/>
  <c r="F32" i="16"/>
  <c r="F48" i="16"/>
  <c r="F64" i="16"/>
  <c r="F74" i="16"/>
  <c r="F82" i="16"/>
  <c r="F90" i="16"/>
  <c r="F98" i="16"/>
  <c r="F106" i="16"/>
  <c r="F114" i="16"/>
  <c r="F122" i="16"/>
  <c r="F130" i="16"/>
  <c r="F138" i="16"/>
  <c r="F146" i="16"/>
  <c r="F154" i="16"/>
  <c r="E26" i="16"/>
  <c r="G26" i="16" s="1"/>
  <c r="E30" i="16"/>
  <c r="G30" i="16" s="1"/>
  <c r="E34" i="16"/>
  <c r="G34" i="16" s="1"/>
  <c r="E38" i="16"/>
  <c r="G38" i="16" s="1"/>
  <c r="E42" i="16"/>
  <c r="G42" i="16" s="1"/>
  <c r="E46" i="16"/>
  <c r="G46" i="16" s="1"/>
  <c r="E50" i="16"/>
  <c r="G50" i="16" s="1"/>
  <c r="F36" i="16"/>
  <c r="F52" i="16"/>
  <c r="F68" i="16"/>
  <c r="F76" i="16"/>
  <c r="F84" i="16"/>
  <c r="F92" i="16"/>
  <c r="F100" i="16"/>
  <c r="F108" i="16"/>
  <c r="F116" i="16"/>
  <c r="F124" i="16"/>
  <c r="F132" i="16"/>
  <c r="F140" i="16"/>
  <c r="F148" i="16"/>
  <c r="F156" i="16"/>
  <c r="F56" i="16"/>
  <c r="F94" i="16"/>
  <c r="F126" i="16"/>
  <c r="F23" i="16"/>
  <c r="E31" i="16"/>
  <c r="E39" i="16"/>
  <c r="E47" i="16"/>
  <c r="E54" i="16"/>
  <c r="G54" i="16" s="1"/>
  <c r="E59" i="16"/>
  <c r="E64" i="16"/>
  <c r="E70" i="16"/>
  <c r="E75" i="16"/>
  <c r="G75" i="16" s="1"/>
  <c r="E80" i="16"/>
  <c r="E86" i="16"/>
  <c r="E91" i="16"/>
  <c r="G91" i="16" s="1"/>
  <c r="E96" i="16"/>
  <c r="E102" i="16"/>
  <c r="E107" i="16"/>
  <c r="E112" i="16"/>
  <c r="E118" i="16"/>
  <c r="E123" i="16"/>
  <c r="E128" i="16"/>
  <c r="E134" i="16"/>
  <c r="E138" i="16"/>
  <c r="E142" i="16"/>
  <c r="E146" i="16"/>
  <c r="G146" i="16" s="1"/>
  <c r="E150" i="16"/>
  <c r="E154" i="16"/>
  <c r="E23" i="16"/>
  <c r="F86" i="16"/>
  <c r="F150" i="16"/>
  <c r="E28" i="16"/>
  <c r="E44" i="16"/>
  <c r="G44" i="16" s="1"/>
  <c r="E58" i="16"/>
  <c r="E68" i="16"/>
  <c r="E79" i="16"/>
  <c r="E90" i="16"/>
  <c r="E100" i="16"/>
  <c r="E111" i="16"/>
  <c r="E122" i="16"/>
  <c r="E132" i="16"/>
  <c r="G132" i="16" s="1"/>
  <c r="E141" i="16"/>
  <c r="E149" i="16"/>
  <c r="G149" i="16" s="1"/>
  <c r="F70" i="16"/>
  <c r="F102" i="16"/>
  <c r="F134" i="16"/>
  <c r="E24" i="16"/>
  <c r="E32" i="16"/>
  <c r="G32" i="16" s="1"/>
  <c r="E40" i="16"/>
  <c r="E48" i="16"/>
  <c r="E55" i="16"/>
  <c r="E60" i="16"/>
  <c r="G60" i="16" s="1"/>
  <c r="E66" i="16"/>
  <c r="E71" i="16"/>
  <c r="E76" i="16"/>
  <c r="E82" i="16"/>
  <c r="G82" i="16" s="1"/>
  <c r="E87" i="16"/>
  <c r="E92" i="16"/>
  <c r="E98" i="16"/>
  <c r="E103" i="16"/>
  <c r="G103" i="16" s="1"/>
  <c r="E108" i="16"/>
  <c r="E114" i="16"/>
  <c r="G114" i="16" s="1"/>
  <c r="E119" i="16"/>
  <c r="E124" i="16"/>
  <c r="E130" i="16"/>
  <c r="E135" i="16"/>
  <c r="E139" i="16"/>
  <c r="G139" i="16" s="1"/>
  <c r="E143" i="16"/>
  <c r="G143" i="16" s="1"/>
  <c r="E147" i="16"/>
  <c r="G147" i="16" s="1"/>
  <c r="E151" i="16"/>
  <c r="E155" i="16"/>
  <c r="G155" i="16" s="1"/>
  <c r="F40" i="16"/>
  <c r="F118" i="16"/>
  <c r="E36" i="16"/>
  <c r="E52" i="16"/>
  <c r="E63" i="16"/>
  <c r="G63" i="16" s="1"/>
  <c r="E74" i="16"/>
  <c r="E84" i="16"/>
  <c r="E95" i="16"/>
  <c r="E106" i="16"/>
  <c r="E116" i="16"/>
  <c r="E127" i="16"/>
  <c r="E137" i="16"/>
  <c r="G137" i="16" s="1"/>
  <c r="E145" i="16"/>
  <c r="G145" i="16" s="1"/>
  <c r="E153" i="16"/>
  <c r="F24" i="16"/>
  <c r="F78" i="16"/>
  <c r="F110" i="16"/>
  <c r="F142" i="16"/>
  <c r="E27" i="16"/>
  <c r="E35" i="16"/>
  <c r="G35" i="16" s="1"/>
  <c r="E43" i="16"/>
  <c r="G43" i="16" s="1"/>
  <c r="E51" i="16"/>
  <c r="G51" i="16" s="1"/>
  <c r="E56" i="16"/>
  <c r="E62" i="16"/>
  <c r="G62" i="16" s="1"/>
  <c r="E67" i="16"/>
  <c r="G67" i="16" s="1"/>
  <c r="E72" i="16"/>
  <c r="E78" i="16"/>
  <c r="E83" i="16"/>
  <c r="G83" i="16" s="1"/>
  <c r="E88" i="16"/>
  <c r="G88" i="16" s="1"/>
  <c r="E94" i="16"/>
  <c r="E99" i="16"/>
  <c r="G99" i="16" s="1"/>
  <c r="E104" i="16"/>
  <c r="G104" i="16" s="1"/>
  <c r="E110" i="16"/>
  <c r="G110" i="16" s="1"/>
  <c r="E115" i="16"/>
  <c r="G115" i="16" s="1"/>
  <c r="E120" i="16"/>
  <c r="G120" i="16" s="1"/>
  <c r="E126" i="16"/>
  <c r="G126" i="16" s="1"/>
  <c r="E131" i="16"/>
  <c r="G131" i="16" s="1"/>
  <c r="E136" i="16"/>
  <c r="E140" i="16"/>
  <c r="G140" i="16" s="1"/>
  <c r="E144" i="16"/>
  <c r="E148" i="16"/>
  <c r="G148" i="16" s="1"/>
  <c r="E152" i="16"/>
  <c r="G152" i="16" s="1"/>
  <c r="E156" i="16"/>
  <c r="B11" i="16"/>
  <c r="B26" i="14"/>
  <c r="B25" i="14"/>
  <c r="B23" i="12"/>
  <c r="B25" i="12" s="1"/>
  <c r="B51" i="2"/>
  <c r="B56" i="2" s="1"/>
  <c r="C56" i="2" s="1"/>
  <c r="B58" i="1" s="1"/>
  <c r="B36" i="2"/>
  <c r="B50" i="2"/>
  <c r="B50" i="6"/>
  <c r="B55" i="6"/>
  <c r="B62" i="6"/>
  <c r="Z109" i="6"/>
  <c r="A137" i="6"/>
  <c r="B137" i="6" s="1"/>
  <c r="O137" i="6" s="1"/>
  <c r="B136" i="6"/>
  <c r="A135" i="6"/>
  <c r="B135" i="6" s="1"/>
  <c r="Z135" i="6" s="1"/>
  <c r="B134" i="6"/>
  <c r="Z134" i="6" s="1"/>
  <c r="A114" i="6"/>
  <c r="A115" i="6" s="1"/>
  <c r="A116" i="6" s="1"/>
  <c r="A117" i="6" s="1"/>
  <c r="A118" i="6" s="1"/>
  <c r="A119" i="6" s="1"/>
  <c r="A120" i="6" s="1"/>
  <c r="A121" i="6" s="1"/>
  <c r="A122" i="6" s="1"/>
  <c r="A123" i="6" s="1"/>
  <c r="A124" i="6" s="1"/>
  <c r="A125" i="6" s="1"/>
  <c r="A126" i="6" s="1"/>
  <c r="A127" i="6" s="1"/>
  <c r="A128" i="6" s="1"/>
  <c r="B113" i="6"/>
  <c r="Z113" i="6" s="1"/>
  <c r="B112" i="6"/>
  <c r="Z112" i="6" s="1"/>
  <c r="B111" i="6"/>
  <c r="Z111" i="6" s="1"/>
  <c r="B110" i="6"/>
  <c r="Z110" i="6" s="1"/>
  <c r="B109" i="6"/>
  <c r="O109" i="6" s="1"/>
  <c r="B108" i="6"/>
  <c r="Z108" i="6" s="1"/>
  <c r="B107" i="6"/>
  <c r="Z107" i="6" s="1"/>
  <c r="B106" i="6"/>
  <c r="O106" i="6" s="1"/>
  <c r="B105" i="6"/>
  <c r="O105" i="6" s="1"/>
  <c r="B104" i="6"/>
  <c r="Z104" i="6" s="1"/>
  <c r="B103" i="6"/>
  <c r="Z103" i="6" s="1"/>
  <c r="B102" i="6"/>
  <c r="O102" i="6" s="1"/>
  <c r="B101" i="6"/>
  <c r="Z101" i="6" s="1"/>
  <c r="B100" i="6"/>
  <c r="Z100" i="6" s="1"/>
  <c r="B99" i="6"/>
  <c r="Z99" i="6" s="1"/>
  <c r="B98" i="6"/>
  <c r="Z98" i="6" s="1"/>
  <c r="B97" i="6"/>
  <c r="Z97" i="6" s="1"/>
  <c r="B96" i="6"/>
  <c r="Z96" i="6" s="1"/>
  <c r="B95" i="6"/>
  <c r="K113" i="6"/>
  <c r="B79" i="6"/>
  <c r="B76" i="6"/>
  <c r="B49" i="6"/>
  <c r="G94" i="16" l="1"/>
  <c r="G56" i="16"/>
  <c r="H56" i="16" s="1"/>
  <c r="I56" i="16" s="1"/>
  <c r="G156" i="16"/>
  <c r="H156" i="16" s="1"/>
  <c r="G68" i="16"/>
  <c r="H68" i="16" s="1"/>
  <c r="I68" i="16" s="1"/>
  <c r="G100" i="16"/>
  <c r="H100" i="16" s="1"/>
  <c r="I100" i="16" s="1"/>
  <c r="G95" i="16"/>
  <c r="G98" i="16"/>
  <c r="G47" i="16"/>
  <c r="H47" i="16" s="1"/>
  <c r="I47" i="16" s="1"/>
  <c r="G78" i="16"/>
  <c r="G27" i="16"/>
  <c r="G127" i="16"/>
  <c r="H127" i="16" s="1"/>
  <c r="I127" i="16" s="1"/>
  <c r="G84" i="16"/>
  <c r="H84" i="16" s="1"/>
  <c r="I84" i="16" s="1"/>
  <c r="G36" i="16"/>
  <c r="H36" i="16" s="1"/>
  <c r="I36" i="16" s="1"/>
  <c r="G48" i="16"/>
  <c r="H48" i="16" s="1"/>
  <c r="I48" i="16" s="1"/>
  <c r="G107" i="16"/>
  <c r="H107" i="16" s="1"/>
  <c r="I107" i="16" s="1"/>
  <c r="G64" i="16"/>
  <c r="H64" i="16" s="1"/>
  <c r="I64" i="16" s="1"/>
  <c r="G121" i="16"/>
  <c r="H121" i="16" s="1"/>
  <c r="I121" i="16" s="1"/>
  <c r="G105" i="16"/>
  <c r="G89" i="16"/>
  <c r="G73" i="16"/>
  <c r="H73" i="16" s="1"/>
  <c r="I73" i="16" s="1"/>
  <c r="G57" i="16"/>
  <c r="H57" i="16" s="1"/>
  <c r="I57" i="16" s="1"/>
  <c r="G41" i="16"/>
  <c r="G25" i="16"/>
  <c r="H25" i="16" s="1"/>
  <c r="I25" i="16" s="1"/>
  <c r="G111" i="16"/>
  <c r="H111" i="16" s="1"/>
  <c r="I111" i="16" s="1"/>
  <c r="G136" i="16"/>
  <c r="H136" i="16" s="1"/>
  <c r="I136" i="16" s="1"/>
  <c r="G72" i="16"/>
  <c r="G153" i="16"/>
  <c r="G116" i="16"/>
  <c r="H116" i="16" s="1"/>
  <c r="I116" i="16" s="1"/>
  <c r="G130" i="16"/>
  <c r="H130" i="16" s="1"/>
  <c r="I130" i="16" s="1"/>
  <c r="G90" i="16"/>
  <c r="G123" i="16"/>
  <c r="H123" i="16" s="1"/>
  <c r="I123" i="16" s="1"/>
  <c r="G102" i="16"/>
  <c r="H102" i="16" s="1"/>
  <c r="I102" i="16" s="1"/>
  <c r="G80" i="16"/>
  <c r="H80" i="16" s="1"/>
  <c r="I80" i="16" s="1"/>
  <c r="G59" i="16"/>
  <c r="H59" i="16" s="1"/>
  <c r="I59" i="16" s="1"/>
  <c r="G31" i="16"/>
  <c r="H31" i="16" s="1"/>
  <c r="I31" i="16" s="1"/>
  <c r="G52" i="16"/>
  <c r="H52" i="16" s="1"/>
  <c r="I52" i="16" s="1"/>
  <c r="G92" i="16"/>
  <c r="H92" i="16" s="1"/>
  <c r="I92" i="16" s="1"/>
  <c r="G125" i="16"/>
  <c r="G109" i="16"/>
  <c r="H109" i="16" s="1"/>
  <c r="I109" i="16" s="1"/>
  <c r="G93" i="16"/>
  <c r="H93" i="16" s="1"/>
  <c r="I93" i="16" s="1"/>
  <c r="G77" i="16"/>
  <c r="H77" i="16" s="1"/>
  <c r="I77" i="16" s="1"/>
  <c r="G61" i="16"/>
  <c r="G45" i="16"/>
  <c r="G29" i="16"/>
  <c r="H29" i="16" s="1"/>
  <c r="I29" i="16" s="1"/>
  <c r="G124" i="16"/>
  <c r="H124" i="16" s="1"/>
  <c r="I124" i="16" s="1"/>
  <c r="G142" i="16"/>
  <c r="H142" i="16" s="1"/>
  <c r="I142" i="16" s="1"/>
  <c r="G122" i="16"/>
  <c r="H122" i="16" s="1"/>
  <c r="I122" i="16" s="1"/>
  <c r="G79" i="16"/>
  <c r="H79" i="16" s="1"/>
  <c r="I79" i="16" s="1"/>
  <c r="G128" i="16"/>
  <c r="H128" i="16" s="1"/>
  <c r="I128" i="16" s="1"/>
  <c r="B157" i="16"/>
  <c r="A158" i="16"/>
  <c r="G141" i="16"/>
  <c r="H141" i="16" s="1"/>
  <c r="I141" i="16" s="1"/>
  <c r="G58" i="16"/>
  <c r="H58" i="16" s="1"/>
  <c r="I58" i="16" s="1"/>
  <c r="G154" i="16"/>
  <c r="G96" i="16"/>
  <c r="H96" i="16" s="1"/>
  <c r="I96" i="16" s="1"/>
  <c r="H140" i="16"/>
  <c r="I140" i="16" s="1"/>
  <c r="H78" i="16"/>
  <c r="I78" i="16" s="1"/>
  <c r="H137" i="16"/>
  <c r="I137" i="16" s="1"/>
  <c r="H32" i="16"/>
  <c r="I32" i="16" s="1"/>
  <c r="H34" i="16"/>
  <c r="I34" i="16" s="1"/>
  <c r="H133" i="16"/>
  <c r="I133" i="16" s="1"/>
  <c r="H69" i="16"/>
  <c r="I69" i="16" s="1"/>
  <c r="H152" i="16"/>
  <c r="I152" i="16" s="1"/>
  <c r="H72" i="16"/>
  <c r="I72" i="16" s="1"/>
  <c r="H139" i="16"/>
  <c r="I139" i="16" s="1"/>
  <c r="G55" i="16"/>
  <c r="H154" i="16"/>
  <c r="I154" i="16" s="1"/>
  <c r="G138" i="16"/>
  <c r="G118" i="16"/>
  <c r="H75" i="16"/>
  <c r="I75" i="16" s="1"/>
  <c r="H54" i="16"/>
  <c r="I54" i="16" s="1"/>
  <c r="H46" i="16"/>
  <c r="I46" i="16" s="1"/>
  <c r="H30" i="16"/>
  <c r="I30" i="16" s="1"/>
  <c r="H129" i="16"/>
  <c r="I129" i="16" s="1"/>
  <c r="H113" i="16"/>
  <c r="I113" i="16" s="1"/>
  <c r="H97" i="16"/>
  <c r="I97" i="16" s="1"/>
  <c r="H81" i="16"/>
  <c r="I81" i="16" s="1"/>
  <c r="H65" i="16"/>
  <c r="I65" i="16" s="1"/>
  <c r="H49" i="16"/>
  <c r="I49" i="16" s="1"/>
  <c r="H33" i="16"/>
  <c r="I33" i="16" s="1"/>
  <c r="H120" i="16"/>
  <c r="I120" i="16" s="1"/>
  <c r="H27" i="16"/>
  <c r="I27" i="16" s="1"/>
  <c r="H143" i="16"/>
  <c r="I143" i="16" s="1"/>
  <c r="H82" i="16"/>
  <c r="I82" i="16" s="1"/>
  <c r="H50" i="16"/>
  <c r="I50" i="16" s="1"/>
  <c r="H117" i="16"/>
  <c r="I117" i="16" s="1"/>
  <c r="H85" i="16"/>
  <c r="I85" i="16" s="1"/>
  <c r="H37" i="16"/>
  <c r="I37" i="16" s="1"/>
  <c r="B15" i="16"/>
  <c r="B13" i="16"/>
  <c r="B12" i="16"/>
  <c r="H115" i="16"/>
  <c r="I115" i="16" s="1"/>
  <c r="H94" i="16"/>
  <c r="I94" i="16" s="1"/>
  <c r="H155" i="16"/>
  <c r="I155" i="16" s="1"/>
  <c r="H98" i="16"/>
  <c r="I98" i="16" s="1"/>
  <c r="G24" i="16"/>
  <c r="H148" i="16"/>
  <c r="I148" i="16" s="1"/>
  <c r="H131" i="16"/>
  <c r="I131" i="16" s="1"/>
  <c r="H110" i="16"/>
  <c r="I110" i="16" s="1"/>
  <c r="H88" i="16"/>
  <c r="I88" i="16" s="1"/>
  <c r="H67" i="16"/>
  <c r="I67" i="16" s="1"/>
  <c r="H43" i="16"/>
  <c r="I43" i="16" s="1"/>
  <c r="H153" i="16"/>
  <c r="I153" i="16" s="1"/>
  <c r="G74" i="16"/>
  <c r="G151" i="16"/>
  <c r="G135" i="16"/>
  <c r="H114" i="16"/>
  <c r="I114" i="16" s="1"/>
  <c r="G71" i="16"/>
  <c r="H132" i="16"/>
  <c r="I132" i="16" s="1"/>
  <c r="H90" i="16"/>
  <c r="I90" i="16" s="1"/>
  <c r="H44" i="16"/>
  <c r="I44" i="16" s="1"/>
  <c r="G150" i="16"/>
  <c r="G134" i="16"/>
  <c r="G112" i="16"/>
  <c r="H91" i="16"/>
  <c r="I91" i="16" s="1"/>
  <c r="G70" i="16"/>
  <c r="H42" i="16"/>
  <c r="I42" i="16" s="1"/>
  <c r="H26" i="16"/>
  <c r="I26" i="16" s="1"/>
  <c r="H125" i="16"/>
  <c r="I125" i="16" s="1"/>
  <c r="H61" i="16"/>
  <c r="I61" i="16" s="1"/>
  <c r="H45" i="16"/>
  <c r="I45" i="16" s="1"/>
  <c r="H99" i="16"/>
  <c r="I99" i="16" s="1"/>
  <c r="H95" i="16"/>
  <c r="I95" i="16" s="1"/>
  <c r="H103" i="16"/>
  <c r="I103" i="16" s="1"/>
  <c r="H60" i="16"/>
  <c r="I60" i="16" s="1"/>
  <c r="H149" i="16"/>
  <c r="I149" i="16" s="1"/>
  <c r="H101" i="16"/>
  <c r="I101" i="16" s="1"/>
  <c r="H53" i="16"/>
  <c r="I53" i="16" s="1"/>
  <c r="H51" i="16"/>
  <c r="I51" i="16" s="1"/>
  <c r="G119" i="16"/>
  <c r="G76" i="16"/>
  <c r="G144" i="16"/>
  <c r="H126" i="16"/>
  <c r="I126" i="16" s="1"/>
  <c r="H104" i="16"/>
  <c r="I104" i="16" s="1"/>
  <c r="H83" i="16"/>
  <c r="I83" i="16" s="1"/>
  <c r="H62" i="16"/>
  <c r="I62" i="16" s="1"/>
  <c r="H35" i="16"/>
  <c r="I35" i="16" s="1"/>
  <c r="H145" i="16"/>
  <c r="I145" i="16" s="1"/>
  <c r="G106" i="16"/>
  <c r="H63" i="16"/>
  <c r="I63" i="16" s="1"/>
  <c r="H147" i="16"/>
  <c r="I147" i="16" s="1"/>
  <c r="G108" i="16"/>
  <c r="G87" i="16"/>
  <c r="G66" i="16"/>
  <c r="G40" i="16"/>
  <c r="G28" i="16"/>
  <c r="G23" i="16"/>
  <c r="H146" i="16"/>
  <c r="I146" i="16" s="1"/>
  <c r="G86" i="16"/>
  <c r="G39" i="16"/>
  <c r="H38" i="16"/>
  <c r="I38" i="16" s="1"/>
  <c r="H105" i="16"/>
  <c r="I105" i="16" s="1"/>
  <c r="H89" i="16"/>
  <c r="I89" i="16" s="1"/>
  <c r="H41" i="16"/>
  <c r="I41" i="16" s="1"/>
  <c r="I156" i="16"/>
  <c r="B28" i="14"/>
  <c r="B30" i="14" s="1"/>
  <c r="B37" i="1" s="1"/>
  <c r="B26" i="12"/>
  <c r="B28" i="12" s="1"/>
  <c r="B36" i="1" s="1"/>
  <c r="B31" i="6"/>
  <c r="B51" i="6" s="1"/>
  <c r="B62" i="2"/>
  <c r="B55" i="2"/>
  <c r="C55" i="2" s="1"/>
  <c r="B57" i="1" s="1"/>
  <c r="AA96" i="6"/>
  <c r="AA100" i="6"/>
  <c r="AA104" i="6"/>
  <c r="AA108" i="6"/>
  <c r="AA112" i="6"/>
  <c r="AA116" i="6"/>
  <c r="AA120" i="6"/>
  <c r="AA124" i="6"/>
  <c r="AA128" i="6"/>
  <c r="AA132" i="6"/>
  <c r="AA136" i="6"/>
  <c r="AA140" i="6"/>
  <c r="AA144" i="6"/>
  <c r="AA148" i="6"/>
  <c r="AA152" i="6"/>
  <c r="AA156" i="6"/>
  <c r="AA160" i="6"/>
  <c r="AA164" i="6"/>
  <c r="AA168" i="6"/>
  <c r="AA172" i="6"/>
  <c r="AA176" i="6"/>
  <c r="AA180" i="6"/>
  <c r="AA184" i="6"/>
  <c r="AA188" i="6"/>
  <c r="AA192" i="6"/>
  <c r="AA196" i="6"/>
  <c r="AA200" i="6"/>
  <c r="AA204" i="6"/>
  <c r="AA208" i="6"/>
  <c r="AA212" i="6"/>
  <c r="AA216" i="6"/>
  <c r="AA220" i="6"/>
  <c r="AA97" i="6"/>
  <c r="AA101" i="6"/>
  <c r="AA105" i="6"/>
  <c r="AA109" i="6"/>
  <c r="AA113" i="6"/>
  <c r="AA117" i="6"/>
  <c r="AA121" i="6"/>
  <c r="AA125" i="6"/>
  <c r="AA129" i="6"/>
  <c r="AA133" i="6"/>
  <c r="AA137" i="6"/>
  <c r="AA141" i="6"/>
  <c r="AA145" i="6"/>
  <c r="AA149" i="6"/>
  <c r="AA153" i="6"/>
  <c r="AA157" i="6"/>
  <c r="AA161" i="6"/>
  <c r="AA165" i="6"/>
  <c r="AA169" i="6"/>
  <c r="AA173" i="6"/>
  <c r="AA177" i="6"/>
  <c r="AA181" i="6"/>
  <c r="AA185" i="6"/>
  <c r="AA189" i="6"/>
  <c r="AA193" i="6"/>
  <c r="AA197" i="6"/>
  <c r="AA201" i="6"/>
  <c r="AA205" i="6"/>
  <c r="AA209" i="6"/>
  <c r="AA213" i="6"/>
  <c r="AA217" i="6"/>
  <c r="AA221" i="6"/>
  <c r="AA98" i="6"/>
  <c r="AA102" i="6"/>
  <c r="AA106" i="6"/>
  <c r="AA110" i="6"/>
  <c r="AA114" i="6"/>
  <c r="AA118" i="6"/>
  <c r="AA122" i="6"/>
  <c r="AA126" i="6"/>
  <c r="AA130" i="6"/>
  <c r="AA134" i="6"/>
  <c r="AA138" i="6"/>
  <c r="AA142" i="6"/>
  <c r="AA146" i="6"/>
  <c r="AA150" i="6"/>
  <c r="AA154" i="6"/>
  <c r="AA158" i="6"/>
  <c r="AA162" i="6"/>
  <c r="AA166" i="6"/>
  <c r="AA170" i="6"/>
  <c r="AA174" i="6"/>
  <c r="AA178" i="6"/>
  <c r="AA182" i="6"/>
  <c r="AA186" i="6"/>
  <c r="AA190" i="6"/>
  <c r="AA194" i="6"/>
  <c r="AA198" i="6"/>
  <c r="AA202" i="6"/>
  <c r="AA206" i="6"/>
  <c r="AA210" i="6"/>
  <c r="AA214" i="6"/>
  <c r="AA218" i="6"/>
  <c r="AA95" i="6"/>
  <c r="AA99" i="6"/>
  <c r="AA103" i="6"/>
  <c r="AA107" i="6"/>
  <c r="AA111" i="6"/>
  <c r="AA115" i="6"/>
  <c r="AA119" i="6"/>
  <c r="AA123" i="6"/>
  <c r="AA127" i="6"/>
  <c r="AA131" i="6"/>
  <c r="AA135" i="6"/>
  <c r="AA139" i="6"/>
  <c r="AA143" i="6"/>
  <c r="AA147" i="6"/>
  <c r="AA151" i="6"/>
  <c r="AA155" i="6"/>
  <c r="AA159" i="6"/>
  <c r="AA163" i="6"/>
  <c r="AA167" i="6"/>
  <c r="AA171" i="6"/>
  <c r="AA175" i="6"/>
  <c r="AA179" i="6"/>
  <c r="AA183" i="6"/>
  <c r="AA187" i="6"/>
  <c r="AA191" i="6"/>
  <c r="AA195" i="6"/>
  <c r="AA199" i="6"/>
  <c r="AA203" i="6"/>
  <c r="AA207" i="6"/>
  <c r="AA211" i="6"/>
  <c r="AA215" i="6"/>
  <c r="AA219" i="6"/>
  <c r="P98" i="6"/>
  <c r="P102" i="6"/>
  <c r="P106" i="6"/>
  <c r="P110" i="6"/>
  <c r="P114" i="6"/>
  <c r="P118" i="6"/>
  <c r="P122" i="6"/>
  <c r="P126" i="6"/>
  <c r="P130" i="6"/>
  <c r="P134" i="6"/>
  <c r="P138" i="6"/>
  <c r="P142" i="6"/>
  <c r="P146" i="6"/>
  <c r="P150" i="6"/>
  <c r="P154" i="6"/>
  <c r="P158" i="6"/>
  <c r="P162" i="6"/>
  <c r="P166" i="6"/>
  <c r="P170" i="6"/>
  <c r="P174" i="6"/>
  <c r="P178" i="6"/>
  <c r="P182" i="6"/>
  <c r="P186" i="6"/>
  <c r="P190" i="6"/>
  <c r="P194" i="6"/>
  <c r="P198" i="6"/>
  <c r="P202" i="6"/>
  <c r="P206" i="6"/>
  <c r="P210" i="6"/>
  <c r="P214" i="6"/>
  <c r="P218" i="6"/>
  <c r="P95" i="6"/>
  <c r="P96" i="6"/>
  <c r="P104" i="6"/>
  <c r="P112" i="6"/>
  <c r="P120" i="6"/>
  <c r="P128" i="6"/>
  <c r="P136" i="6"/>
  <c r="P144" i="6"/>
  <c r="P152" i="6"/>
  <c r="P160" i="6"/>
  <c r="P168" i="6"/>
  <c r="P176" i="6"/>
  <c r="P184" i="6"/>
  <c r="P192" i="6"/>
  <c r="P200" i="6"/>
  <c r="P208" i="6"/>
  <c r="P216" i="6"/>
  <c r="P97" i="6"/>
  <c r="P105" i="6"/>
  <c r="P113" i="6"/>
  <c r="P121" i="6"/>
  <c r="P129" i="6"/>
  <c r="P137" i="6"/>
  <c r="P145" i="6"/>
  <c r="P153" i="6"/>
  <c r="P161" i="6"/>
  <c r="P173" i="6"/>
  <c r="P181" i="6"/>
  <c r="P189" i="6"/>
  <c r="P197" i="6"/>
  <c r="P205" i="6"/>
  <c r="P213" i="6"/>
  <c r="P221" i="6"/>
  <c r="P99" i="6"/>
  <c r="P103" i="6"/>
  <c r="P107" i="6"/>
  <c r="P111" i="6"/>
  <c r="P115" i="6"/>
  <c r="P119" i="6"/>
  <c r="P123" i="6"/>
  <c r="P127" i="6"/>
  <c r="P131" i="6"/>
  <c r="P135" i="6"/>
  <c r="P139" i="6"/>
  <c r="P143" i="6"/>
  <c r="P147" i="6"/>
  <c r="P151" i="6"/>
  <c r="P155" i="6"/>
  <c r="P159" i="6"/>
  <c r="P163" i="6"/>
  <c r="P167" i="6"/>
  <c r="P171" i="6"/>
  <c r="P175" i="6"/>
  <c r="P179" i="6"/>
  <c r="P183" i="6"/>
  <c r="P187" i="6"/>
  <c r="P191" i="6"/>
  <c r="P195" i="6"/>
  <c r="P199" i="6"/>
  <c r="P203" i="6"/>
  <c r="P207" i="6"/>
  <c r="P211" i="6"/>
  <c r="P215" i="6"/>
  <c r="P219" i="6"/>
  <c r="P100" i="6"/>
  <c r="P108" i="6"/>
  <c r="P116" i="6"/>
  <c r="P124" i="6"/>
  <c r="P132" i="6"/>
  <c r="P140" i="6"/>
  <c r="P148" i="6"/>
  <c r="P156" i="6"/>
  <c r="P164" i="6"/>
  <c r="P172" i="6"/>
  <c r="P180" i="6"/>
  <c r="P188" i="6"/>
  <c r="P196" i="6"/>
  <c r="P204" i="6"/>
  <c r="P212" i="6"/>
  <c r="P220" i="6"/>
  <c r="P101" i="6"/>
  <c r="P109" i="6"/>
  <c r="P117" i="6"/>
  <c r="P125" i="6"/>
  <c r="P133" i="6"/>
  <c r="P141" i="6"/>
  <c r="P149" i="6"/>
  <c r="P157" i="6"/>
  <c r="P165" i="6"/>
  <c r="P169" i="6"/>
  <c r="P177" i="6"/>
  <c r="P185" i="6"/>
  <c r="P193" i="6"/>
  <c r="P201" i="6"/>
  <c r="P209" i="6"/>
  <c r="P217" i="6"/>
  <c r="Z137" i="6"/>
  <c r="Z106" i="6"/>
  <c r="Z105" i="6"/>
  <c r="O110" i="6"/>
  <c r="O136" i="6"/>
  <c r="Z136" i="6"/>
  <c r="O95" i="6"/>
  <c r="Z95" i="6"/>
  <c r="Z102" i="6"/>
  <c r="O96" i="6"/>
  <c r="O112" i="6"/>
  <c r="O100" i="6"/>
  <c r="O107" i="6"/>
  <c r="O111" i="6"/>
  <c r="O135" i="6"/>
  <c r="O103" i="6"/>
  <c r="O134" i="6"/>
  <c r="O101" i="6"/>
  <c r="O99" i="6"/>
  <c r="O98" i="6"/>
  <c r="O113" i="6"/>
  <c r="O97" i="6"/>
  <c r="O108" i="6"/>
  <c r="O104" i="6"/>
  <c r="T113" i="6"/>
  <c r="B114" i="6"/>
  <c r="Z114" i="6" s="1"/>
  <c r="J113" i="6"/>
  <c r="B115" i="6"/>
  <c r="Z115" i="6" s="1"/>
  <c r="U135" i="6"/>
  <c r="H135" i="6"/>
  <c r="U134" i="6"/>
  <c r="H134" i="6"/>
  <c r="U137" i="6"/>
  <c r="H137" i="6"/>
  <c r="U136" i="6"/>
  <c r="H136" i="6"/>
  <c r="U112" i="6"/>
  <c r="H112" i="6"/>
  <c r="U113" i="6"/>
  <c r="H113" i="6"/>
  <c r="U108" i="6"/>
  <c r="H108" i="6"/>
  <c r="U104" i="6"/>
  <c r="H104" i="6"/>
  <c r="U100" i="6"/>
  <c r="H100" i="6"/>
  <c r="U96" i="6"/>
  <c r="H96" i="6"/>
  <c r="U111" i="6"/>
  <c r="H110" i="6"/>
  <c r="U105" i="6"/>
  <c r="H105" i="6"/>
  <c r="U101" i="6"/>
  <c r="H101" i="6"/>
  <c r="U97" i="6"/>
  <c r="H97" i="6"/>
  <c r="U109" i="6"/>
  <c r="U106" i="6"/>
  <c r="H106" i="6"/>
  <c r="U102" i="6"/>
  <c r="H102" i="6"/>
  <c r="U98" i="6"/>
  <c r="H98" i="6"/>
  <c r="H111" i="6"/>
  <c r="U110" i="6"/>
  <c r="H109" i="6"/>
  <c r="U107" i="6"/>
  <c r="H107" i="6"/>
  <c r="U103" i="6"/>
  <c r="H103" i="6"/>
  <c r="U99" i="6"/>
  <c r="H99" i="6"/>
  <c r="U95" i="6"/>
  <c r="H95" i="6"/>
  <c r="J97" i="6"/>
  <c r="W97" i="6"/>
  <c r="AM97" i="6" s="1"/>
  <c r="G98" i="6"/>
  <c r="K98" i="6"/>
  <c r="T98" i="6"/>
  <c r="X98" i="6"/>
  <c r="J101" i="6"/>
  <c r="W101" i="6"/>
  <c r="AM101" i="6" s="1"/>
  <c r="G102" i="6"/>
  <c r="K102" i="6"/>
  <c r="T102" i="6"/>
  <c r="X102" i="6"/>
  <c r="J105" i="6"/>
  <c r="AL105" i="6" s="1"/>
  <c r="W105" i="6"/>
  <c r="G106" i="6"/>
  <c r="K106" i="6"/>
  <c r="T106" i="6"/>
  <c r="X106" i="6"/>
  <c r="T109" i="6"/>
  <c r="W135" i="6"/>
  <c r="AM135" i="6" s="1"/>
  <c r="J135" i="6"/>
  <c r="W134" i="6"/>
  <c r="AM134" i="6" s="1"/>
  <c r="J134" i="6"/>
  <c r="W137" i="6"/>
  <c r="J137" i="6"/>
  <c r="AL137" i="6" s="1"/>
  <c r="W136" i="6"/>
  <c r="J136" i="6"/>
  <c r="W110" i="6"/>
  <c r="AM110" i="6" s="1"/>
  <c r="J110" i="6"/>
  <c r="W111" i="6"/>
  <c r="AM111" i="6" s="1"/>
  <c r="J111" i="6"/>
  <c r="J96" i="6"/>
  <c r="W96" i="6"/>
  <c r="AM96" i="6" s="1"/>
  <c r="G97" i="6"/>
  <c r="K97" i="6"/>
  <c r="T97" i="6"/>
  <c r="X97" i="6"/>
  <c r="J100" i="6"/>
  <c r="W100" i="6"/>
  <c r="AM100" i="6" s="1"/>
  <c r="G101" i="6"/>
  <c r="K101" i="6"/>
  <c r="T101" i="6"/>
  <c r="X101" i="6"/>
  <c r="J104" i="6"/>
  <c r="W104" i="6"/>
  <c r="AM104" i="6" s="1"/>
  <c r="G105" i="6"/>
  <c r="K105" i="6"/>
  <c r="T105" i="6"/>
  <c r="X105" i="6"/>
  <c r="J108" i="6"/>
  <c r="W108" i="6"/>
  <c r="AM108" i="6" s="1"/>
  <c r="J109" i="6"/>
  <c r="AL109" i="6" s="1"/>
  <c r="G110" i="6"/>
  <c r="X110" i="6"/>
  <c r="W112" i="6"/>
  <c r="AM112" i="6" s="1"/>
  <c r="W114" i="6"/>
  <c r="B117" i="6"/>
  <c r="Z117" i="6" s="1"/>
  <c r="B119" i="6"/>
  <c r="Z119" i="6" s="1"/>
  <c r="B121" i="6"/>
  <c r="Z121" i="6" s="1"/>
  <c r="B123" i="6"/>
  <c r="Z123" i="6" s="1"/>
  <c r="B125" i="6"/>
  <c r="Z125" i="6" s="1"/>
  <c r="B127" i="6"/>
  <c r="Z127" i="6" s="1"/>
  <c r="T137" i="6"/>
  <c r="G137" i="6"/>
  <c r="T136" i="6"/>
  <c r="G136" i="6"/>
  <c r="T135" i="6"/>
  <c r="G135" i="6"/>
  <c r="T134" i="6"/>
  <c r="G134" i="6"/>
  <c r="T111" i="6"/>
  <c r="G111" i="6"/>
  <c r="T112" i="6"/>
  <c r="G112" i="6"/>
  <c r="X137" i="6"/>
  <c r="K137" i="6"/>
  <c r="X136" i="6"/>
  <c r="K136" i="6"/>
  <c r="X135" i="6"/>
  <c r="K135" i="6"/>
  <c r="X134" i="6"/>
  <c r="K134" i="6"/>
  <c r="X111" i="6"/>
  <c r="K111" i="6"/>
  <c r="X112" i="6"/>
  <c r="K112" i="6"/>
  <c r="J95" i="6"/>
  <c r="W95" i="6"/>
  <c r="G96" i="6"/>
  <c r="K96" i="6"/>
  <c r="T96" i="6"/>
  <c r="X96" i="6"/>
  <c r="J99" i="6"/>
  <c r="W99" i="6"/>
  <c r="AM99" i="6" s="1"/>
  <c r="G100" i="6"/>
  <c r="K100" i="6"/>
  <c r="T100" i="6"/>
  <c r="X100" i="6"/>
  <c r="J103" i="6"/>
  <c r="W103" i="6"/>
  <c r="AM103" i="6" s="1"/>
  <c r="G104" i="6"/>
  <c r="K104" i="6"/>
  <c r="T104" i="6"/>
  <c r="X104" i="6"/>
  <c r="J107" i="6"/>
  <c r="W107" i="6"/>
  <c r="AM107" i="6" s="1"/>
  <c r="G108" i="6"/>
  <c r="K108" i="6"/>
  <c r="T108" i="6"/>
  <c r="X108" i="6"/>
  <c r="K109" i="6"/>
  <c r="W109" i="6"/>
  <c r="AM109" i="6" s="1"/>
  <c r="W113" i="6"/>
  <c r="AM113" i="6" s="1"/>
  <c r="B128" i="6"/>
  <c r="Z128" i="6" s="1"/>
  <c r="A129" i="6"/>
  <c r="G114" i="6"/>
  <c r="K119" i="6"/>
  <c r="T119" i="6"/>
  <c r="K125" i="6"/>
  <c r="T125" i="6"/>
  <c r="G95" i="6"/>
  <c r="K95" i="6"/>
  <c r="T95" i="6"/>
  <c r="X95" i="6"/>
  <c r="J98" i="6"/>
  <c r="W98" i="6"/>
  <c r="AM98" i="6" s="1"/>
  <c r="G99" i="6"/>
  <c r="K99" i="6"/>
  <c r="T99" i="6"/>
  <c r="X99" i="6"/>
  <c r="J102" i="6"/>
  <c r="AL102" i="6" s="1"/>
  <c r="W102" i="6"/>
  <c r="G103" i="6"/>
  <c r="K103" i="6"/>
  <c r="T103" i="6"/>
  <c r="X103" i="6"/>
  <c r="J106" i="6"/>
  <c r="AL106" i="6" s="1"/>
  <c r="W106" i="6"/>
  <c r="G107" i="6"/>
  <c r="K107" i="6"/>
  <c r="T107" i="6"/>
  <c r="X107" i="6"/>
  <c r="G109" i="6"/>
  <c r="X109" i="6"/>
  <c r="K110" i="6"/>
  <c r="T110" i="6"/>
  <c r="J112" i="6"/>
  <c r="G113" i="6"/>
  <c r="X113" i="6"/>
  <c r="J114" i="6"/>
  <c r="B116" i="6"/>
  <c r="X116" i="6" s="1"/>
  <c r="B118" i="6"/>
  <c r="Z118" i="6" s="1"/>
  <c r="W119" i="6"/>
  <c r="B120" i="6"/>
  <c r="Z120" i="6" s="1"/>
  <c r="B122" i="6"/>
  <c r="Z122" i="6" s="1"/>
  <c r="B124" i="6"/>
  <c r="Z124" i="6" s="1"/>
  <c r="W125" i="6"/>
  <c r="B126" i="6"/>
  <c r="Z126" i="6" s="1"/>
  <c r="A138" i="6"/>
  <c r="AM119" i="6" l="1"/>
  <c r="AL104" i="6"/>
  <c r="AL98" i="6"/>
  <c r="AL103" i="6"/>
  <c r="AM95" i="6"/>
  <c r="AL110" i="6"/>
  <c r="AL100" i="6"/>
  <c r="AM125" i="6"/>
  <c r="AL108" i="6"/>
  <c r="AL99" i="6"/>
  <c r="AL135" i="6"/>
  <c r="AL112" i="6"/>
  <c r="AL95" i="6"/>
  <c r="AM105" i="6"/>
  <c r="AM114" i="6"/>
  <c r="AL97" i="6"/>
  <c r="AL101" i="6"/>
  <c r="AL111" i="6"/>
  <c r="AL96" i="6"/>
  <c r="AM136" i="6"/>
  <c r="AM106" i="6"/>
  <c r="AL113" i="6"/>
  <c r="AL134" i="6"/>
  <c r="AL107" i="6"/>
  <c r="AM102" i="6"/>
  <c r="AL136" i="6"/>
  <c r="AM137" i="6"/>
  <c r="B158" i="16"/>
  <c r="A159" i="16"/>
  <c r="E157" i="16"/>
  <c r="D157" i="16"/>
  <c r="F157" i="16"/>
  <c r="H119" i="16"/>
  <c r="I119" i="16" s="1"/>
  <c r="H74" i="16"/>
  <c r="I74" i="16" s="1"/>
  <c r="H23" i="16"/>
  <c r="I23" i="16" s="1"/>
  <c r="H87" i="16"/>
  <c r="I87" i="16" s="1"/>
  <c r="H106" i="16"/>
  <c r="I106" i="16" s="1"/>
  <c r="H71" i="16"/>
  <c r="I71" i="16" s="1"/>
  <c r="H24" i="16"/>
  <c r="I24" i="16" s="1"/>
  <c r="L643" i="16"/>
  <c r="L24" i="16"/>
  <c r="L23" i="16"/>
  <c r="L26" i="16"/>
  <c r="L25" i="16"/>
  <c r="L27" i="16"/>
  <c r="L28"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L100" i="16"/>
  <c r="L101" i="16"/>
  <c r="L102" i="16"/>
  <c r="L103" i="16"/>
  <c r="L104" i="16"/>
  <c r="L105"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H118" i="16"/>
  <c r="I118" i="16" s="1"/>
  <c r="H86" i="16"/>
  <c r="I86" i="16" s="1"/>
  <c r="H28" i="16"/>
  <c r="I28" i="16" s="1"/>
  <c r="H108" i="16"/>
  <c r="I108" i="16" s="1"/>
  <c r="H144" i="16"/>
  <c r="I144" i="16" s="1"/>
  <c r="H112" i="16"/>
  <c r="I112" i="16" s="1"/>
  <c r="H135" i="16"/>
  <c r="I135" i="16" s="1"/>
  <c r="K24" i="16"/>
  <c r="K28" i="16"/>
  <c r="K32" i="16"/>
  <c r="K36" i="16"/>
  <c r="K40" i="16"/>
  <c r="K44" i="16"/>
  <c r="K48" i="16"/>
  <c r="K52" i="16"/>
  <c r="K56" i="16"/>
  <c r="K60" i="16"/>
  <c r="K64" i="16"/>
  <c r="K68" i="16"/>
  <c r="K72" i="16"/>
  <c r="K76" i="16"/>
  <c r="K80" i="16"/>
  <c r="K84" i="16"/>
  <c r="K88" i="16"/>
  <c r="K92" i="16"/>
  <c r="K96" i="16"/>
  <c r="K100" i="16"/>
  <c r="K104" i="16"/>
  <c r="K108" i="16"/>
  <c r="K26" i="16"/>
  <c r="K30" i="16"/>
  <c r="K34" i="16"/>
  <c r="K38" i="16"/>
  <c r="K42" i="16"/>
  <c r="K46" i="16"/>
  <c r="K50" i="16"/>
  <c r="K54" i="16"/>
  <c r="K58" i="16"/>
  <c r="K62" i="16"/>
  <c r="K66" i="16"/>
  <c r="K70" i="16"/>
  <c r="K74" i="16"/>
  <c r="K29" i="16"/>
  <c r="K37" i="16"/>
  <c r="K45" i="16"/>
  <c r="K53" i="16"/>
  <c r="K61" i="16"/>
  <c r="K69" i="16"/>
  <c r="K77" i="16"/>
  <c r="K82" i="16"/>
  <c r="K87" i="16"/>
  <c r="K93" i="16"/>
  <c r="K98" i="16"/>
  <c r="K103" i="16"/>
  <c r="K109" i="16"/>
  <c r="K113" i="16"/>
  <c r="K117" i="16"/>
  <c r="K121" i="16"/>
  <c r="K125" i="16"/>
  <c r="K129" i="16"/>
  <c r="K133" i="16"/>
  <c r="K137" i="16"/>
  <c r="K141" i="16"/>
  <c r="K145" i="16"/>
  <c r="K149" i="16"/>
  <c r="K153" i="16"/>
  <c r="K643" i="16"/>
  <c r="K31" i="16"/>
  <c r="K39" i="16"/>
  <c r="K47" i="16"/>
  <c r="K55" i="16"/>
  <c r="K63" i="16"/>
  <c r="K71" i="16"/>
  <c r="K78" i="16"/>
  <c r="K83" i="16"/>
  <c r="K89" i="16"/>
  <c r="K94" i="16"/>
  <c r="K99" i="16"/>
  <c r="K105" i="16"/>
  <c r="K110" i="16"/>
  <c r="K114" i="16"/>
  <c r="K118" i="16"/>
  <c r="K122" i="16"/>
  <c r="K126" i="16"/>
  <c r="K130" i="16"/>
  <c r="K142" i="16"/>
  <c r="K146" i="16"/>
  <c r="K154" i="16"/>
  <c r="K25" i="16"/>
  <c r="K33" i="16"/>
  <c r="K41" i="16"/>
  <c r="K49" i="16"/>
  <c r="K57" i="16"/>
  <c r="K65" i="16"/>
  <c r="K73" i="16"/>
  <c r="K79" i="16"/>
  <c r="K85" i="16"/>
  <c r="K90" i="16"/>
  <c r="K95" i="16"/>
  <c r="K101" i="16"/>
  <c r="K106" i="16"/>
  <c r="K111" i="16"/>
  <c r="K115" i="16"/>
  <c r="K119" i="16"/>
  <c r="K123" i="16"/>
  <c r="K127" i="16"/>
  <c r="K131" i="16"/>
  <c r="K135" i="16"/>
  <c r="K139" i="16"/>
  <c r="K143" i="16"/>
  <c r="K147" i="16"/>
  <c r="K155" i="16"/>
  <c r="K35" i="16"/>
  <c r="K67" i="16"/>
  <c r="K91" i="16"/>
  <c r="K112" i="16"/>
  <c r="K128" i="16"/>
  <c r="K144" i="16"/>
  <c r="K43" i="16"/>
  <c r="K75" i="16"/>
  <c r="K97" i="16"/>
  <c r="K116" i="16"/>
  <c r="K132" i="16"/>
  <c r="K148" i="16"/>
  <c r="K51" i="16"/>
  <c r="K81" i="16"/>
  <c r="K102" i="16"/>
  <c r="K120" i="16"/>
  <c r="K136" i="16"/>
  <c r="K152" i="16"/>
  <c r="K23" i="16"/>
  <c r="K107" i="16"/>
  <c r="K27" i="16"/>
  <c r="K124" i="16"/>
  <c r="K59" i="16"/>
  <c r="K140" i="16"/>
  <c r="K86" i="16"/>
  <c r="K156" i="16"/>
  <c r="B16" i="16"/>
  <c r="H138" i="16"/>
  <c r="I138" i="16" s="1"/>
  <c r="K138" i="16" s="1"/>
  <c r="H66" i="16"/>
  <c r="I66" i="16" s="1"/>
  <c r="H150" i="16"/>
  <c r="I150" i="16" s="1"/>
  <c r="K150" i="16" s="1"/>
  <c r="H39" i="16"/>
  <c r="I39" i="16" s="1"/>
  <c r="H40" i="16"/>
  <c r="I40" i="16" s="1"/>
  <c r="H76" i="16"/>
  <c r="I76" i="16" s="1"/>
  <c r="H70" i="16"/>
  <c r="I70" i="16" s="1"/>
  <c r="H134" i="16"/>
  <c r="I134" i="16" s="1"/>
  <c r="K134" i="16" s="1"/>
  <c r="H151" i="16"/>
  <c r="I151" i="16" s="1"/>
  <c r="K151" i="16" s="1"/>
  <c r="H55" i="16"/>
  <c r="I55" i="16" s="1"/>
  <c r="B64" i="2"/>
  <c r="B29" i="1" s="1"/>
  <c r="B30" i="1"/>
  <c r="T114" i="6"/>
  <c r="W123" i="6"/>
  <c r="AM123" i="6" s="1"/>
  <c r="K114" i="6"/>
  <c r="H114" i="6"/>
  <c r="X114" i="6"/>
  <c r="U114" i="6"/>
  <c r="J124" i="6"/>
  <c r="W121" i="6"/>
  <c r="AM121" i="6" s="1"/>
  <c r="J116" i="6"/>
  <c r="Z116" i="6"/>
  <c r="X127" i="6"/>
  <c r="T121" i="6"/>
  <c r="K121" i="6"/>
  <c r="T127" i="6"/>
  <c r="J121" i="6"/>
  <c r="T122" i="6"/>
  <c r="O122" i="6"/>
  <c r="O115" i="6"/>
  <c r="O127" i="6"/>
  <c r="O121" i="6"/>
  <c r="G118" i="6"/>
  <c r="O118" i="6"/>
  <c r="O124" i="6"/>
  <c r="AL124" i="6" s="1"/>
  <c r="O120" i="6"/>
  <c r="O116" i="6"/>
  <c r="X124" i="6"/>
  <c r="J125" i="6"/>
  <c r="O125" i="6"/>
  <c r="O119" i="6"/>
  <c r="O114" i="6"/>
  <c r="AL114" i="6" s="1"/>
  <c r="G126" i="6"/>
  <c r="O126" i="6"/>
  <c r="O128" i="6"/>
  <c r="K123" i="6"/>
  <c r="O123" i="6"/>
  <c r="J117" i="6"/>
  <c r="O117" i="6"/>
  <c r="J122" i="6"/>
  <c r="J115" i="6"/>
  <c r="X115" i="6"/>
  <c r="H115" i="6"/>
  <c r="W115" i="6"/>
  <c r="AM115" i="6" s="1"/>
  <c r="T123" i="6"/>
  <c r="T117" i="6"/>
  <c r="T115" i="6"/>
  <c r="W117" i="6"/>
  <c r="AM117" i="6" s="1"/>
  <c r="K117" i="6"/>
  <c r="K115" i="6"/>
  <c r="K127" i="6"/>
  <c r="G115" i="6"/>
  <c r="U115" i="6"/>
  <c r="U120" i="6"/>
  <c r="T120" i="6"/>
  <c r="H120" i="6"/>
  <c r="K120" i="6"/>
  <c r="B138" i="6"/>
  <c r="Z138" i="6" s="1"/>
  <c r="A139" i="6"/>
  <c r="U126" i="6"/>
  <c r="H126" i="6"/>
  <c r="J120" i="6"/>
  <c r="U118" i="6"/>
  <c r="H118" i="6"/>
  <c r="T118" i="6"/>
  <c r="X126" i="6"/>
  <c r="G122" i="6"/>
  <c r="X118" i="6"/>
  <c r="X123" i="6"/>
  <c r="U123" i="6"/>
  <c r="H123" i="6"/>
  <c r="W120" i="6"/>
  <c r="AM120" i="6" s="1"/>
  <c r="W128" i="6"/>
  <c r="AM128" i="6" s="1"/>
  <c r="T126" i="6"/>
  <c r="G123" i="6"/>
  <c r="X119" i="6"/>
  <c r="T116" i="6"/>
  <c r="G120" i="6"/>
  <c r="B129" i="6"/>
  <c r="Z129" i="6" s="1"/>
  <c r="A130" i="6"/>
  <c r="J127" i="6"/>
  <c r="X125" i="6"/>
  <c r="U125" i="6"/>
  <c r="H125" i="6"/>
  <c r="G125" i="6"/>
  <c r="W122" i="6"/>
  <c r="AM122" i="6" s="1"/>
  <c r="J119" i="6"/>
  <c r="U117" i="6"/>
  <c r="H117" i="6"/>
  <c r="G117" i="6"/>
  <c r="K126" i="6"/>
  <c r="K116" i="6"/>
  <c r="U122" i="6"/>
  <c r="K122" i="6"/>
  <c r="H122" i="6"/>
  <c r="X122" i="6"/>
  <c r="K128" i="6"/>
  <c r="G128" i="6"/>
  <c r="W127" i="6"/>
  <c r="AM127" i="6" s="1"/>
  <c r="U127" i="6"/>
  <c r="H127" i="6"/>
  <c r="G127" i="6"/>
  <c r="W124" i="6"/>
  <c r="AM124" i="6" s="1"/>
  <c r="G119" i="6"/>
  <c r="U119" i="6"/>
  <c r="H119" i="6"/>
  <c r="W116" i="6"/>
  <c r="T124" i="6"/>
  <c r="K118" i="6"/>
  <c r="U128" i="6"/>
  <c r="H128" i="6"/>
  <c r="J126" i="6"/>
  <c r="U124" i="6"/>
  <c r="H124" i="6"/>
  <c r="J118" i="6"/>
  <c r="U116" i="6"/>
  <c r="H116" i="6"/>
  <c r="G124" i="6"/>
  <c r="X120" i="6"/>
  <c r="G116" i="6"/>
  <c r="X128" i="6"/>
  <c r="T128" i="6"/>
  <c r="W126" i="6"/>
  <c r="AM126" i="6" s="1"/>
  <c r="J123" i="6"/>
  <c r="U121" i="6"/>
  <c r="H121" i="6"/>
  <c r="X121" i="6"/>
  <c r="W118" i="6"/>
  <c r="AM118" i="6" s="1"/>
  <c r="J128" i="6"/>
  <c r="K124" i="6"/>
  <c r="G121" i="6"/>
  <c r="X117" i="6"/>
  <c r="B53" i="6"/>
  <c r="AL126" i="6" l="1"/>
  <c r="AL125" i="6"/>
  <c r="AL121" i="6"/>
  <c r="AL116" i="6"/>
  <c r="AL117" i="6"/>
  <c r="AL128" i="6"/>
  <c r="AL122" i="6"/>
  <c r="AL119" i="6"/>
  <c r="AL120" i="6"/>
  <c r="AL123" i="6"/>
  <c r="AL127" i="6"/>
  <c r="AL118" i="6"/>
  <c r="AL115" i="6"/>
  <c r="AM116" i="6"/>
  <c r="G157" i="16"/>
  <c r="B80" i="1"/>
  <c r="B79" i="1"/>
  <c r="B78" i="1"/>
  <c r="H157" i="16"/>
  <c r="I157" i="16" s="1"/>
  <c r="K157" i="16" s="1"/>
  <c r="B159" i="16"/>
  <c r="A160" i="16"/>
  <c r="L159" i="16"/>
  <c r="M155" i="16"/>
  <c r="M151" i="16"/>
  <c r="P151" i="16" s="1"/>
  <c r="F158" i="16"/>
  <c r="E158" i="16"/>
  <c r="D158" i="16"/>
  <c r="M147" i="16"/>
  <c r="N147" i="16" s="1"/>
  <c r="M143" i="16"/>
  <c r="N143" i="16" s="1"/>
  <c r="M139" i="16"/>
  <c r="N139" i="16" s="1"/>
  <c r="M135" i="16"/>
  <c r="N135" i="16" s="1"/>
  <c r="M131" i="16"/>
  <c r="N131" i="16" s="1"/>
  <c r="M127" i="16"/>
  <c r="N127" i="16" s="1"/>
  <c r="M123" i="16"/>
  <c r="N123" i="16" s="1"/>
  <c r="M119" i="16"/>
  <c r="N119" i="16" s="1"/>
  <c r="M115" i="16"/>
  <c r="N115" i="16" s="1"/>
  <c r="M111" i="16"/>
  <c r="N111" i="16" s="1"/>
  <c r="M107" i="16"/>
  <c r="N107" i="16" s="1"/>
  <c r="M103" i="16"/>
  <c r="N103" i="16" s="1"/>
  <c r="M99" i="16"/>
  <c r="N99" i="16" s="1"/>
  <c r="M95" i="16"/>
  <c r="N95" i="16" s="1"/>
  <c r="M91" i="16"/>
  <c r="N91" i="16" s="1"/>
  <c r="M87" i="16"/>
  <c r="N87" i="16" s="1"/>
  <c r="M83" i="16"/>
  <c r="N83" i="16" s="1"/>
  <c r="M79" i="16"/>
  <c r="N79" i="16" s="1"/>
  <c r="M75" i="16"/>
  <c r="N75" i="16" s="1"/>
  <c r="M71" i="16"/>
  <c r="N71" i="16" s="1"/>
  <c r="M67" i="16"/>
  <c r="N67" i="16" s="1"/>
  <c r="M63" i="16"/>
  <c r="N63" i="16" s="1"/>
  <c r="M59" i="16"/>
  <c r="N59" i="16" s="1"/>
  <c r="M55" i="16"/>
  <c r="N55" i="16" s="1"/>
  <c r="M51" i="16"/>
  <c r="N51" i="16" s="1"/>
  <c r="M47" i="16"/>
  <c r="N47" i="16" s="1"/>
  <c r="M43" i="16"/>
  <c r="N43" i="16" s="1"/>
  <c r="M39" i="16"/>
  <c r="N39" i="16" s="1"/>
  <c r="M35" i="16"/>
  <c r="N35" i="16" s="1"/>
  <c r="M31" i="16"/>
  <c r="N31" i="16" s="1"/>
  <c r="M27" i="16"/>
  <c r="N27" i="16" s="1"/>
  <c r="M643" i="16"/>
  <c r="B18" i="16" s="1"/>
  <c r="C21" i="1" s="1"/>
  <c r="M154" i="16"/>
  <c r="N154" i="16" s="1"/>
  <c r="M150" i="16"/>
  <c r="N150" i="16" s="1"/>
  <c r="M146" i="16"/>
  <c r="N146" i="16" s="1"/>
  <c r="M142" i="16"/>
  <c r="N142" i="16" s="1"/>
  <c r="M138" i="16"/>
  <c r="N138" i="16" s="1"/>
  <c r="M134" i="16"/>
  <c r="N134" i="16" s="1"/>
  <c r="M130" i="16"/>
  <c r="N130" i="16" s="1"/>
  <c r="M126" i="16"/>
  <c r="N126" i="16" s="1"/>
  <c r="M122" i="16"/>
  <c r="N122" i="16" s="1"/>
  <c r="M118" i="16"/>
  <c r="N118" i="16" s="1"/>
  <c r="M114" i="16"/>
  <c r="N114" i="16" s="1"/>
  <c r="M110" i="16"/>
  <c r="N110" i="16" s="1"/>
  <c r="M106" i="16"/>
  <c r="N106" i="16" s="1"/>
  <c r="M102" i="16"/>
  <c r="N102" i="16" s="1"/>
  <c r="M98" i="16"/>
  <c r="N98" i="16" s="1"/>
  <c r="M94" i="16"/>
  <c r="N94" i="16" s="1"/>
  <c r="M90" i="16"/>
  <c r="N90" i="16" s="1"/>
  <c r="M86" i="16"/>
  <c r="N86" i="16" s="1"/>
  <c r="M82" i="16"/>
  <c r="N82" i="16" s="1"/>
  <c r="M78" i="16"/>
  <c r="N78" i="16" s="1"/>
  <c r="M74" i="16"/>
  <c r="N74" i="16" s="1"/>
  <c r="M70" i="16"/>
  <c r="N70" i="16" s="1"/>
  <c r="M66" i="16"/>
  <c r="N66" i="16" s="1"/>
  <c r="M62" i="16"/>
  <c r="N62" i="16" s="1"/>
  <c r="M58" i="16"/>
  <c r="N58" i="16" s="1"/>
  <c r="M54" i="16"/>
  <c r="N54" i="16" s="1"/>
  <c r="M50" i="16"/>
  <c r="N50" i="16" s="1"/>
  <c r="M46" i="16"/>
  <c r="N46" i="16" s="1"/>
  <c r="M42" i="16"/>
  <c r="N42" i="16" s="1"/>
  <c r="M38" i="16"/>
  <c r="N38" i="16" s="1"/>
  <c r="M34" i="16"/>
  <c r="N34" i="16" s="1"/>
  <c r="M30" i="16"/>
  <c r="N30" i="16" s="1"/>
  <c r="M23" i="16"/>
  <c r="M24" i="16"/>
  <c r="N24" i="16" s="1"/>
  <c r="M26" i="16"/>
  <c r="N26" i="16" s="1"/>
  <c r="M25" i="16"/>
  <c r="N25" i="16" s="1"/>
  <c r="M157" i="16"/>
  <c r="N157" i="16" s="1"/>
  <c r="M153" i="16"/>
  <c r="N153" i="16" s="1"/>
  <c r="M149" i="16"/>
  <c r="N149" i="16" s="1"/>
  <c r="M145" i="16"/>
  <c r="N145" i="16" s="1"/>
  <c r="M141" i="16"/>
  <c r="N141" i="16" s="1"/>
  <c r="M137" i="16"/>
  <c r="N137" i="16" s="1"/>
  <c r="M133" i="16"/>
  <c r="N133" i="16" s="1"/>
  <c r="M129" i="16"/>
  <c r="N129" i="16" s="1"/>
  <c r="M125" i="16"/>
  <c r="N125" i="16" s="1"/>
  <c r="M121" i="16"/>
  <c r="N121" i="16" s="1"/>
  <c r="M117" i="16"/>
  <c r="N117" i="16" s="1"/>
  <c r="M113" i="16"/>
  <c r="N113" i="16" s="1"/>
  <c r="M109" i="16"/>
  <c r="N109" i="16" s="1"/>
  <c r="M105" i="16"/>
  <c r="N105" i="16" s="1"/>
  <c r="M101" i="16"/>
  <c r="N101" i="16" s="1"/>
  <c r="M97" i="16"/>
  <c r="N97" i="16" s="1"/>
  <c r="M93" i="16"/>
  <c r="N93" i="16" s="1"/>
  <c r="M89" i="16"/>
  <c r="N89" i="16" s="1"/>
  <c r="M85" i="16"/>
  <c r="N85" i="16" s="1"/>
  <c r="M81" i="16"/>
  <c r="N81" i="16" s="1"/>
  <c r="M77" i="16"/>
  <c r="N77" i="16" s="1"/>
  <c r="M73" i="16"/>
  <c r="N73" i="16" s="1"/>
  <c r="M69" i="16"/>
  <c r="N69" i="16" s="1"/>
  <c r="M65" i="16"/>
  <c r="N65" i="16" s="1"/>
  <c r="M61" i="16"/>
  <c r="N61" i="16" s="1"/>
  <c r="M57" i="16"/>
  <c r="N57" i="16" s="1"/>
  <c r="M53" i="16"/>
  <c r="N53" i="16" s="1"/>
  <c r="M49" i="16"/>
  <c r="N49" i="16" s="1"/>
  <c r="M45" i="16"/>
  <c r="N45" i="16" s="1"/>
  <c r="M41" i="16"/>
  <c r="N41" i="16" s="1"/>
  <c r="M37" i="16"/>
  <c r="N37" i="16" s="1"/>
  <c r="M33" i="16"/>
  <c r="N33" i="16" s="1"/>
  <c r="M29" i="16"/>
  <c r="N29" i="16" s="1"/>
  <c r="P155" i="16"/>
  <c r="M156" i="16"/>
  <c r="N156" i="16" s="1"/>
  <c r="M152" i="16"/>
  <c r="N152" i="16" s="1"/>
  <c r="M148" i="16"/>
  <c r="N148" i="16" s="1"/>
  <c r="M144" i="16"/>
  <c r="N144" i="16" s="1"/>
  <c r="M140" i="16"/>
  <c r="N140" i="16" s="1"/>
  <c r="M136" i="16"/>
  <c r="N136" i="16" s="1"/>
  <c r="M132" i="16"/>
  <c r="N132" i="16" s="1"/>
  <c r="M128" i="16"/>
  <c r="N128" i="16" s="1"/>
  <c r="M124" i="16"/>
  <c r="N124" i="16" s="1"/>
  <c r="M120" i="16"/>
  <c r="N120" i="16" s="1"/>
  <c r="M116" i="16"/>
  <c r="N116" i="16" s="1"/>
  <c r="M112" i="16"/>
  <c r="N112" i="16" s="1"/>
  <c r="M108" i="16"/>
  <c r="N108" i="16" s="1"/>
  <c r="M104" i="16"/>
  <c r="N104" i="16" s="1"/>
  <c r="M100" i="16"/>
  <c r="N100" i="16" s="1"/>
  <c r="M96" i="16"/>
  <c r="N96" i="16" s="1"/>
  <c r="M92" i="16"/>
  <c r="N92" i="16" s="1"/>
  <c r="M88" i="16"/>
  <c r="N88" i="16" s="1"/>
  <c r="M84" i="16"/>
  <c r="N84" i="16" s="1"/>
  <c r="M80" i="16"/>
  <c r="N80" i="16" s="1"/>
  <c r="M76" i="16"/>
  <c r="N76" i="16" s="1"/>
  <c r="M72" i="16"/>
  <c r="N72" i="16" s="1"/>
  <c r="M68" i="16"/>
  <c r="N68" i="16" s="1"/>
  <c r="M64" i="16"/>
  <c r="N64" i="16" s="1"/>
  <c r="M60" i="16"/>
  <c r="N60" i="16" s="1"/>
  <c r="M56" i="16"/>
  <c r="N56" i="16" s="1"/>
  <c r="M52" i="16"/>
  <c r="N52" i="16" s="1"/>
  <c r="M48" i="16"/>
  <c r="N48" i="16" s="1"/>
  <c r="M44" i="16"/>
  <c r="N44" i="16" s="1"/>
  <c r="M40" i="16"/>
  <c r="N40" i="16" s="1"/>
  <c r="M36" i="16"/>
  <c r="N36" i="16" s="1"/>
  <c r="M32" i="16"/>
  <c r="N32" i="16" s="1"/>
  <c r="M28" i="16"/>
  <c r="N28" i="16" s="1"/>
  <c r="O138" i="6"/>
  <c r="O129" i="6"/>
  <c r="B54" i="6"/>
  <c r="B130" i="6"/>
  <c r="Z130" i="6" s="1"/>
  <c r="A131" i="6"/>
  <c r="B139" i="6"/>
  <c r="Z139" i="6" s="1"/>
  <c r="A140" i="6"/>
  <c r="W129" i="6"/>
  <c r="AM129" i="6" s="1"/>
  <c r="U129" i="6"/>
  <c r="H129" i="6"/>
  <c r="J129" i="6"/>
  <c r="T129" i="6"/>
  <c r="X129" i="6"/>
  <c r="G129" i="6"/>
  <c r="K129" i="6"/>
  <c r="J138" i="6"/>
  <c r="U138" i="6"/>
  <c r="H138" i="6"/>
  <c r="G138" i="6"/>
  <c r="W138" i="6"/>
  <c r="AM138" i="6" s="1"/>
  <c r="X138" i="6"/>
  <c r="T138" i="6"/>
  <c r="K138" i="6"/>
  <c r="AL138" i="6" l="1"/>
  <c r="AL129" i="6"/>
  <c r="P23" i="16"/>
  <c r="N23" i="16"/>
  <c r="O23" i="16" s="1"/>
  <c r="N151" i="16"/>
  <c r="O151" i="16" s="1"/>
  <c r="N155" i="16"/>
  <c r="O155" i="16" s="1"/>
  <c r="B160" i="16"/>
  <c r="L160" i="16"/>
  <c r="A161" i="16"/>
  <c r="E159" i="16"/>
  <c r="F159" i="16"/>
  <c r="D159" i="16"/>
  <c r="G158" i="16"/>
  <c r="P28" i="16"/>
  <c r="O28" i="16"/>
  <c r="P76" i="16"/>
  <c r="O76" i="16"/>
  <c r="P108" i="16"/>
  <c r="O108" i="16"/>
  <c r="P156" i="16"/>
  <c r="O156" i="16"/>
  <c r="P45" i="16"/>
  <c r="O45" i="16"/>
  <c r="P93" i="16"/>
  <c r="O93" i="16"/>
  <c r="P109" i="16"/>
  <c r="O109" i="16"/>
  <c r="P141" i="16"/>
  <c r="O141" i="16"/>
  <c r="P58" i="16"/>
  <c r="O58" i="16"/>
  <c r="P90" i="16"/>
  <c r="O90" i="16"/>
  <c r="P106" i="16"/>
  <c r="O106" i="16"/>
  <c r="P122" i="16"/>
  <c r="O122" i="16"/>
  <c r="P138" i="16"/>
  <c r="O138" i="16"/>
  <c r="P154" i="16"/>
  <c r="O154" i="16"/>
  <c r="P31" i="16"/>
  <c r="O31" i="16"/>
  <c r="P47" i="16"/>
  <c r="O47" i="16"/>
  <c r="P63" i="16"/>
  <c r="O63" i="16"/>
  <c r="P79" i="16"/>
  <c r="O79" i="16"/>
  <c r="P95" i="16"/>
  <c r="O95" i="16"/>
  <c r="P111" i="16"/>
  <c r="O111" i="16"/>
  <c r="P127" i="16"/>
  <c r="O127" i="16"/>
  <c r="P143" i="16"/>
  <c r="O143" i="16"/>
  <c r="P32" i="16"/>
  <c r="O32" i="16"/>
  <c r="P48" i="16"/>
  <c r="O48" i="16"/>
  <c r="P64" i="16"/>
  <c r="O64" i="16"/>
  <c r="P80" i="16"/>
  <c r="O80" i="16"/>
  <c r="P96" i="16"/>
  <c r="O96" i="16"/>
  <c r="P112" i="16"/>
  <c r="O112" i="16"/>
  <c r="P128" i="16"/>
  <c r="O128" i="16"/>
  <c r="P144" i="16"/>
  <c r="O144" i="16"/>
  <c r="P33" i="16"/>
  <c r="O33" i="16"/>
  <c r="P49" i="16"/>
  <c r="O49" i="16"/>
  <c r="P65" i="16"/>
  <c r="O65" i="16"/>
  <c r="P81" i="16"/>
  <c r="O81" i="16"/>
  <c r="P97" i="16"/>
  <c r="O97" i="16"/>
  <c r="P113" i="16"/>
  <c r="O113" i="16"/>
  <c r="P129" i="16"/>
  <c r="O129" i="16"/>
  <c r="P145" i="16"/>
  <c r="O145" i="16"/>
  <c r="P25" i="16"/>
  <c r="O25" i="16"/>
  <c r="P30" i="16"/>
  <c r="O30" i="16"/>
  <c r="P46" i="16"/>
  <c r="O46" i="16"/>
  <c r="P62" i="16"/>
  <c r="O62" i="16"/>
  <c r="P78" i="16"/>
  <c r="O78" i="16"/>
  <c r="P94" i="16"/>
  <c r="O94" i="16"/>
  <c r="P110" i="16"/>
  <c r="O110" i="16"/>
  <c r="P126" i="16"/>
  <c r="O126" i="16"/>
  <c r="P142" i="16"/>
  <c r="O142" i="16"/>
  <c r="P35" i="16"/>
  <c r="O35" i="16"/>
  <c r="P51" i="16"/>
  <c r="O51" i="16"/>
  <c r="P67" i="16"/>
  <c r="O67" i="16"/>
  <c r="P83" i="16"/>
  <c r="O83" i="16"/>
  <c r="P99" i="16"/>
  <c r="O99" i="16"/>
  <c r="P115" i="16"/>
  <c r="O115" i="16"/>
  <c r="P131" i="16"/>
  <c r="O131" i="16"/>
  <c r="P147" i="16"/>
  <c r="O147" i="16"/>
  <c r="P44" i="16"/>
  <c r="O44" i="16"/>
  <c r="P124" i="16"/>
  <c r="O124" i="16"/>
  <c r="P77" i="16"/>
  <c r="O77" i="16"/>
  <c r="P42" i="16"/>
  <c r="O42" i="16"/>
  <c r="P68" i="16"/>
  <c r="O68" i="16"/>
  <c r="P116" i="16"/>
  <c r="O116" i="16"/>
  <c r="P148" i="16"/>
  <c r="O148" i="16"/>
  <c r="P69" i="16"/>
  <c r="O69" i="16"/>
  <c r="P101" i="16"/>
  <c r="O101" i="16"/>
  <c r="P133" i="16"/>
  <c r="O133" i="16"/>
  <c r="P149" i="16"/>
  <c r="O149" i="16"/>
  <c r="P26" i="16"/>
  <c r="O26" i="16"/>
  <c r="P34" i="16"/>
  <c r="O34" i="16"/>
  <c r="P50" i="16"/>
  <c r="O50" i="16"/>
  <c r="P66" i="16"/>
  <c r="O66" i="16"/>
  <c r="P82" i="16"/>
  <c r="O82" i="16"/>
  <c r="P98" i="16"/>
  <c r="O98" i="16"/>
  <c r="P114" i="16"/>
  <c r="O114" i="16"/>
  <c r="P130" i="16"/>
  <c r="O130" i="16"/>
  <c r="P146" i="16"/>
  <c r="O146" i="16"/>
  <c r="P39" i="16"/>
  <c r="O39" i="16"/>
  <c r="P55" i="16"/>
  <c r="O55" i="16"/>
  <c r="P71" i="16"/>
  <c r="O71" i="16"/>
  <c r="P87" i="16"/>
  <c r="O87" i="16"/>
  <c r="P103" i="16"/>
  <c r="O103" i="16"/>
  <c r="P119" i="16"/>
  <c r="O119" i="16"/>
  <c r="P135" i="16"/>
  <c r="O135" i="16"/>
  <c r="P60" i="16"/>
  <c r="O60" i="16"/>
  <c r="P92" i="16"/>
  <c r="O92" i="16"/>
  <c r="P140" i="16"/>
  <c r="O140" i="16"/>
  <c r="P29" i="16"/>
  <c r="O29" i="16"/>
  <c r="P61" i="16"/>
  <c r="O61" i="16"/>
  <c r="P125" i="16"/>
  <c r="O125" i="16"/>
  <c r="P157" i="16"/>
  <c r="O157" i="16"/>
  <c r="P74" i="16"/>
  <c r="O74" i="16"/>
  <c r="P36" i="16"/>
  <c r="O36" i="16"/>
  <c r="P52" i="16"/>
  <c r="O52" i="16"/>
  <c r="P84" i="16"/>
  <c r="O84" i="16"/>
  <c r="P100" i="16"/>
  <c r="O100" i="16"/>
  <c r="P132" i="16"/>
  <c r="O132" i="16"/>
  <c r="P37" i="16"/>
  <c r="O37" i="16"/>
  <c r="P53" i="16"/>
  <c r="O53" i="16"/>
  <c r="P85" i="16"/>
  <c r="O85" i="16"/>
  <c r="P117" i="16"/>
  <c r="O117" i="16"/>
  <c r="P40" i="16"/>
  <c r="O40" i="16"/>
  <c r="P56" i="16"/>
  <c r="O56" i="16"/>
  <c r="P72" i="16"/>
  <c r="O72" i="16"/>
  <c r="P88" i="16"/>
  <c r="O88" i="16"/>
  <c r="P104" i="16"/>
  <c r="O104" i="16"/>
  <c r="P120" i="16"/>
  <c r="O120" i="16"/>
  <c r="P136" i="16"/>
  <c r="O136" i="16"/>
  <c r="P152" i="16"/>
  <c r="O152" i="16"/>
  <c r="P41" i="16"/>
  <c r="O41" i="16"/>
  <c r="P57" i="16"/>
  <c r="O57" i="16"/>
  <c r="P73" i="16"/>
  <c r="O73" i="16"/>
  <c r="P89" i="16"/>
  <c r="O89" i="16"/>
  <c r="P105" i="16"/>
  <c r="O105" i="16"/>
  <c r="P121" i="16"/>
  <c r="O121" i="16"/>
  <c r="P137" i="16"/>
  <c r="O137" i="16"/>
  <c r="P153" i="16"/>
  <c r="O153" i="16"/>
  <c r="P24" i="16"/>
  <c r="O24" i="16"/>
  <c r="P38" i="16"/>
  <c r="O38" i="16"/>
  <c r="P54" i="16"/>
  <c r="O54" i="16"/>
  <c r="P70" i="16"/>
  <c r="O70" i="16"/>
  <c r="P86" i="16"/>
  <c r="O86" i="16"/>
  <c r="P102" i="16"/>
  <c r="O102" i="16"/>
  <c r="P118" i="16"/>
  <c r="O118" i="16"/>
  <c r="P134" i="16"/>
  <c r="O134" i="16"/>
  <c r="P150" i="16"/>
  <c r="O150" i="16"/>
  <c r="P27" i="16"/>
  <c r="O27" i="16"/>
  <c r="P43" i="16"/>
  <c r="O43" i="16"/>
  <c r="P59" i="16"/>
  <c r="O59" i="16"/>
  <c r="P75" i="16"/>
  <c r="O75" i="16"/>
  <c r="P91" i="16"/>
  <c r="O91" i="16"/>
  <c r="P107" i="16"/>
  <c r="O107" i="16"/>
  <c r="P123" i="16"/>
  <c r="O123" i="16"/>
  <c r="P139" i="16"/>
  <c r="O139" i="16"/>
  <c r="O139" i="6"/>
  <c r="O130" i="6"/>
  <c r="B140" i="6"/>
  <c r="Z140" i="6" s="1"/>
  <c r="A141" i="6"/>
  <c r="U139" i="6"/>
  <c r="H139" i="6"/>
  <c r="W139" i="6"/>
  <c r="AM139" i="6" s="1"/>
  <c r="X139" i="6"/>
  <c r="J139" i="6"/>
  <c r="T139" i="6"/>
  <c r="K139" i="6"/>
  <c r="G139" i="6"/>
  <c r="B72" i="6"/>
  <c r="C54" i="6"/>
  <c r="A132" i="6"/>
  <c r="B131" i="6"/>
  <c r="Z131" i="6" s="1"/>
  <c r="U130" i="6"/>
  <c r="H130" i="6"/>
  <c r="W130" i="6"/>
  <c r="AM130" i="6" s="1"/>
  <c r="T130" i="6"/>
  <c r="X130" i="6"/>
  <c r="J130" i="6"/>
  <c r="G130" i="6"/>
  <c r="K130" i="6"/>
  <c r="AL139" i="6" l="1"/>
  <c r="AL130" i="6"/>
  <c r="H158" i="16"/>
  <c r="I158" i="16" s="1"/>
  <c r="K158" i="16" s="1"/>
  <c r="M158" i="16" s="1"/>
  <c r="B161" i="16"/>
  <c r="A162" i="16"/>
  <c r="L161" i="16"/>
  <c r="G159" i="16"/>
  <c r="F160" i="16"/>
  <c r="E160" i="16"/>
  <c r="D160" i="16"/>
  <c r="O131" i="6"/>
  <c r="AL131" i="6" s="1"/>
  <c r="O140" i="6"/>
  <c r="W131" i="6"/>
  <c r="AM131" i="6" s="1"/>
  <c r="U131" i="6"/>
  <c r="H131" i="6"/>
  <c r="T131" i="6"/>
  <c r="X131" i="6"/>
  <c r="J131" i="6"/>
  <c r="G131" i="6"/>
  <c r="K131" i="6"/>
  <c r="B132" i="6"/>
  <c r="Z132" i="6" s="1"/>
  <c r="A133" i="6"/>
  <c r="B133" i="6" s="1"/>
  <c r="Z133" i="6" s="1"/>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7" i="6"/>
  <c r="C189" i="6"/>
  <c r="C188" i="6"/>
  <c r="C186" i="6"/>
  <c r="C185" i="6"/>
  <c r="C184" i="6"/>
  <c r="C183" i="6"/>
  <c r="C182" i="6"/>
  <c r="C181" i="6"/>
  <c r="C180" i="6"/>
  <c r="C179" i="6"/>
  <c r="C178" i="6"/>
  <c r="C177" i="6"/>
  <c r="C174" i="6"/>
  <c r="C176" i="6"/>
  <c r="C173" i="6"/>
  <c r="C172" i="6"/>
  <c r="C171" i="6"/>
  <c r="C170" i="6"/>
  <c r="C169" i="6"/>
  <c r="C168" i="6"/>
  <c r="C167" i="6"/>
  <c r="C166" i="6"/>
  <c r="C165" i="6"/>
  <c r="C164" i="6"/>
  <c r="C163" i="6"/>
  <c r="C162" i="6"/>
  <c r="C161" i="6"/>
  <c r="C160" i="6"/>
  <c r="C159" i="6"/>
  <c r="C158" i="6"/>
  <c r="C157" i="6"/>
  <c r="C175" i="6"/>
  <c r="C155" i="6"/>
  <c r="C151" i="6"/>
  <c r="C150" i="6"/>
  <c r="C149" i="6"/>
  <c r="C148" i="6"/>
  <c r="C147" i="6"/>
  <c r="C146" i="6"/>
  <c r="C145" i="6"/>
  <c r="C144" i="6"/>
  <c r="C143" i="6"/>
  <c r="C142" i="6"/>
  <c r="C141" i="6"/>
  <c r="C140" i="6"/>
  <c r="C139" i="6"/>
  <c r="C138" i="6"/>
  <c r="C137" i="6"/>
  <c r="C136" i="6"/>
  <c r="C154" i="6"/>
  <c r="C153" i="6"/>
  <c r="C133" i="6"/>
  <c r="C156" i="6"/>
  <c r="C152" i="6"/>
  <c r="C135" i="6"/>
  <c r="C134" i="6"/>
  <c r="C132" i="6"/>
  <c r="C131" i="6"/>
  <c r="C130" i="6"/>
  <c r="C129" i="6"/>
  <c r="C128" i="6"/>
  <c r="C111" i="6"/>
  <c r="C112" i="6"/>
  <c r="C110" i="6"/>
  <c r="C107" i="6"/>
  <c r="C103" i="6"/>
  <c r="C99" i="6"/>
  <c r="C95" i="6"/>
  <c r="C127" i="6"/>
  <c r="C125" i="6"/>
  <c r="C123" i="6"/>
  <c r="C121" i="6"/>
  <c r="C119" i="6"/>
  <c r="C117" i="6"/>
  <c r="C115" i="6"/>
  <c r="C108" i="6"/>
  <c r="C104" i="6"/>
  <c r="C100" i="6"/>
  <c r="C96" i="6"/>
  <c r="C113" i="6"/>
  <c r="C105" i="6"/>
  <c r="C101" i="6"/>
  <c r="C97" i="6"/>
  <c r="C126" i="6"/>
  <c r="C124" i="6"/>
  <c r="C122" i="6"/>
  <c r="C120" i="6"/>
  <c r="C118" i="6"/>
  <c r="C116" i="6"/>
  <c r="C114" i="6"/>
  <c r="C109" i="6"/>
  <c r="C106" i="6"/>
  <c r="C102" i="6"/>
  <c r="C98" i="6"/>
  <c r="B141" i="6"/>
  <c r="Z141" i="6" s="1"/>
  <c r="A142" i="6"/>
  <c r="J140" i="6"/>
  <c r="U140" i="6"/>
  <c r="H140" i="6"/>
  <c r="G140" i="6"/>
  <c r="X140" i="6"/>
  <c r="W140" i="6"/>
  <c r="AM140" i="6" s="1"/>
  <c r="T140" i="6"/>
  <c r="K140" i="6"/>
  <c r="N158" i="16" l="1"/>
  <c r="O158" i="16" s="1"/>
  <c r="P158" i="16"/>
  <c r="AL140" i="6"/>
  <c r="G160" i="16"/>
  <c r="H159" i="16"/>
  <c r="I159" i="16" s="1"/>
  <c r="K159" i="16" s="1"/>
  <c r="M159" i="16" s="1"/>
  <c r="F161" i="16"/>
  <c r="E161" i="16"/>
  <c r="D161" i="16"/>
  <c r="B162" i="16"/>
  <c r="L162" i="16"/>
  <c r="A163" i="16"/>
  <c r="O133" i="6"/>
  <c r="O132" i="6"/>
  <c r="O141" i="6"/>
  <c r="H132" i="6"/>
  <c r="U132" i="6"/>
  <c r="X132" i="6"/>
  <c r="W132" i="6"/>
  <c r="AM132" i="6" s="1"/>
  <c r="K132" i="6"/>
  <c r="J132" i="6"/>
  <c r="T132" i="6"/>
  <c r="G132" i="6"/>
  <c r="B142" i="6"/>
  <c r="Z142" i="6" s="1"/>
  <c r="A143" i="6"/>
  <c r="U141" i="6"/>
  <c r="H141" i="6"/>
  <c r="X141" i="6"/>
  <c r="W141" i="6"/>
  <c r="AM141" i="6" s="1"/>
  <c r="T141" i="6"/>
  <c r="K141" i="6"/>
  <c r="J141" i="6"/>
  <c r="G141" i="6"/>
  <c r="U133" i="6"/>
  <c r="W133" i="6"/>
  <c r="AM133" i="6" s="1"/>
  <c r="H133" i="6"/>
  <c r="J133" i="6"/>
  <c r="K133" i="6"/>
  <c r="T133" i="6"/>
  <c r="G133" i="6"/>
  <c r="X133" i="6"/>
  <c r="N159" i="16" l="1"/>
  <c r="O159" i="16" s="1"/>
  <c r="P159" i="16"/>
  <c r="AL132" i="6"/>
  <c r="AL133" i="6"/>
  <c r="AL141" i="6"/>
  <c r="B163" i="16"/>
  <c r="A164" i="16"/>
  <c r="L163" i="16"/>
  <c r="F162" i="16"/>
  <c r="E162" i="16"/>
  <c r="D162" i="16"/>
  <c r="G161" i="16"/>
  <c r="H160" i="16"/>
  <c r="I160" i="16" s="1"/>
  <c r="K160" i="16" s="1"/>
  <c r="M160" i="16" s="1"/>
  <c r="O142" i="6"/>
  <c r="AL142" i="6" s="1"/>
  <c r="B143" i="6"/>
  <c r="Z143" i="6" s="1"/>
  <c r="A144" i="6"/>
  <c r="J142" i="6"/>
  <c r="U142" i="6"/>
  <c r="H142" i="6"/>
  <c r="W142" i="6"/>
  <c r="AM142" i="6" s="1"/>
  <c r="G142" i="6"/>
  <c r="X142" i="6"/>
  <c r="T142" i="6"/>
  <c r="K142" i="6"/>
  <c r="N160" i="16" l="1"/>
  <c r="O160" i="16" s="1"/>
  <c r="P160" i="16"/>
  <c r="B164" i="16"/>
  <c r="A165" i="16"/>
  <c r="L164" i="16"/>
  <c r="H161" i="16"/>
  <c r="I161" i="16" s="1"/>
  <c r="K161" i="16" s="1"/>
  <c r="M161" i="16" s="1"/>
  <c r="G162" i="16"/>
  <c r="F163" i="16"/>
  <c r="E163" i="16"/>
  <c r="D163" i="16"/>
  <c r="O143" i="6"/>
  <c r="U143" i="6"/>
  <c r="H143" i="6"/>
  <c r="X143" i="6"/>
  <c r="T143" i="6"/>
  <c r="K143" i="6"/>
  <c r="W143" i="6"/>
  <c r="AM143" i="6" s="1"/>
  <c r="G143" i="6"/>
  <c r="J143" i="6"/>
  <c r="B144" i="6"/>
  <c r="Z144" i="6" s="1"/>
  <c r="A145" i="6"/>
  <c r="N161" i="16" l="1"/>
  <c r="O161" i="16" s="1"/>
  <c r="P161" i="16"/>
  <c r="AL143" i="6"/>
  <c r="G163" i="16"/>
  <c r="H163" i="16" s="1"/>
  <c r="I163" i="16" s="1"/>
  <c r="K163" i="16" s="1"/>
  <c r="M163" i="16" s="1"/>
  <c r="N163" i="16" s="1"/>
  <c r="O163" i="16" s="1"/>
  <c r="F164" i="16"/>
  <c r="E164" i="16"/>
  <c r="D164" i="16"/>
  <c r="H162" i="16"/>
  <c r="I162" i="16" s="1"/>
  <c r="K162" i="16" s="1"/>
  <c r="M162" i="16" s="1"/>
  <c r="B165" i="16"/>
  <c r="A166" i="16"/>
  <c r="L165" i="16"/>
  <c r="O144" i="6"/>
  <c r="J144" i="6"/>
  <c r="U144" i="6"/>
  <c r="H144" i="6"/>
  <c r="G144" i="6"/>
  <c r="W144" i="6"/>
  <c r="AM144" i="6" s="1"/>
  <c r="X144" i="6"/>
  <c r="T144" i="6"/>
  <c r="K144" i="6"/>
  <c r="B145" i="6"/>
  <c r="Z145" i="6" s="1"/>
  <c r="A146" i="6"/>
  <c r="P163" i="16" l="1"/>
  <c r="N162" i="16"/>
  <c r="O162" i="16" s="1"/>
  <c r="P162" i="16"/>
  <c r="AL144" i="6"/>
  <c r="G164" i="16"/>
  <c r="H164" i="16" s="1"/>
  <c r="I164" i="16" s="1"/>
  <c r="K164" i="16" s="1"/>
  <c r="M164" i="16" s="1"/>
  <c r="N164" i="16" s="1"/>
  <c r="O164" i="16" s="1"/>
  <c r="B166" i="16"/>
  <c r="L166" i="16"/>
  <c r="A167" i="16"/>
  <c r="F165" i="16"/>
  <c r="E165" i="16"/>
  <c r="D165" i="16"/>
  <c r="O145" i="6"/>
  <c r="B146" i="6"/>
  <c r="Z146" i="6" s="1"/>
  <c r="A147" i="6"/>
  <c r="U145" i="6"/>
  <c r="H145" i="6"/>
  <c r="J145" i="6"/>
  <c r="X145" i="6"/>
  <c r="T145" i="6"/>
  <c r="K145" i="6"/>
  <c r="G145" i="6"/>
  <c r="W145" i="6"/>
  <c r="AM145" i="6" s="1"/>
  <c r="P164" i="16" l="1"/>
  <c r="AL145" i="6"/>
  <c r="B167" i="16"/>
  <c r="A168" i="16"/>
  <c r="L167" i="16"/>
  <c r="G165" i="16"/>
  <c r="F166" i="16"/>
  <c r="E166" i="16"/>
  <c r="D166" i="16"/>
  <c r="O146" i="6"/>
  <c r="AL146" i="6" s="1"/>
  <c r="B147" i="6"/>
  <c r="Z147" i="6" s="1"/>
  <c r="A148" i="6"/>
  <c r="J146" i="6"/>
  <c r="U146" i="6"/>
  <c r="H146" i="6"/>
  <c r="G146" i="6"/>
  <c r="W146" i="6"/>
  <c r="AM146" i="6" s="1"/>
  <c r="X146" i="6"/>
  <c r="T146" i="6"/>
  <c r="K146" i="6"/>
  <c r="H165" i="16" l="1"/>
  <c r="I165" i="16" s="1"/>
  <c r="K165" i="16" s="1"/>
  <c r="M165" i="16" s="1"/>
  <c r="B168" i="16"/>
  <c r="A169" i="16"/>
  <c r="L168" i="16"/>
  <c r="G166" i="16"/>
  <c r="F167" i="16"/>
  <c r="E167" i="16"/>
  <c r="D167" i="16"/>
  <c r="O147" i="6"/>
  <c r="B148" i="6"/>
  <c r="Z148" i="6" s="1"/>
  <c r="A149" i="6"/>
  <c r="U147" i="6"/>
  <c r="H147" i="6"/>
  <c r="W147" i="6"/>
  <c r="AM147" i="6" s="1"/>
  <c r="X147" i="6"/>
  <c r="J147" i="6"/>
  <c r="T147" i="6"/>
  <c r="K147" i="6"/>
  <c r="G147" i="6"/>
  <c r="N165" i="16" l="1"/>
  <c r="O165" i="16" s="1"/>
  <c r="P165" i="16"/>
  <c r="AL147" i="6"/>
  <c r="G167" i="16"/>
  <c r="B169" i="16"/>
  <c r="A170" i="16"/>
  <c r="L169" i="16"/>
  <c r="H166" i="16"/>
  <c r="I166" i="16" s="1"/>
  <c r="K166" i="16" s="1"/>
  <c r="M166" i="16" s="1"/>
  <c r="F168" i="16"/>
  <c r="E168" i="16"/>
  <c r="D168" i="16"/>
  <c r="O148" i="6"/>
  <c r="B149" i="6"/>
  <c r="Z149" i="6" s="1"/>
  <c r="A150" i="6"/>
  <c r="J148" i="6"/>
  <c r="U148" i="6"/>
  <c r="H148" i="6"/>
  <c r="G148" i="6"/>
  <c r="X148" i="6"/>
  <c r="W148" i="6"/>
  <c r="AM148" i="6" s="1"/>
  <c r="T148" i="6"/>
  <c r="K148" i="6"/>
  <c r="N166" i="16" l="1"/>
  <c r="O166" i="16" s="1"/>
  <c r="P166" i="16"/>
  <c r="AL148" i="6"/>
  <c r="G168" i="16"/>
  <c r="F169" i="16"/>
  <c r="E169" i="16"/>
  <c r="D169" i="16"/>
  <c r="B170" i="16"/>
  <c r="L170" i="16"/>
  <c r="A171" i="16"/>
  <c r="H167" i="16"/>
  <c r="I167" i="16" s="1"/>
  <c r="K167" i="16" s="1"/>
  <c r="M167" i="16" s="1"/>
  <c r="N167" i="16" s="1"/>
  <c r="O149" i="6"/>
  <c r="B150" i="6"/>
  <c r="Z150" i="6" s="1"/>
  <c r="A151" i="6"/>
  <c r="U149" i="6"/>
  <c r="H149" i="6"/>
  <c r="X149" i="6"/>
  <c r="W149" i="6"/>
  <c r="AM149" i="6" s="1"/>
  <c r="T149" i="6"/>
  <c r="K149" i="6"/>
  <c r="J149" i="6"/>
  <c r="G149" i="6"/>
  <c r="AL149" i="6" l="1"/>
  <c r="P167" i="16"/>
  <c r="O167" i="16"/>
  <c r="B171" i="16"/>
  <c r="A172" i="16"/>
  <c r="L171" i="16"/>
  <c r="G169" i="16"/>
  <c r="E170" i="16"/>
  <c r="F170" i="16"/>
  <c r="D170" i="16"/>
  <c r="H168" i="16"/>
  <c r="I168" i="16" s="1"/>
  <c r="K168" i="16" s="1"/>
  <c r="M168" i="16" s="1"/>
  <c r="N168" i="16" s="1"/>
  <c r="O150" i="6"/>
  <c r="A152" i="6"/>
  <c r="B151" i="6"/>
  <c r="Z151" i="6" s="1"/>
  <c r="J150" i="6"/>
  <c r="U150" i="6"/>
  <c r="H150" i="6"/>
  <c r="W150" i="6"/>
  <c r="AM150" i="6" s="1"/>
  <c r="G150" i="6"/>
  <c r="X150" i="6"/>
  <c r="T150" i="6"/>
  <c r="K150" i="6"/>
  <c r="AL150" i="6" l="1"/>
  <c r="O168" i="16"/>
  <c r="P168" i="16"/>
  <c r="G170" i="16"/>
  <c r="H170" i="16" s="1"/>
  <c r="H169" i="16"/>
  <c r="I169" i="16" s="1"/>
  <c r="K169" i="16" s="1"/>
  <c r="M169" i="16" s="1"/>
  <c r="N169" i="16" s="1"/>
  <c r="B172" i="16"/>
  <c r="L172" i="16"/>
  <c r="A173" i="16"/>
  <c r="E171" i="16"/>
  <c r="F171" i="16"/>
  <c r="D171" i="16"/>
  <c r="O151" i="6"/>
  <c r="H151" i="6"/>
  <c r="U151" i="6"/>
  <c r="T151" i="6"/>
  <c r="K151" i="6"/>
  <c r="W151" i="6"/>
  <c r="AM151" i="6" s="1"/>
  <c r="J151" i="6"/>
  <c r="G151" i="6"/>
  <c r="X151" i="6"/>
  <c r="A153" i="6"/>
  <c r="B152" i="6"/>
  <c r="Z152" i="6" s="1"/>
  <c r="AL151" i="6" l="1"/>
  <c r="O169" i="16"/>
  <c r="P169" i="16"/>
  <c r="I170" i="16"/>
  <c r="K170" i="16" s="1"/>
  <c r="M170" i="16" s="1"/>
  <c r="N170" i="16" s="1"/>
  <c r="G171" i="16"/>
  <c r="B173" i="16"/>
  <c r="L173" i="16"/>
  <c r="A174" i="16"/>
  <c r="F172" i="16"/>
  <c r="E172" i="16"/>
  <c r="D172" i="16"/>
  <c r="O152" i="6"/>
  <c r="A154" i="6"/>
  <c r="B153" i="6"/>
  <c r="Z153" i="6" s="1"/>
  <c r="H152" i="6"/>
  <c r="U152" i="6"/>
  <c r="G152" i="6"/>
  <c r="T152" i="6"/>
  <c r="X152" i="6"/>
  <c r="J152" i="6"/>
  <c r="K152" i="6"/>
  <c r="W152" i="6"/>
  <c r="AM152" i="6" s="1"/>
  <c r="AL152" i="6" l="1"/>
  <c r="O170" i="16"/>
  <c r="P170" i="16"/>
  <c r="E173" i="16"/>
  <c r="F173" i="16"/>
  <c r="D173" i="16"/>
  <c r="G172" i="16"/>
  <c r="B174" i="16"/>
  <c r="A175" i="16"/>
  <c r="L174" i="16"/>
  <c r="H171" i="16"/>
  <c r="I171" i="16" s="1"/>
  <c r="K171" i="16" s="1"/>
  <c r="M171" i="16" s="1"/>
  <c r="N171" i="16" s="1"/>
  <c r="O153" i="6"/>
  <c r="H153" i="6"/>
  <c r="U153" i="6"/>
  <c r="W153" i="6"/>
  <c r="AM153" i="6" s="1"/>
  <c r="G153" i="6"/>
  <c r="K153" i="6"/>
  <c r="T153" i="6"/>
  <c r="J153" i="6"/>
  <c r="X153" i="6"/>
  <c r="A155" i="6"/>
  <c r="B154" i="6"/>
  <c r="Z154" i="6" s="1"/>
  <c r="AL153" i="6" l="1"/>
  <c r="O171" i="16"/>
  <c r="P171" i="16"/>
  <c r="G173" i="16"/>
  <c r="H173" i="16" s="1"/>
  <c r="I173" i="16" s="1"/>
  <c r="K173" i="16" s="1"/>
  <c r="M173" i="16" s="1"/>
  <c r="F174" i="16"/>
  <c r="E174" i="16"/>
  <c r="D174" i="16"/>
  <c r="H172" i="16"/>
  <c r="I172" i="16" s="1"/>
  <c r="K172" i="16" s="1"/>
  <c r="M172" i="16" s="1"/>
  <c r="N172" i="16" s="1"/>
  <c r="B175" i="16"/>
  <c r="A176" i="16"/>
  <c r="L175" i="16"/>
  <c r="O154" i="6"/>
  <c r="U154" i="6"/>
  <c r="H154" i="6"/>
  <c r="G154" i="6"/>
  <c r="X154" i="6"/>
  <c r="K154" i="6"/>
  <c r="W154" i="6"/>
  <c r="AM154" i="6" s="1"/>
  <c r="T154" i="6"/>
  <c r="J154" i="6"/>
  <c r="A156" i="6"/>
  <c r="B155" i="6"/>
  <c r="Z155" i="6" s="1"/>
  <c r="AL154" i="6" l="1"/>
  <c r="N173" i="16"/>
  <c r="O173" i="16" s="1"/>
  <c r="P173" i="16"/>
  <c r="O172" i="16"/>
  <c r="P172" i="16"/>
  <c r="G174" i="16"/>
  <c r="H174" i="16" s="1"/>
  <c r="F175" i="16"/>
  <c r="E175" i="16"/>
  <c r="D175" i="16"/>
  <c r="B176" i="16"/>
  <c r="A177" i="16"/>
  <c r="L176" i="16"/>
  <c r="O155" i="6"/>
  <c r="W155" i="6"/>
  <c r="AM155" i="6" s="1"/>
  <c r="H155" i="6"/>
  <c r="U155" i="6"/>
  <c r="T155" i="6"/>
  <c r="K155" i="6"/>
  <c r="J155" i="6"/>
  <c r="G155" i="6"/>
  <c r="X155" i="6"/>
  <c r="A157" i="6"/>
  <c r="B156" i="6"/>
  <c r="Z156" i="6" s="1"/>
  <c r="AL155" i="6" l="1"/>
  <c r="I174" i="16"/>
  <c r="K174" i="16" s="1"/>
  <c r="M174" i="16" s="1"/>
  <c r="B177" i="16"/>
  <c r="A178" i="16"/>
  <c r="L177" i="16"/>
  <c r="F176" i="16"/>
  <c r="E176" i="16"/>
  <c r="D176" i="16"/>
  <c r="G175" i="16"/>
  <c r="O156" i="6"/>
  <c r="U156" i="6"/>
  <c r="W156" i="6"/>
  <c r="AM156" i="6" s="1"/>
  <c r="H156" i="6"/>
  <c r="T156" i="6"/>
  <c r="K156" i="6"/>
  <c r="J156" i="6"/>
  <c r="X156" i="6"/>
  <c r="G156" i="6"/>
  <c r="A158" i="6"/>
  <c r="B157" i="6"/>
  <c r="Z157" i="6" s="1"/>
  <c r="AL156" i="6" l="1"/>
  <c r="N174" i="16"/>
  <c r="O174" i="16" s="1"/>
  <c r="P174" i="16"/>
  <c r="F177" i="16"/>
  <c r="E177" i="16"/>
  <c r="D177" i="16"/>
  <c r="H175" i="16"/>
  <c r="I175" i="16" s="1"/>
  <c r="K175" i="16" s="1"/>
  <c r="M175" i="16" s="1"/>
  <c r="N175" i="16" s="1"/>
  <c r="B178" i="16"/>
  <c r="A179" i="16"/>
  <c r="L178" i="16"/>
  <c r="G176" i="16"/>
  <c r="O157" i="6"/>
  <c r="AL157" i="6" s="1"/>
  <c r="U157" i="6"/>
  <c r="H157" i="6"/>
  <c r="W157" i="6"/>
  <c r="AM157" i="6" s="1"/>
  <c r="X157" i="6"/>
  <c r="J157" i="6"/>
  <c r="K157" i="6"/>
  <c r="T157" i="6"/>
  <c r="G157" i="6"/>
  <c r="A159" i="6"/>
  <c r="B158" i="6"/>
  <c r="Z158" i="6" s="1"/>
  <c r="P175" i="16" l="1"/>
  <c r="O175" i="16"/>
  <c r="H176" i="16"/>
  <c r="I176" i="16" s="1"/>
  <c r="K176" i="16" s="1"/>
  <c r="M176" i="16" s="1"/>
  <c r="N176" i="16" s="1"/>
  <c r="F178" i="16"/>
  <c r="E178" i="16"/>
  <c r="D178" i="16"/>
  <c r="G177" i="16"/>
  <c r="B179" i="16"/>
  <c r="A180" i="16"/>
  <c r="L179" i="16"/>
  <c r="O158" i="6"/>
  <c r="AL158" i="6" s="1"/>
  <c r="U158" i="6"/>
  <c r="W158" i="6"/>
  <c r="AM158" i="6" s="1"/>
  <c r="H158" i="6"/>
  <c r="T158" i="6"/>
  <c r="G158" i="6"/>
  <c r="X158" i="6"/>
  <c r="J158" i="6"/>
  <c r="K158" i="6"/>
  <c r="A160" i="6"/>
  <c r="B159" i="6"/>
  <c r="Z159" i="6" s="1"/>
  <c r="O176" i="16" l="1"/>
  <c r="P176" i="16"/>
  <c r="G178" i="16"/>
  <c r="H178" i="16" s="1"/>
  <c r="I178" i="16" s="1"/>
  <c r="K178" i="16" s="1"/>
  <c r="M178" i="16" s="1"/>
  <c r="H177" i="16"/>
  <c r="I177" i="16" s="1"/>
  <c r="K177" i="16" s="1"/>
  <c r="M177" i="16" s="1"/>
  <c r="N177" i="16" s="1"/>
  <c r="B180" i="16"/>
  <c r="A181" i="16"/>
  <c r="L180" i="16"/>
  <c r="E179" i="16"/>
  <c r="F179" i="16"/>
  <c r="D179" i="16"/>
  <c r="O159" i="6"/>
  <c r="W159" i="6"/>
  <c r="AM159" i="6" s="1"/>
  <c r="U159" i="6"/>
  <c r="H159" i="6"/>
  <c r="J159" i="6"/>
  <c r="X159" i="6"/>
  <c r="K159" i="6"/>
  <c r="T159" i="6"/>
  <c r="G159" i="6"/>
  <c r="A161" i="6"/>
  <c r="B160" i="6"/>
  <c r="Z160" i="6" s="1"/>
  <c r="AL159" i="6" l="1"/>
  <c r="N178" i="16"/>
  <c r="O178" i="16" s="1"/>
  <c r="P178" i="16"/>
  <c r="P177" i="16"/>
  <c r="O177" i="16"/>
  <c r="G179" i="16"/>
  <c r="H179" i="16" s="1"/>
  <c r="I179" i="16" s="1"/>
  <c r="K179" i="16" s="1"/>
  <c r="M179" i="16" s="1"/>
  <c r="F180" i="16"/>
  <c r="E180" i="16"/>
  <c r="D180" i="16"/>
  <c r="B181" i="16"/>
  <c r="A182" i="16"/>
  <c r="L181" i="16"/>
  <c r="O160" i="6"/>
  <c r="A162" i="6"/>
  <c r="B161" i="6"/>
  <c r="Z161" i="6" s="1"/>
  <c r="U160" i="6"/>
  <c r="H160" i="6"/>
  <c r="T160" i="6"/>
  <c r="W160" i="6"/>
  <c r="AM160" i="6" s="1"/>
  <c r="G160" i="6"/>
  <c r="J160" i="6"/>
  <c r="X160" i="6"/>
  <c r="K160" i="6"/>
  <c r="AL160" i="6" l="1"/>
  <c r="N179" i="16"/>
  <c r="O179" i="16" s="1"/>
  <c r="P179" i="16"/>
  <c r="F181" i="16"/>
  <c r="E181" i="16"/>
  <c r="D181" i="16"/>
  <c r="B182" i="16"/>
  <c r="A183" i="16"/>
  <c r="L182" i="16"/>
  <c r="G180" i="16"/>
  <c r="O161" i="6"/>
  <c r="W161" i="6"/>
  <c r="AM161" i="6" s="1"/>
  <c r="U161" i="6"/>
  <c r="H161" i="6"/>
  <c r="J161" i="6"/>
  <c r="X161" i="6"/>
  <c r="K161" i="6"/>
  <c r="T161" i="6"/>
  <c r="G161" i="6"/>
  <c r="A163" i="6"/>
  <c r="B162" i="6"/>
  <c r="Z162" i="6" s="1"/>
  <c r="AL161" i="6" l="1"/>
  <c r="H180" i="16"/>
  <c r="I180" i="16" s="1"/>
  <c r="K180" i="16" s="1"/>
  <c r="M180" i="16" s="1"/>
  <c r="N180" i="16" s="1"/>
  <c r="F182" i="16"/>
  <c r="E182" i="16"/>
  <c r="D182" i="16"/>
  <c r="B183" i="16"/>
  <c r="L183" i="16"/>
  <c r="A184" i="16"/>
  <c r="G181" i="16"/>
  <c r="O162" i="6"/>
  <c r="AL162" i="6" s="1"/>
  <c r="U162" i="6"/>
  <c r="H162" i="6"/>
  <c r="T162" i="6"/>
  <c r="G162" i="6"/>
  <c r="W162" i="6"/>
  <c r="AM162" i="6" s="1"/>
  <c r="X162" i="6"/>
  <c r="J162" i="6"/>
  <c r="K162" i="6"/>
  <c r="A164" i="6"/>
  <c r="B163" i="6"/>
  <c r="Z163" i="6" s="1"/>
  <c r="O180" i="16" l="1"/>
  <c r="P180" i="16"/>
  <c r="G182" i="16"/>
  <c r="H182" i="16" s="1"/>
  <c r="I182" i="16" s="1"/>
  <c r="K182" i="16" s="1"/>
  <c r="M182" i="16" s="1"/>
  <c r="H181" i="16"/>
  <c r="I181" i="16" s="1"/>
  <c r="K181" i="16" s="1"/>
  <c r="M181" i="16" s="1"/>
  <c r="N181" i="16" s="1"/>
  <c r="F183" i="16"/>
  <c r="E183" i="16"/>
  <c r="D183" i="16"/>
  <c r="B184" i="16"/>
  <c r="A185" i="16"/>
  <c r="L184" i="16"/>
  <c r="O163" i="6"/>
  <c r="A165" i="6"/>
  <c r="B164" i="6"/>
  <c r="Z164" i="6" s="1"/>
  <c r="W163" i="6"/>
  <c r="AM163" i="6" s="1"/>
  <c r="U163" i="6"/>
  <c r="H163" i="6"/>
  <c r="X163" i="6"/>
  <c r="J163" i="6"/>
  <c r="K163" i="6"/>
  <c r="T163" i="6"/>
  <c r="G163" i="6"/>
  <c r="AL163" i="6" l="1"/>
  <c r="N182" i="16"/>
  <c r="O182" i="16" s="1"/>
  <c r="O181" i="16"/>
  <c r="P181" i="16"/>
  <c r="G183" i="16"/>
  <c r="F184" i="16"/>
  <c r="E184" i="16"/>
  <c r="D184" i="16"/>
  <c r="B185" i="16"/>
  <c r="L185" i="16"/>
  <c r="A186" i="16"/>
  <c r="O164" i="6"/>
  <c r="AL164" i="6" s="1"/>
  <c r="U164" i="6"/>
  <c r="H164" i="6"/>
  <c r="J164" i="6"/>
  <c r="T164" i="6"/>
  <c r="G164" i="6"/>
  <c r="X164" i="6"/>
  <c r="W164" i="6"/>
  <c r="AM164" i="6" s="1"/>
  <c r="K164" i="6"/>
  <c r="A166" i="6"/>
  <c r="B165" i="6"/>
  <c r="Z165" i="6" s="1"/>
  <c r="P182" i="16" l="1"/>
  <c r="G184" i="16"/>
  <c r="H184" i="16" s="1"/>
  <c r="I184" i="16" s="1"/>
  <c r="K184" i="16" s="1"/>
  <c r="M184" i="16" s="1"/>
  <c r="H183" i="16"/>
  <c r="I183" i="16" s="1"/>
  <c r="K183" i="16" s="1"/>
  <c r="M183" i="16" s="1"/>
  <c r="N183" i="16" s="1"/>
  <c r="F185" i="16"/>
  <c r="E185" i="16"/>
  <c r="D185" i="16"/>
  <c r="B186" i="16"/>
  <c r="A187" i="16"/>
  <c r="L186" i="16"/>
  <c r="O165" i="6"/>
  <c r="A167" i="6"/>
  <c r="B166" i="6"/>
  <c r="Z166" i="6" s="1"/>
  <c r="W165" i="6"/>
  <c r="AM165" i="6" s="1"/>
  <c r="U165" i="6"/>
  <c r="H165" i="6"/>
  <c r="X165" i="6"/>
  <c r="K165" i="6"/>
  <c r="J165" i="6"/>
  <c r="T165" i="6"/>
  <c r="G165" i="6"/>
  <c r="AL165" i="6" l="1"/>
  <c r="N184" i="16"/>
  <c r="O184" i="16" s="1"/>
  <c r="P184" i="16" s="1"/>
  <c r="O183" i="16"/>
  <c r="P183" i="16"/>
  <c r="F186" i="16"/>
  <c r="E186" i="16"/>
  <c r="D186" i="16"/>
  <c r="B187" i="16"/>
  <c r="A188" i="16"/>
  <c r="L187" i="16"/>
  <c r="G185" i="16"/>
  <c r="O166" i="6"/>
  <c r="U166" i="6"/>
  <c r="H166" i="6"/>
  <c r="W166" i="6"/>
  <c r="AM166" i="6" s="1"/>
  <c r="T166" i="6"/>
  <c r="J166" i="6"/>
  <c r="G166" i="6"/>
  <c r="X166" i="6"/>
  <c r="K166" i="6"/>
  <c r="A168" i="6"/>
  <c r="B167" i="6"/>
  <c r="Z167" i="6" s="1"/>
  <c r="AL166" i="6" l="1"/>
  <c r="G186" i="16"/>
  <c r="H186" i="16" s="1"/>
  <c r="I186" i="16" s="1"/>
  <c r="K186" i="16" s="1"/>
  <c r="M186" i="16" s="1"/>
  <c r="N186" i="16" s="1"/>
  <c r="B188" i="16"/>
  <c r="L188" i="16"/>
  <c r="A189" i="16"/>
  <c r="H185" i="16"/>
  <c r="I185" i="16" s="1"/>
  <c r="K185" i="16" s="1"/>
  <c r="M185" i="16" s="1"/>
  <c r="E187" i="16"/>
  <c r="F187" i="16"/>
  <c r="D187" i="16"/>
  <c r="O167" i="6"/>
  <c r="W167" i="6"/>
  <c r="AM167" i="6" s="1"/>
  <c r="U167" i="6"/>
  <c r="H167" i="6"/>
  <c r="X167" i="6"/>
  <c r="K167" i="6"/>
  <c r="T167" i="6"/>
  <c r="J167" i="6"/>
  <c r="G167" i="6"/>
  <c r="A169" i="6"/>
  <c r="B168" i="6"/>
  <c r="Z168" i="6" s="1"/>
  <c r="AL167" i="6" l="1"/>
  <c r="N185" i="16"/>
  <c r="O185" i="16" s="1"/>
  <c r="P185" i="16" s="1"/>
  <c r="O186" i="16"/>
  <c r="P186" i="16"/>
  <c r="B189" i="16"/>
  <c r="L189" i="16"/>
  <c r="A190" i="16"/>
  <c r="G187" i="16"/>
  <c r="F188" i="16"/>
  <c r="E188" i="16"/>
  <c r="D188" i="16"/>
  <c r="O168" i="6"/>
  <c r="A170" i="6"/>
  <c r="B169" i="6"/>
  <c r="Z169" i="6" s="1"/>
  <c r="U168" i="6"/>
  <c r="H168" i="6"/>
  <c r="T168" i="6"/>
  <c r="W168" i="6"/>
  <c r="AM168" i="6" s="1"/>
  <c r="G168" i="6"/>
  <c r="J168" i="6"/>
  <c r="X168" i="6"/>
  <c r="K168" i="6"/>
  <c r="AL168" i="6" l="1"/>
  <c r="G188" i="16"/>
  <c r="H188" i="16" s="1"/>
  <c r="I188" i="16" s="1"/>
  <c r="K188" i="16" s="1"/>
  <c r="M188" i="16" s="1"/>
  <c r="B190" i="16"/>
  <c r="L190" i="16"/>
  <c r="A191" i="16"/>
  <c r="H187" i="16"/>
  <c r="I187" i="16" s="1"/>
  <c r="K187" i="16" s="1"/>
  <c r="M187" i="16" s="1"/>
  <c r="E189" i="16"/>
  <c r="F189" i="16"/>
  <c r="D189" i="16"/>
  <c r="O169" i="6"/>
  <c r="W169" i="6"/>
  <c r="AM169" i="6" s="1"/>
  <c r="U169" i="6"/>
  <c r="H169" i="6"/>
  <c r="J169" i="6"/>
  <c r="X169" i="6"/>
  <c r="K169" i="6"/>
  <c r="T169" i="6"/>
  <c r="G169" i="6"/>
  <c r="A171" i="6"/>
  <c r="B170" i="6"/>
  <c r="Z170" i="6" s="1"/>
  <c r="AL169" i="6" l="1"/>
  <c r="N187" i="16"/>
  <c r="O187" i="16" s="1"/>
  <c r="P187" i="16" s="1"/>
  <c r="N188" i="16"/>
  <c r="O188" i="16" s="1"/>
  <c r="P188" i="16" s="1"/>
  <c r="F190" i="16"/>
  <c r="E190" i="16"/>
  <c r="D190" i="16"/>
  <c r="B191" i="16"/>
  <c r="A192" i="16"/>
  <c r="L191" i="16"/>
  <c r="G189" i="16"/>
  <c r="O170" i="6"/>
  <c r="A172" i="6"/>
  <c r="B171" i="6"/>
  <c r="Z171" i="6" s="1"/>
  <c r="U170" i="6"/>
  <c r="H170" i="6"/>
  <c r="T170" i="6"/>
  <c r="G170" i="6"/>
  <c r="W170" i="6"/>
  <c r="AM170" i="6" s="1"/>
  <c r="X170" i="6"/>
  <c r="J170" i="6"/>
  <c r="K170" i="6"/>
  <c r="AL170" i="6" l="1"/>
  <c r="H189" i="16"/>
  <c r="I189" i="16" s="1"/>
  <c r="K189" i="16" s="1"/>
  <c r="M189" i="16" s="1"/>
  <c r="F191" i="16"/>
  <c r="E191" i="16"/>
  <c r="D191" i="16"/>
  <c r="G190" i="16"/>
  <c r="B192" i="16"/>
  <c r="A193" i="16"/>
  <c r="L192" i="16"/>
  <c r="O171" i="6"/>
  <c r="W171" i="6"/>
  <c r="AM171" i="6" s="1"/>
  <c r="U171" i="6"/>
  <c r="H171" i="6"/>
  <c r="X171" i="6"/>
  <c r="J171" i="6"/>
  <c r="K171" i="6"/>
  <c r="T171" i="6"/>
  <c r="G171" i="6"/>
  <c r="A173" i="6"/>
  <c r="B172" i="6"/>
  <c r="Z172" i="6" s="1"/>
  <c r="AL171" i="6" l="1"/>
  <c r="N189" i="16"/>
  <c r="O189" i="16" s="1"/>
  <c r="P189" i="16" s="1"/>
  <c r="G191" i="16"/>
  <c r="H191" i="16" s="1"/>
  <c r="B193" i="16"/>
  <c r="A194" i="16"/>
  <c r="L193" i="16"/>
  <c r="H190" i="16"/>
  <c r="I190" i="16" s="1"/>
  <c r="K190" i="16" s="1"/>
  <c r="M190" i="16" s="1"/>
  <c r="F192" i="16"/>
  <c r="E192" i="16"/>
  <c r="D192" i="16"/>
  <c r="O172" i="6"/>
  <c r="U172" i="6"/>
  <c r="H172" i="6"/>
  <c r="J172" i="6"/>
  <c r="T172" i="6"/>
  <c r="G172" i="6"/>
  <c r="W172" i="6"/>
  <c r="AM172" i="6" s="1"/>
  <c r="K172" i="6"/>
  <c r="X172" i="6"/>
  <c r="B173" i="6"/>
  <c r="Z173" i="6" s="1"/>
  <c r="A174" i="6"/>
  <c r="AL172" i="6" l="1"/>
  <c r="I191" i="16"/>
  <c r="K191" i="16" s="1"/>
  <c r="M191" i="16" s="1"/>
  <c r="N190" i="16"/>
  <c r="O190" i="16" s="1"/>
  <c r="P190" i="16" s="1"/>
  <c r="G192" i="16"/>
  <c r="F193" i="16"/>
  <c r="E193" i="16"/>
  <c r="D193" i="16"/>
  <c r="B194" i="16"/>
  <c r="L194" i="16"/>
  <c r="A195" i="16"/>
  <c r="O173" i="6"/>
  <c r="B174" i="6"/>
  <c r="Z174" i="6" s="1"/>
  <c r="A175" i="6"/>
  <c r="W173" i="6"/>
  <c r="AM173" i="6" s="1"/>
  <c r="U173" i="6"/>
  <c r="H173" i="6"/>
  <c r="J173" i="6"/>
  <c r="T173" i="6"/>
  <c r="X173" i="6"/>
  <c r="K173" i="6"/>
  <c r="G173" i="6"/>
  <c r="AL173" i="6" l="1"/>
  <c r="N191" i="16"/>
  <c r="O191" i="16" s="1"/>
  <c r="P191" i="16" s="1"/>
  <c r="G193" i="16"/>
  <c r="H193" i="16" s="1"/>
  <c r="I193" i="16" s="1"/>
  <c r="K193" i="16" s="1"/>
  <c r="M193" i="16" s="1"/>
  <c r="F194" i="16"/>
  <c r="E194" i="16"/>
  <c r="D194" i="16"/>
  <c r="B195" i="16"/>
  <c r="A196" i="16"/>
  <c r="L195" i="16"/>
  <c r="H192" i="16"/>
  <c r="I192" i="16" s="1"/>
  <c r="K192" i="16" s="1"/>
  <c r="M192" i="16" s="1"/>
  <c r="O174" i="6"/>
  <c r="AL174" i="6" s="1"/>
  <c r="B175" i="6"/>
  <c r="Z175" i="6" s="1"/>
  <c r="A176" i="6"/>
  <c r="U174" i="6"/>
  <c r="H174" i="6"/>
  <c r="W174" i="6"/>
  <c r="AM174" i="6" s="1"/>
  <c r="T174" i="6"/>
  <c r="J174" i="6"/>
  <c r="G174" i="6"/>
  <c r="K174" i="6"/>
  <c r="X174" i="6"/>
  <c r="N193" i="16" l="1"/>
  <c r="O193" i="16" s="1"/>
  <c r="P193" i="16" s="1"/>
  <c r="N192" i="16"/>
  <c r="O192" i="16" s="1"/>
  <c r="P192" i="16" s="1"/>
  <c r="G194" i="16"/>
  <c r="H194" i="16" s="1"/>
  <c r="B196" i="16"/>
  <c r="L196" i="16"/>
  <c r="A197" i="16"/>
  <c r="F195" i="16"/>
  <c r="E195" i="16"/>
  <c r="D195" i="16"/>
  <c r="O175" i="6"/>
  <c r="B176" i="6"/>
  <c r="Z176" i="6" s="1"/>
  <c r="A177" i="6"/>
  <c r="W175" i="6"/>
  <c r="AM175" i="6" s="1"/>
  <c r="U175" i="6"/>
  <c r="H175" i="6"/>
  <c r="X175" i="6"/>
  <c r="K175" i="6"/>
  <c r="T175" i="6"/>
  <c r="J175" i="6"/>
  <c r="G175" i="6"/>
  <c r="AL175" i="6" l="1"/>
  <c r="I194" i="16"/>
  <c r="K194" i="16" s="1"/>
  <c r="M194" i="16" s="1"/>
  <c r="B197" i="16"/>
  <c r="L197" i="16"/>
  <c r="A198" i="16"/>
  <c r="G195" i="16"/>
  <c r="F196" i="16"/>
  <c r="E196" i="16"/>
  <c r="D196" i="16"/>
  <c r="O176" i="6"/>
  <c r="B177" i="6"/>
  <c r="Z177" i="6" s="1"/>
  <c r="A178" i="6"/>
  <c r="H176" i="6"/>
  <c r="U176" i="6"/>
  <c r="W176" i="6"/>
  <c r="AM176" i="6" s="1"/>
  <c r="G176" i="6"/>
  <c r="J176" i="6"/>
  <c r="T176" i="6"/>
  <c r="K176" i="6"/>
  <c r="X176" i="6"/>
  <c r="AL176" i="6" l="1"/>
  <c r="N194" i="16"/>
  <c r="O194" i="16" s="1"/>
  <c r="P194" i="16" s="1"/>
  <c r="H195" i="16"/>
  <c r="I195" i="16" s="1"/>
  <c r="K195" i="16" s="1"/>
  <c r="M195" i="16" s="1"/>
  <c r="F197" i="16"/>
  <c r="E197" i="16"/>
  <c r="D197" i="16"/>
  <c r="B198" i="16"/>
  <c r="A199" i="16"/>
  <c r="L198" i="16"/>
  <c r="G196" i="16"/>
  <c r="O177" i="6"/>
  <c r="B178" i="6"/>
  <c r="Z178" i="6" s="1"/>
  <c r="A179" i="6"/>
  <c r="W177" i="6"/>
  <c r="AM177" i="6" s="1"/>
  <c r="U177" i="6"/>
  <c r="H177" i="6"/>
  <c r="J177" i="6"/>
  <c r="T177" i="6"/>
  <c r="G177" i="6"/>
  <c r="X177" i="6"/>
  <c r="K177" i="6"/>
  <c r="AL177" i="6" l="1"/>
  <c r="N195" i="16"/>
  <c r="O195" i="16" s="1"/>
  <c r="P195" i="16" s="1"/>
  <c r="B199" i="16"/>
  <c r="A200" i="16"/>
  <c r="L199" i="16"/>
  <c r="G197" i="16"/>
  <c r="H196" i="16"/>
  <c r="I196" i="16" s="1"/>
  <c r="K196" i="16" s="1"/>
  <c r="M196" i="16" s="1"/>
  <c r="E198" i="16"/>
  <c r="F198" i="16"/>
  <c r="D198" i="16"/>
  <c r="O178" i="6"/>
  <c r="B179" i="6"/>
  <c r="Z179" i="6" s="1"/>
  <c r="A180" i="6"/>
  <c r="U178" i="6"/>
  <c r="H178" i="6"/>
  <c r="K178" i="6"/>
  <c r="W178" i="6"/>
  <c r="AM178" i="6" s="1"/>
  <c r="T178" i="6"/>
  <c r="J178" i="6"/>
  <c r="G178" i="6"/>
  <c r="X178" i="6"/>
  <c r="AL178" i="6" l="1"/>
  <c r="N196" i="16"/>
  <c r="O196" i="16" s="1"/>
  <c r="P196" i="16" s="1"/>
  <c r="B200" i="16"/>
  <c r="L200" i="16"/>
  <c r="A201" i="16"/>
  <c r="G198" i="16"/>
  <c r="H197" i="16"/>
  <c r="I197" i="16" s="1"/>
  <c r="K197" i="16" s="1"/>
  <c r="M197" i="16" s="1"/>
  <c r="F199" i="16"/>
  <c r="E199" i="16"/>
  <c r="D199" i="16"/>
  <c r="O179" i="6"/>
  <c r="B180" i="6"/>
  <c r="Z180" i="6" s="1"/>
  <c r="A181" i="6"/>
  <c r="W179" i="6"/>
  <c r="AM179" i="6" s="1"/>
  <c r="U179" i="6"/>
  <c r="H179" i="6"/>
  <c r="T179" i="6"/>
  <c r="J179" i="6"/>
  <c r="G179" i="6"/>
  <c r="X179" i="6"/>
  <c r="K179" i="6"/>
  <c r="AL179" i="6" l="1"/>
  <c r="N197" i="16"/>
  <c r="O197" i="16" s="1"/>
  <c r="P197" i="16" s="1"/>
  <c r="G199" i="16"/>
  <c r="H199" i="16" s="1"/>
  <c r="I199" i="16" s="1"/>
  <c r="K199" i="16" s="1"/>
  <c r="M199" i="16" s="1"/>
  <c r="H198" i="16"/>
  <c r="I198" i="16" s="1"/>
  <c r="K198" i="16" s="1"/>
  <c r="M198" i="16" s="1"/>
  <c r="F200" i="16"/>
  <c r="E200" i="16"/>
  <c r="D200" i="16"/>
  <c r="B201" i="16"/>
  <c r="A202" i="16"/>
  <c r="L201" i="16"/>
  <c r="O180" i="6"/>
  <c r="B181" i="6"/>
  <c r="Z181" i="6" s="1"/>
  <c r="A182" i="6"/>
  <c r="U180" i="6"/>
  <c r="H180" i="6"/>
  <c r="J180" i="6"/>
  <c r="K180" i="6"/>
  <c r="T180" i="6"/>
  <c r="W180" i="6"/>
  <c r="AM180" i="6" s="1"/>
  <c r="G180" i="6"/>
  <c r="X180" i="6"/>
  <c r="AL180" i="6" l="1"/>
  <c r="N198" i="16"/>
  <c r="O198" i="16" s="1"/>
  <c r="P198" i="16" s="1"/>
  <c r="N199" i="16"/>
  <c r="O199" i="16" s="1"/>
  <c r="P199" i="16" s="1"/>
  <c r="F201" i="16"/>
  <c r="E201" i="16"/>
  <c r="D201" i="16"/>
  <c r="G200" i="16"/>
  <c r="B202" i="16"/>
  <c r="A203" i="16"/>
  <c r="L202" i="16"/>
  <c r="O181" i="6"/>
  <c r="B182" i="6"/>
  <c r="Z182" i="6" s="1"/>
  <c r="A183" i="6"/>
  <c r="W181" i="6"/>
  <c r="AM181" i="6" s="1"/>
  <c r="U181" i="6"/>
  <c r="H181" i="6"/>
  <c r="T181" i="6"/>
  <c r="G181" i="6"/>
  <c r="X181" i="6"/>
  <c r="J181" i="6"/>
  <c r="K181" i="6"/>
  <c r="AL181" i="6" l="1"/>
  <c r="G201" i="16"/>
  <c r="H201" i="16" s="1"/>
  <c r="I201" i="16" s="1"/>
  <c r="K201" i="16" s="1"/>
  <c r="M201" i="16" s="1"/>
  <c r="N201" i="16" s="1"/>
  <c r="E202" i="16"/>
  <c r="F202" i="16"/>
  <c r="D202" i="16"/>
  <c r="H200" i="16"/>
  <c r="I200" i="16" s="1"/>
  <c r="K200" i="16" s="1"/>
  <c r="M200" i="16" s="1"/>
  <c r="B203" i="16"/>
  <c r="L203" i="16"/>
  <c r="A204" i="16"/>
  <c r="O182" i="6"/>
  <c r="B183" i="6"/>
  <c r="Z183" i="6" s="1"/>
  <c r="A184" i="6"/>
  <c r="U182" i="6"/>
  <c r="H182" i="6"/>
  <c r="W182" i="6"/>
  <c r="AM182" i="6" s="1"/>
  <c r="K182" i="6"/>
  <c r="J182" i="6"/>
  <c r="T182" i="6"/>
  <c r="G182" i="6"/>
  <c r="X182" i="6"/>
  <c r="AL182" i="6" l="1"/>
  <c r="N200" i="16"/>
  <c r="O200" i="16" s="1"/>
  <c r="P200" i="16" s="1"/>
  <c r="O201" i="16"/>
  <c r="P201" i="16" s="1"/>
  <c r="E203" i="16"/>
  <c r="F203" i="16"/>
  <c r="D203" i="16"/>
  <c r="B204" i="16"/>
  <c r="A205" i="16"/>
  <c r="L204" i="16"/>
  <c r="G202" i="16"/>
  <c r="O183" i="6"/>
  <c r="B184" i="6"/>
  <c r="Z184" i="6" s="1"/>
  <c r="A185" i="6"/>
  <c r="W183" i="6"/>
  <c r="AM183" i="6" s="1"/>
  <c r="U183" i="6"/>
  <c r="H183" i="6"/>
  <c r="T183" i="6"/>
  <c r="G183" i="6"/>
  <c r="X183" i="6"/>
  <c r="K183" i="6"/>
  <c r="J183" i="6"/>
  <c r="AL183" i="6" l="1"/>
  <c r="G203" i="16"/>
  <c r="B205" i="16"/>
  <c r="L205" i="16"/>
  <c r="A206" i="16"/>
  <c r="H202" i="16"/>
  <c r="I202" i="16" s="1"/>
  <c r="K202" i="16" s="1"/>
  <c r="M202" i="16" s="1"/>
  <c r="N202" i="16" s="1"/>
  <c r="F204" i="16"/>
  <c r="E204" i="16"/>
  <c r="D204" i="16"/>
  <c r="O184" i="6"/>
  <c r="B185" i="6"/>
  <c r="Z185" i="6" s="1"/>
  <c r="A186" i="6"/>
  <c r="U184" i="6"/>
  <c r="H184" i="6"/>
  <c r="K184" i="6"/>
  <c r="W184" i="6"/>
  <c r="AM184" i="6" s="1"/>
  <c r="J184" i="6"/>
  <c r="T184" i="6"/>
  <c r="G184" i="6"/>
  <c r="X184" i="6"/>
  <c r="AL184" i="6" l="1"/>
  <c r="O202" i="16"/>
  <c r="P202" i="16" s="1"/>
  <c r="E205" i="16"/>
  <c r="F205" i="16"/>
  <c r="D205" i="16"/>
  <c r="G204" i="16"/>
  <c r="B206" i="16"/>
  <c r="L206" i="16"/>
  <c r="A207" i="16"/>
  <c r="H203" i="16"/>
  <c r="I203" i="16" s="1"/>
  <c r="K203" i="16" s="1"/>
  <c r="M203" i="16" s="1"/>
  <c r="O185" i="6"/>
  <c r="AL185" i="6" s="1"/>
  <c r="B186" i="6"/>
  <c r="Z186" i="6" s="1"/>
  <c r="A187" i="6"/>
  <c r="W185" i="6"/>
  <c r="AM185" i="6" s="1"/>
  <c r="U185" i="6"/>
  <c r="H185" i="6"/>
  <c r="J185" i="6"/>
  <c r="T185" i="6"/>
  <c r="G185" i="6"/>
  <c r="X185" i="6"/>
  <c r="K185" i="6"/>
  <c r="N203" i="16" l="1"/>
  <c r="O203" i="16" s="1"/>
  <c r="P203" i="16" s="1"/>
  <c r="G205" i="16"/>
  <c r="F206" i="16"/>
  <c r="E206" i="16"/>
  <c r="D206" i="16"/>
  <c r="B207" i="16"/>
  <c r="L207" i="16"/>
  <c r="A208" i="16"/>
  <c r="H204" i="16"/>
  <c r="I204" i="16" s="1"/>
  <c r="K204" i="16" s="1"/>
  <c r="M204" i="16" s="1"/>
  <c r="O186" i="6"/>
  <c r="B187" i="6"/>
  <c r="Z187" i="6" s="1"/>
  <c r="A188" i="6"/>
  <c r="U186" i="6"/>
  <c r="H186" i="6"/>
  <c r="W186" i="6"/>
  <c r="AM186" i="6" s="1"/>
  <c r="J186" i="6"/>
  <c r="T186" i="6"/>
  <c r="K186" i="6"/>
  <c r="X186" i="6"/>
  <c r="G186" i="6"/>
  <c r="AL186" i="6" l="1"/>
  <c r="N204" i="16"/>
  <c r="O204" i="16" s="1"/>
  <c r="P204" i="16" s="1"/>
  <c r="B208" i="16"/>
  <c r="A209" i="16"/>
  <c r="L208" i="16"/>
  <c r="G206" i="16"/>
  <c r="F207" i="16"/>
  <c r="E207" i="16"/>
  <c r="D207" i="16"/>
  <c r="H205" i="16"/>
  <c r="I205" i="16" s="1"/>
  <c r="K205" i="16" s="1"/>
  <c r="M205" i="16" s="1"/>
  <c r="O187" i="6"/>
  <c r="B188" i="6"/>
  <c r="Z188" i="6" s="1"/>
  <c r="A189" i="6"/>
  <c r="U187" i="6"/>
  <c r="H187" i="6"/>
  <c r="W187" i="6"/>
  <c r="AM187" i="6" s="1"/>
  <c r="X187" i="6"/>
  <c r="J187" i="6"/>
  <c r="T187" i="6"/>
  <c r="K187" i="6"/>
  <c r="G187" i="6"/>
  <c r="AL187" i="6" l="1"/>
  <c r="N205" i="16"/>
  <c r="O205" i="16" s="1"/>
  <c r="P205" i="16" s="1"/>
  <c r="B209" i="16"/>
  <c r="A210" i="16"/>
  <c r="L209" i="16"/>
  <c r="G207" i="16"/>
  <c r="H206" i="16"/>
  <c r="I206" i="16" s="1"/>
  <c r="K206" i="16" s="1"/>
  <c r="M206" i="16" s="1"/>
  <c r="F208" i="16"/>
  <c r="E208" i="16"/>
  <c r="D208" i="16"/>
  <c r="O188" i="6"/>
  <c r="B189" i="6"/>
  <c r="Z189" i="6" s="1"/>
  <c r="A190" i="6"/>
  <c r="H188" i="6"/>
  <c r="J188" i="6"/>
  <c r="U188" i="6"/>
  <c r="W188" i="6"/>
  <c r="AM188" i="6" s="1"/>
  <c r="G188" i="6"/>
  <c r="T188" i="6"/>
  <c r="X188" i="6"/>
  <c r="K188" i="6"/>
  <c r="AL188" i="6" l="1"/>
  <c r="N206" i="16"/>
  <c r="O206" i="16" s="1"/>
  <c r="P206" i="16" s="1"/>
  <c r="G208" i="16"/>
  <c r="H207" i="16"/>
  <c r="I207" i="16" s="1"/>
  <c r="K207" i="16" s="1"/>
  <c r="M207" i="16" s="1"/>
  <c r="B210" i="16"/>
  <c r="L210" i="16"/>
  <c r="A211" i="16"/>
  <c r="F209" i="16"/>
  <c r="E209" i="16"/>
  <c r="D209" i="16"/>
  <c r="O189" i="6"/>
  <c r="B190" i="6"/>
  <c r="Z190" i="6" s="1"/>
  <c r="A191" i="6"/>
  <c r="U189" i="6"/>
  <c r="H189" i="6"/>
  <c r="G189" i="6"/>
  <c r="K189" i="6"/>
  <c r="W189" i="6"/>
  <c r="AM189" i="6" s="1"/>
  <c r="T189" i="6"/>
  <c r="J189" i="6"/>
  <c r="X189" i="6"/>
  <c r="AL189" i="6" l="1"/>
  <c r="N207" i="16"/>
  <c r="O207" i="16" s="1"/>
  <c r="P207" i="16" s="1"/>
  <c r="F210" i="16"/>
  <c r="E210" i="16"/>
  <c r="D210" i="16"/>
  <c r="G209" i="16"/>
  <c r="B211" i="16"/>
  <c r="A212" i="16"/>
  <c r="L211" i="16"/>
  <c r="H208" i="16"/>
  <c r="I208" i="16" s="1"/>
  <c r="K208" i="16" s="1"/>
  <c r="M208" i="16" s="1"/>
  <c r="O190" i="6"/>
  <c r="B191" i="6"/>
  <c r="Z191" i="6" s="1"/>
  <c r="A192" i="6"/>
  <c r="J190" i="6"/>
  <c r="U190" i="6"/>
  <c r="H190" i="6"/>
  <c r="W190" i="6"/>
  <c r="AM190" i="6" s="1"/>
  <c r="K190" i="6"/>
  <c r="T190" i="6"/>
  <c r="G190" i="6"/>
  <c r="X190" i="6"/>
  <c r="AL190" i="6" l="1"/>
  <c r="N208" i="16"/>
  <c r="O208" i="16" s="1"/>
  <c r="P208" i="16" s="1"/>
  <c r="B212" i="16"/>
  <c r="A213" i="16"/>
  <c r="L212" i="16"/>
  <c r="H209" i="16"/>
  <c r="I209" i="16" s="1"/>
  <c r="K209" i="16" s="1"/>
  <c r="M209" i="16" s="1"/>
  <c r="G210" i="16"/>
  <c r="F211" i="16"/>
  <c r="E211" i="16"/>
  <c r="D211" i="16"/>
  <c r="O191" i="6"/>
  <c r="B192" i="6"/>
  <c r="Z192" i="6" s="1"/>
  <c r="A193" i="6"/>
  <c r="U191" i="6"/>
  <c r="H191" i="6"/>
  <c r="W191" i="6"/>
  <c r="AM191" i="6" s="1"/>
  <c r="T191" i="6"/>
  <c r="J191" i="6"/>
  <c r="G191" i="6"/>
  <c r="X191" i="6"/>
  <c r="K191" i="6"/>
  <c r="AL191" i="6" l="1"/>
  <c r="N209" i="16"/>
  <c r="O209" i="16" s="1"/>
  <c r="P209" i="16" s="1"/>
  <c r="F212" i="16"/>
  <c r="E212" i="16"/>
  <c r="D212" i="16"/>
  <c r="G211" i="16"/>
  <c r="H210" i="16"/>
  <c r="I210" i="16" s="1"/>
  <c r="K210" i="16" s="1"/>
  <c r="M210" i="16" s="1"/>
  <c r="B213" i="16"/>
  <c r="A214" i="16"/>
  <c r="L213" i="16"/>
  <c r="O192" i="6"/>
  <c r="B193" i="6"/>
  <c r="Z193" i="6" s="1"/>
  <c r="A194" i="6"/>
  <c r="J192" i="6"/>
  <c r="U192" i="6"/>
  <c r="H192" i="6"/>
  <c r="W192" i="6"/>
  <c r="AM192" i="6" s="1"/>
  <c r="K192" i="6"/>
  <c r="T192" i="6"/>
  <c r="G192" i="6"/>
  <c r="X192" i="6"/>
  <c r="AL192" i="6" l="1"/>
  <c r="N210" i="16"/>
  <c r="O210" i="16" s="1"/>
  <c r="P210" i="16" s="1"/>
  <c r="B214" i="16"/>
  <c r="A215" i="16"/>
  <c r="L214" i="16"/>
  <c r="H211" i="16"/>
  <c r="I211" i="16" s="1"/>
  <c r="K211" i="16" s="1"/>
  <c r="M211" i="16" s="1"/>
  <c r="G212" i="16"/>
  <c r="F213" i="16"/>
  <c r="E213" i="16"/>
  <c r="D213" i="16"/>
  <c r="O193" i="6"/>
  <c r="B194" i="6"/>
  <c r="Z194" i="6" s="1"/>
  <c r="A195" i="6"/>
  <c r="U193" i="6"/>
  <c r="H193" i="6"/>
  <c r="T193" i="6"/>
  <c r="G193" i="6"/>
  <c r="X193" i="6"/>
  <c r="W193" i="6"/>
  <c r="AM193" i="6" s="1"/>
  <c r="K193" i="6"/>
  <c r="J193" i="6"/>
  <c r="AL193" i="6" l="1"/>
  <c r="N211" i="16"/>
  <c r="O211" i="16" s="1"/>
  <c r="P211" i="16" s="1"/>
  <c r="G213" i="16"/>
  <c r="H213" i="16" s="1"/>
  <c r="I213" i="16" s="1"/>
  <c r="K213" i="16" s="1"/>
  <c r="M213" i="16" s="1"/>
  <c r="H212" i="16"/>
  <c r="I212" i="16" s="1"/>
  <c r="K212" i="16" s="1"/>
  <c r="M212" i="16" s="1"/>
  <c r="N212" i="16" s="1"/>
  <c r="B215" i="16"/>
  <c r="A216" i="16"/>
  <c r="L215" i="16"/>
  <c r="F214" i="16"/>
  <c r="E214" i="16"/>
  <c r="D214" i="16"/>
  <c r="O194" i="6"/>
  <c r="B195" i="6"/>
  <c r="Z195" i="6" s="1"/>
  <c r="A196" i="6"/>
  <c r="J194" i="6"/>
  <c r="U194" i="6"/>
  <c r="H194" i="6"/>
  <c r="W194" i="6"/>
  <c r="AM194" i="6" s="1"/>
  <c r="K194" i="6"/>
  <c r="T194" i="6"/>
  <c r="G194" i="6"/>
  <c r="X194" i="6"/>
  <c r="AL194" i="6" l="1"/>
  <c r="N213" i="16"/>
  <c r="O213" i="16" s="1"/>
  <c r="P213" i="16" s="1"/>
  <c r="O212" i="16"/>
  <c r="P212" i="16" s="1"/>
  <c r="G214" i="16"/>
  <c r="H214" i="16" s="1"/>
  <c r="F215" i="16"/>
  <c r="E215" i="16"/>
  <c r="D215" i="16"/>
  <c r="B216" i="16"/>
  <c r="L216" i="16"/>
  <c r="A217" i="16"/>
  <c r="O195" i="6"/>
  <c r="B196" i="6"/>
  <c r="Z196" i="6" s="1"/>
  <c r="A197" i="6"/>
  <c r="U195" i="6"/>
  <c r="H195" i="6"/>
  <c r="W195" i="6"/>
  <c r="AM195" i="6" s="1"/>
  <c r="T195" i="6"/>
  <c r="J195" i="6"/>
  <c r="G195" i="6"/>
  <c r="X195" i="6"/>
  <c r="K195" i="6"/>
  <c r="AL195" i="6" l="1"/>
  <c r="I214" i="16"/>
  <c r="K214" i="16" s="1"/>
  <c r="M214" i="16" s="1"/>
  <c r="N214" i="16" s="1"/>
  <c r="G215" i="16"/>
  <c r="F216" i="16"/>
  <c r="E216" i="16"/>
  <c r="D216" i="16"/>
  <c r="B217" i="16"/>
  <c r="L217" i="16"/>
  <c r="A218" i="16"/>
  <c r="O196" i="6"/>
  <c r="B197" i="6"/>
  <c r="Z197" i="6" s="1"/>
  <c r="A198" i="6"/>
  <c r="J196" i="6"/>
  <c r="U196" i="6"/>
  <c r="H196" i="6"/>
  <c r="W196" i="6"/>
  <c r="AM196" i="6" s="1"/>
  <c r="K196" i="6"/>
  <c r="T196" i="6"/>
  <c r="G196" i="6"/>
  <c r="X196" i="6"/>
  <c r="AL196" i="6" l="1"/>
  <c r="O214" i="16"/>
  <c r="P214" i="16" s="1"/>
  <c r="G216" i="16"/>
  <c r="H216" i="16" s="1"/>
  <c r="I216" i="16" s="1"/>
  <c r="K216" i="16" s="1"/>
  <c r="M216" i="16" s="1"/>
  <c r="B218" i="16"/>
  <c r="A219" i="16"/>
  <c r="L218" i="16"/>
  <c r="F217" i="16"/>
  <c r="E217" i="16"/>
  <c r="D217" i="16"/>
  <c r="H215" i="16"/>
  <c r="I215" i="16" s="1"/>
  <c r="K215" i="16" s="1"/>
  <c r="M215" i="16" s="1"/>
  <c r="O197" i="6"/>
  <c r="AL197" i="6" s="1"/>
  <c r="B198" i="6"/>
  <c r="Z198" i="6" s="1"/>
  <c r="A199" i="6"/>
  <c r="U197" i="6"/>
  <c r="H197" i="6"/>
  <c r="T197" i="6"/>
  <c r="G197" i="6"/>
  <c r="X197" i="6"/>
  <c r="W197" i="6"/>
  <c r="AM197" i="6" s="1"/>
  <c r="K197" i="6"/>
  <c r="J197" i="6"/>
  <c r="N216" i="16" l="1"/>
  <c r="O216" i="16" s="1"/>
  <c r="P216" i="16" s="1"/>
  <c r="N215" i="16"/>
  <c r="O215" i="16" s="1"/>
  <c r="P215" i="16" s="1"/>
  <c r="B219" i="16"/>
  <c r="L219" i="16"/>
  <c r="A220" i="16"/>
  <c r="G217" i="16"/>
  <c r="E218" i="16"/>
  <c r="F218" i="16"/>
  <c r="D218" i="16"/>
  <c r="O198" i="6"/>
  <c r="B199" i="6"/>
  <c r="Z199" i="6" s="1"/>
  <c r="A200" i="6"/>
  <c r="J198" i="6"/>
  <c r="U198" i="6"/>
  <c r="H198" i="6"/>
  <c r="W198" i="6"/>
  <c r="AM198" i="6" s="1"/>
  <c r="K198" i="6"/>
  <c r="T198" i="6"/>
  <c r="G198" i="6"/>
  <c r="X198" i="6"/>
  <c r="AL198" i="6" l="1"/>
  <c r="E219" i="16"/>
  <c r="F219" i="16"/>
  <c r="D219" i="16"/>
  <c r="H217" i="16"/>
  <c r="I217" i="16" s="1"/>
  <c r="K217" i="16" s="1"/>
  <c r="M217" i="16" s="1"/>
  <c r="G218" i="16"/>
  <c r="B220" i="16"/>
  <c r="A221" i="16"/>
  <c r="L220" i="16"/>
  <c r="O199" i="6"/>
  <c r="A201" i="6"/>
  <c r="B200" i="6"/>
  <c r="Z200" i="6" s="1"/>
  <c r="U199" i="6"/>
  <c r="H199" i="6"/>
  <c r="W199" i="6"/>
  <c r="AM199" i="6" s="1"/>
  <c r="T199" i="6"/>
  <c r="J199" i="6"/>
  <c r="G199" i="6"/>
  <c r="X199" i="6"/>
  <c r="K199" i="6"/>
  <c r="AL199" i="6" l="1"/>
  <c r="N217" i="16"/>
  <c r="O217" i="16" s="1"/>
  <c r="P217" i="16" s="1"/>
  <c r="F220" i="16"/>
  <c r="E220" i="16"/>
  <c r="D220" i="16"/>
  <c r="H218" i="16"/>
  <c r="I218" i="16" s="1"/>
  <c r="K218" i="16" s="1"/>
  <c r="M218" i="16" s="1"/>
  <c r="B221" i="16"/>
  <c r="L221" i="16"/>
  <c r="A222" i="16"/>
  <c r="G219" i="16"/>
  <c r="O200" i="6"/>
  <c r="J200" i="6"/>
  <c r="U200" i="6"/>
  <c r="H200" i="6"/>
  <c r="K200" i="6"/>
  <c r="T200" i="6"/>
  <c r="W200" i="6"/>
  <c r="AM200" i="6" s="1"/>
  <c r="G200" i="6"/>
  <c r="X200" i="6"/>
  <c r="A202" i="6"/>
  <c r="B201" i="6"/>
  <c r="Z201" i="6" s="1"/>
  <c r="AL200" i="6" l="1"/>
  <c r="N218" i="16"/>
  <c r="O218" i="16" s="1"/>
  <c r="P218" i="16" s="1"/>
  <c r="B222" i="16"/>
  <c r="A223" i="16"/>
  <c r="L222" i="16"/>
  <c r="H219" i="16"/>
  <c r="I219" i="16" s="1"/>
  <c r="K219" i="16" s="1"/>
  <c r="M219" i="16" s="1"/>
  <c r="G220" i="16"/>
  <c r="E221" i="16"/>
  <c r="F221" i="16"/>
  <c r="D221" i="16"/>
  <c r="O201" i="6"/>
  <c r="U201" i="6"/>
  <c r="W201" i="6"/>
  <c r="AM201" i="6" s="1"/>
  <c r="H201" i="6"/>
  <c r="T201" i="6"/>
  <c r="G201" i="6"/>
  <c r="X201" i="6"/>
  <c r="J201" i="6"/>
  <c r="K201" i="6"/>
  <c r="B202" i="6"/>
  <c r="Z202" i="6" s="1"/>
  <c r="A203" i="6"/>
  <c r="AL201" i="6" l="1"/>
  <c r="N219" i="16"/>
  <c r="O219" i="16" s="1"/>
  <c r="P219" i="16" s="1"/>
  <c r="B223" i="16"/>
  <c r="L223" i="16"/>
  <c r="A224" i="16"/>
  <c r="G221" i="16"/>
  <c r="H220" i="16"/>
  <c r="I220" i="16" s="1"/>
  <c r="K220" i="16" s="1"/>
  <c r="M220" i="16" s="1"/>
  <c r="N220" i="16" s="1"/>
  <c r="E222" i="16"/>
  <c r="F222" i="16"/>
  <c r="D222" i="16"/>
  <c r="O202" i="6"/>
  <c r="U202" i="6"/>
  <c r="H202" i="6"/>
  <c r="J202" i="6"/>
  <c r="K202" i="6"/>
  <c r="T202" i="6"/>
  <c r="W202" i="6"/>
  <c r="AM202" i="6" s="1"/>
  <c r="G202" i="6"/>
  <c r="X202" i="6"/>
  <c r="B203" i="6"/>
  <c r="Z203" i="6" s="1"/>
  <c r="A204" i="6"/>
  <c r="AL202" i="6" l="1"/>
  <c r="O220" i="16"/>
  <c r="P220" i="16" s="1"/>
  <c r="H221" i="16"/>
  <c r="I221" i="16" s="1"/>
  <c r="K221" i="16" s="1"/>
  <c r="M221" i="16" s="1"/>
  <c r="E223" i="16"/>
  <c r="F223" i="16"/>
  <c r="D223" i="16"/>
  <c r="G222" i="16"/>
  <c r="B224" i="16"/>
  <c r="A225" i="16"/>
  <c r="L224" i="16"/>
  <c r="O203" i="6"/>
  <c r="B204" i="6"/>
  <c r="Z204" i="6" s="1"/>
  <c r="A205" i="6"/>
  <c r="U203" i="6"/>
  <c r="W203" i="6"/>
  <c r="AM203" i="6" s="1"/>
  <c r="H203" i="6"/>
  <c r="T203" i="6"/>
  <c r="G203" i="6"/>
  <c r="X203" i="6"/>
  <c r="J203" i="6"/>
  <c r="K203" i="6"/>
  <c r="AL203" i="6" l="1"/>
  <c r="N221" i="16"/>
  <c r="O221" i="16" s="1"/>
  <c r="P221" i="16" s="1"/>
  <c r="G223" i="16"/>
  <c r="H222" i="16"/>
  <c r="I222" i="16" s="1"/>
  <c r="K222" i="16" s="1"/>
  <c r="M222" i="16" s="1"/>
  <c r="F224" i="16"/>
  <c r="E224" i="16"/>
  <c r="D224" i="16"/>
  <c r="B225" i="16"/>
  <c r="L225" i="16"/>
  <c r="A226" i="16"/>
  <c r="O204" i="6"/>
  <c r="B205" i="6"/>
  <c r="Z205" i="6" s="1"/>
  <c r="A206" i="6"/>
  <c r="U204" i="6"/>
  <c r="H204" i="6"/>
  <c r="J204" i="6"/>
  <c r="K204" i="6"/>
  <c r="W204" i="6"/>
  <c r="AM204" i="6" s="1"/>
  <c r="T204" i="6"/>
  <c r="G204" i="6"/>
  <c r="X204" i="6"/>
  <c r="AL204" i="6" l="1"/>
  <c r="N222" i="16"/>
  <c r="O222" i="16" s="1"/>
  <c r="P222" i="16" s="1"/>
  <c r="B226" i="16"/>
  <c r="L226" i="16"/>
  <c r="A227" i="16"/>
  <c r="G224" i="16"/>
  <c r="F225" i="16"/>
  <c r="E225" i="16"/>
  <c r="D225" i="16"/>
  <c r="H223" i="16"/>
  <c r="I223" i="16" s="1"/>
  <c r="K223" i="16" s="1"/>
  <c r="M223" i="16" s="1"/>
  <c r="O205" i="6"/>
  <c r="B206" i="6"/>
  <c r="Z206" i="6" s="1"/>
  <c r="A207" i="6"/>
  <c r="U205" i="6"/>
  <c r="W205" i="6"/>
  <c r="AM205" i="6" s="1"/>
  <c r="H205" i="6"/>
  <c r="J205" i="6"/>
  <c r="T205" i="6"/>
  <c r="G205" i="6"/>
  <c r="X205" i="6"/>
  <c r="K205" i="6"/>
  <c r="AL205" i="6" l="1"/>
  <c r="N223" i="16"/>
  <c r="O223" i="16" s="1"/>
  <c r="P223" i="16" s="1"/>
  <c r="B227" i="16"/>
  <c r="L227" i="16"/>
  <c r="A228" i="16"/>
  <c r="G225" i="16"/>
  <c r="H224" i="16"/>
  <c r="I224" i="16" s="1"/>
  <c r="K224" i="16" s="1"/>
  <c r="M224" i="16" s="1"/>
  <c r="E226" i="16"/>
  <c r="F226" i="16"/>
  <c r="D226" i="16"/>
  <c r="O206" i="6"/>
  <c r="B207" i="6"/>
  <c r="Z207" i="6" s="1"/>
  <c r="A208" i="6"/>
  <c r="U206" i="6"/>
  <c r="H206" i="6"/>
  <c r="J206" i="6"/>
  <c r="K206" i="6"/>
  <c r="T206" i="6"/>
  <c r="W206" i="6"/>
  <c r="AM206" i="6" s="1"/>
  <c r="G206" i="6"/>
  <c r="X206" i="6"/>
  <c r="AL206" i="6" l="1"/>
  <c r="N224" i="16"/>
  <c r="O224" i="16" s="1"/>
  <c r="P224" i="16" s="1"/>
  <c r="G226" i="16"/>
  <c r="B228" i="16"/>
  <c r="A229" i="16"/>
  <c r="L228" i="16"/>
  <c r="H225" i="16"/>
  <c r="I225" i="16" s="1"/>
  <c r="K225" i="16" s="1"/>
  <c r="M225" i="16" s="1"/>
  <c r="F227" i="16"/>
  <c r="E227" i="16"/>
  <c r="D227" i="16"/>
  <c r="O207" i="6"/>
  <c r="B208" i="6"/>
  <c r="Z208" i="6" s="1"/>
  <c r="A209" i="6"/>
  <c r="U207" i="6"/>
  <c r="W207" i="6"/>
  <c r="AM207" i="6" s="1"/>
  <c r="H207" i="6"/>
  <c r="T207" i="6"/>
  <c r="G207" i="6"/>
  <c r="X207" i="6"/>
  <c r="J207" i="6"/>
  <c r="K207" i="6"/>
  <c r="AL207" i="6" l="1"/>
  <c r="N225" i="16"/>
  <c r="O225" i="16" s="1"/>
  <c r="P225" i="16" s="1"/>
  <c r="G227" i="16"/>
  <c r="H226" i="16"/>
  <c r="I226" i="16" s="1"/>
  <c r="K226" i="16" s="1"/>
  <c r="M226" i="16" s="1"/>
  <c r="N226" i="16" s="1"/>
  <c r="B229" i="16"/>
  <c r="A230" i="16"/>
  <c r="L229" i="16"/>
  <c r="H227" i="16"/>
  <c r="I227" i="16" s="1"/>
  <c r="K227" i="16" s="1"/>
  <c r="M227" i="16" s="1"/>
  <c r="F228" i="16"/>
  <c r="E228" i="16"/>
  <c r="D228" i="16"/>
  <c r="O208" i="6"/>
  <c r="B209" i="6"/>
  <c r="Z209" i="6" s="1"/>
  <c r="A210" i="6"/>
  <c r="U208" i="6"/>
  <c r="H208" i="6"/>
  <c r="J208" i="6"/>
  <c r="K208" i="6"/>
  <c r="W208" i="6"/>
  <c r="AM208" i="6" s="1"/>
  <c r="T208" i="6"/>
  <c r="G208" i="6"/>
  <c r="X208" i="6"/>
  <c r="AL208" i="6" l="1"/>
  <c r="N227" i="16"/>
  <c r="O227" i="16" s="1"/>
  <c r="P227" i="16" s="1"/>
  <c r="O226" i="16"/>
  <c r="P226" i="16"/>
  <c r="G228" i="16"/>
  <c r="H228" i="16" s="1"/>
  <c r="B230" i="16"/>
  <c r="L230" i="16"/>
  <c r="A231" i="16"/>
  <c r="F229" i="16"/>
  <c r="E229" i="16"/>
  <c r="D229" i="16"/>
  <c r="O209" i="6"/>
  <c r="A211" i="6"/>
  <c r="B210" i="6"/>
  <c r="Z210" i="6" s="1"/>
  <c r="U209" i="6"/>
  <c r="W209" i="6"/>
  <c r="AM209" i="6" s="1"/>
  <c r="H209" i="6"/>
  <c r="J209" i="6"/>
  <c r="T209" i="6"/>
  <c r="G209" i="6"/>
  <c r="X209" i="6"/>
  <c r="K209" i="6"/>
  <c r="AL209" i="6" l="1"/>
  <c r="I228" i="16"/>
  <c r="K228" i="16" s="1"/>
  <c r="M228" i="16" s="1"/>
  <c r="F230" i="16"/>
  <c r="E230" i="16"/>
  <c r="D230" i="16"/>
  <c r="G229" i="16"/>
  <c r="B231" i="16"/>
  <c r="A232" i="16"/>
  <c r="L231" i="16"/>
  <c r="O210" i="6"/>
  <c r="H210" i="6"/>
  <c r="U210" i="6"/>
  <c r="J210" i="6"/>
  <c r="K210" i="6"/>
  <c r="T210" i="6"/>
  <c r="W210" i="6"/>
  <c r="AM210" i="6" s="1"/>
  <c r="G210" i="6"/>
  <c r="X210" i="6"/>
  <c r="A212" i="6"/>
  <c r="B211" i="6"/>
  <c r="Z211" i="6" s="1"/>
  <c r="AL210" i="6" l="1"/>
  <c r="N228" i="16"/>
  <c r="O228" i="16" s="1"/>
  <c r="P228" i="16" s="1"/>
  <c r="G230" i="16"/>
  <c r="H230" i="16" s="1"/>
  <c r="I230" i="16" s="1"/>
  <c r="K230" i="16" s="1"/>
  <c r="M230" i="16" s="1"/>
  <c r="B232" i="16"/>
  <c r="A233" i="16"/>
  <c r="L232" i="16"/>
  <c r="H229" i="16"/>
  <c r="I229" i="16" s="1"/>
  <c r="K229" i="16" s="1"/>
  <c r="M229" i="16" s="1"/>
  <c r="F231" i="16"/>
  <c r="E231" i="16"/>
  <c r="D231" i="16"/>
  <c r="O211" i="6"/>
  <c r="A213" i="6"/>
  <c r="B212" i="6"/>
  <c r="Z212" i="6" s="1"/>
  <c r="U211" i="6"/>
  <c r="W211" i="6"/>
  <c r="AM211" i="6" s="1"/>
  <c r="H211" i="6"/>
  <c r="T211" i="6"/>
  <c r="G211" i="6"/>
  <c r="X211" i="6"/>
  <c r="J211" i="6"/>
  <c r="K211" i="6"/>
  <c r="AL211" i="6" l="1"/>
  <c r="N229" i="16"/>
  <c r="O229" i="16" s="1"/>
  <c r="P229" i="16" s="1"/>
  <c r="N230" i="16"/>
  <c r="O230" i="16" s="1"/>
  <c r="P230" i="16" s="1"/>
  <c r="G231" i="16"/>
  <c r="H231" i="16" s="1"/>
  <c r="I231" i="16" s="1"/>
  <c r="K231" i="16" s="1"/>
  <c r="M231" i="16" s="1"/>
  <c r="F232" i="16"/>
  <c r="E232" i="16"/>
  <c r="D232" i="16"/>
  <c r="B233" i="16"/>
  <c r="A234" i="16"/>
  <c r="L233" i="16"/>
  <c r="O212" i="6"/>
  <c r="AL212" i="6" s="1"/>
  <c r="H212" i="6"/>
  <c r="U212" i="6"/>
  <c r="J212" i="6"/>
  <c r="K212" i="6"/>
  <c r="W212" i="6"/>
  <c r="AM212" i="6" s="1"/>
  <c r="T212" i="6"/>
  <c r="G212" i="6"/>
  <c r="X212" i="6"/>
  <c r="B213" i="6"/>
  <c r="Z213" i="6" s="1"/>
  <c r="A214" i="6"/>
  <c r="N231" i="16" l="1"/>
  <c r="O231" i="16" s="1"/>
  <c r="P231" i="16" s="1"/>
  <c r="F233" i="16"/>
  <c r="E233" i="16"/>
  <c r="D233" i="16"/>
  <c r="G232" i="16"/>
  <c r="B234" i="16"/>
  <c r="L234" i="16"/>
  <c r="A235" i="16"/>
  <c r="O213" i="6"/>
  <c r="B214" i="6"/>
  <c r="Z214" i="6" s="1"/>
  <c r="A215" i="6"/>
  <c r="U213" i="6"/>
  <c r="W213" i="6"/>
  <c r="AM213" i="6" s="1"/>
  <c r="H213" i="6"/>
  <c r="J213" i="6"/>
  <c r="T213" i="6"/>
  <c r="G213" i="6"/>
  <c r="X213" i="6"/>
  <c r="K213" i="6"/>
  <c r="AL213" i="6" l="1"/>
  <c r="G233" i="16"/>
  <c r="H233" i="16" s="1"/>
  <c r="I233" i="16" s="1"/>
  <c r="K233" i="16" s="1"/>
  <c r="M233" i="16" s="1"/>
  <c r="N233" i="16" s="1"/>
  <c r="B235" i="16"/>
  <c r="A236" i="16"/>
  <c r="L235" i="16"/>
  <c r="H232" i="16"/>
  <c r="I232" i="16" s="1"/>
  <c r="K232" i="16" s="1"/>
  <c r="M232" i="16" s="1"/>
  <c r="E234" i="16"/>
  <c r="F234" i="16"/>
  <c r="D234" i="16"/>
  <c r="O214" i="6"/>
  <c r="B215" i="6"/>
  <c r="Z215" i="6" s="1"/>
  <c r="A216" i="6"/>
  <c r="U214" i="6"/>
  <c r="H214" i="6"/>
  <c r="J214" i="6"/>
  <c r="K214" i="6"/>
  <c r="T214" i="6"/>
  <c r="W214" i="6"/>
  <c r="AM214" i="6" s="1"/>
  <c r="G214" i="6"/>
  <c r="X214" i="6"/>
  <c r="AL214" i="6" l="1"/>
  <c r="N232" i="16"/>
  <c r="O232" i="16" s="1"/>
  <c r="P232" i="16" s="1"/>
  <c r="O233" i="16"/>
  <c r="P233" i="16" s="1"/>
  <c r="E235" i="16"/>
  <c r="F235" i="16"/>
  <c r="D235" i="16"/>
  <c r="G234" i="16"/>
  <c r="B236" i="16"/>
  <c r="L236" i="16"/>
  <c r="A237" i="16"/>
  <c r="O215" i="6"/>
  <c r="B216" i="6"/>
  <c r="Z216" i="6" s="1"/>
  <c r="A217" i="6"/>
  <c r="U215" i="6"/>
  <c r="W215" i="6"/>
  <c r="AM215" i="6" s="1"/>
  <c r="H215" i="6"/>
  <c r="T215" i="6"/>
  <c r="G215" i="6"/>
  <c r="X215" i="6"/>
  <c r="J215" i="6"/>
  <c r="K215" i="6"/>
  <c r="AL215" i="6" l="1"/>
  <c r="F236" i="16"/>
  <c r="E236" i="16"/>
  <c r="D236" i="16"/>
  <c r="G235" i="16"/>
  <c r="H234" i="16"/>
  <c r="I234" i="16" s="1"/>
  <c r="K234" i="16" s="1"/>
  <c r="M234" i="16" s="1"/>
  <c r="N234" i="16" s="1"/>
  <c r="B237" i="16"/>
  <c r="L237" i="16"/>
  <c r="A238" i="16"/>
  <c r="O216" i="6"/>
  <c r="B217" i="6"/>
  <c r="Z217" i="6" s="1"/>
  <c r="A218" i="6"/>
  <c r="U216" i="6"/>
  <c r="H216" i="6"/>
  <c r="J216" i="6"/>
  <c r="K216" i="6"/>
  <c r="W216" i="6"/>
  <c r="AM216" i="6" s="1"/>
  <c r="T216" i="6"/>
  <c r="G216" i="6"/>
  <c r="X216" i="6"/>
  <c r="AL216" i="6" l="1"/>
  <c r="O234" i="16"/>
  <c r="P234" i="16" s="1"/>
  <c r="G236" i="16"/>
  <c r="H236" i="16" s="1"/>
  <c r="I236" i="16" s="1"/>
  <c r="K236" i="16" s="1"/>
  <c r="M236" i="16" s="1"/>
  <c r="E237" i="16"/>
  <c r="F237" i="16"/>
  <c r="D237" i="16"/>
  <c r="B238" i="16"/>
  <c r="A239" i="16"/>
  <c r="L238" i="16"/>
  <c r="H235" i="16"/>
  <c r="I235" i="16" s="1"/>
  <c r="K235" i="16" s="1"/>
  <c r="M235" i="16" s="1"/>
  <c r="O217" i="6"/>
  <c r="B218" i="6"/>
  <c r="Z218" i="6" s="1"/>
  <c r="A219" i="6"/>
  <c r="U217" i="6"/>
  <c r="W217" i="6"/>
  <c r="AM217" i="6" s="1"/>
  <c r="H217" i="6"/>
  <c r="J217" i="6"/>
  <c r="T217" i="6"/>
  <c r="G217" i="6"/>
  <c r="X217" i="6"/>
  <c r="K217" i="6"/>
  <c r="AL217" i="6" l="1"/>
  <c r="N236" i="16"/>
  <c r="O236" i="16" s="1"/>
  <c r="P236" i="16" s="1"/>
  <c r="N235" i="16"/>
  <c r="O235" i="16" s="1"/>
  <c r="P235" i="16" s="1"/>
  <c r="B239" i="16"/>
  <c r="A240" i="16"/>
  <c r="L239" i="16"/>
  <c r="F238" i="16"/>
  <c r="E238" i="16"/>
  <c r="D238" i="16"/>
  <c r="G237" i="16"/>
  <c r="O218" i="6"/>
  <c r="B219" i="6"/>
  <c r="Z219" i="6" s="1"/>
  <c r="A220" i="6"/>
  <c r="U218" i="6"/>
  <c r="H218" i="6"/>
  <c r="J218" i="6"/>
  <c r="K218" i="6"/>
  <c r="T218" i="6"/>
  <c r="W218" i="6"/>
  <c r="AM218" i="6" s="1"/>
  <c r="G218" i="6"/>
  <c r="X218" i="6"/>
  <c r="AL218" i="6" l="1"/>
  <c r="B240" i="16"/>
  <c r="A241" i="16"/>
  <c r="L240" i="16"/>
  <c r="H237" i="16"/>
  <c r="I237" i="16" s="1"/>
  <c r="K237" i="16" s="1"/>
  <c r="M237" i="16" s="1"/>
  <c r="G238" i="16"/>
  <c r="F239" i="16"/>
  <c r="E239" i="16"/>
  <c r="D239" i="16"/>
  <c r="O219" i="6"/>
  <c r="B220" i="6"/>
  <c r="Z220" i="6" s="1"/>
  <c r="A221" i="6"/>
  <c r="B221" i="6" s="1"/>
  <c r="Z221" i="6" s="1"/>
  <c r="U219" i="6"/>
  <c r="W219" i="6"/>
  <c r="AM219" i="6" s="1"/>
  <c r="H219" i="6"/>
  <c r="T219" i="6"/>
  <c r="G219" i="6"/>
  <c r="X219" i="6"/>
  <c r="J219" i="6"/>
  <c r="K219" i="6"/>
  <c r="AL219" i="6" l="1"/>
  <c r="N237" i="16"/>
  <c r="O237" i="16" s="1"/>
  <c r="P237" i="16" s="1"/>
  <c r="G239" i="16"/>
  <c r="B241" i="16"/>
  <c r="A242" i="16"/>
  <c r="L241" i="16"/>
  <c r="H238" i="16"/>
  <c r="I238" i="16" s="1"/>
  <c r="K238" i="16" s="1"/>
  <c r="M238" i="16" s="1"/>
  <c r="F240" i="16"/>
  <c r="E240" i="16"/>
  <c r="D240" i="16"/>
  <c r="O221" i="6"/>
  <c r="O220" i="6"/>
  <c r="AL220" i="6" s="1"/>
  <c r="U221" i="6"/>
  <c r="W221" i="6"/>
  <c r="AM221" i="6" s="1"/>
  <c r="H221" i="6"/>
  <c r="J221" i="6"/>
  <c r="T221" i="6"/>
  <c r="G221" i="6"/>
  <c r="X221" i="6"/>
  <c r="K221" i="6"/>
  <c r="U220" i="6"/>
  <c r="H220" i="6"/>
  <c r="J220" i="6"/>
  <c r="K220" i="6"/>
  <c r="W220" i="6"/>
  <c r="AM220" i="6" s="1"/>
  <c r="T220" i="6"/>
  <c r="G220" i="6"/>
  <c r="X220" i="6"/>
  <c r="AL221" i="6" l="1"/>
  <c r="N238" i="16"/>
  <c r="O238" i="16" s="1"/>
  <c r="P238" i="16" s="1"/>
  <c r="B242" i="16"/>
  <c r="A243" i="16"/>
  <c r="L242" i="16"/>
  <c r="F241" i="16"/>
  <c r="E241" i="16"/>
  <c r="D241" i="16"/>
  <c r="G240" i="16"/>
  <c r="H239" i="16"/>
  <c r="I239" i="16" s="1"/>
  <c r="K239" i="16" s="1"/>
  <c r="M239" i="16" s="1"/>
  <c r="B30" i="2"/>
  <c r="B32" i="2" s="1"/>
  <c r="N239" i="16" l="1"/>
  <c r="O239" i="16" s="1"/>
  <c r="P239" i="16" s="1"/>
  <c r="G241" i="16"/>
  <c r="H241" i="16" s="1"/>
  <c r="I241" i="16" s="1"/>
  <c r="K241" i="16" s="1"/>
  <c r="M241" i="16" s="1"/>
  <c r="H240" i="16"/>
  <c r="I240" i="16" s="1"/>
  <c r="K240" i="16" s="1"/>
  <c r="M240" i="16" s="1"/>
  <c r="F242" i="16"/>
  <c r="E242" i="16"/>
  <c r="D242" i="16"/>
  <c r="B243" i="16"/>
  <c r="L243" i="16"/>
  <c r="A244" i="16"/>
  <c r="B74" i="1"/>
  <c r="B31" i="2"/>
  <c r="B75" i="1"/>
  <c r="N241" i="16" l="1"/>
  <c r="O241" i="16" s="1"/>
  <c r="P241" i="16" s="1"/>
  <c r="N240" i="16"/>
  <c r="O240" i="16" s="1"/>
  <c r="P240" i="16" s="1"/>
  <c r="E243" i="16"/>
  <c r="F243" i="16"/>
  <c r="D243" i="16"/>
  <c r="B244" i="16"/>
  <c r="L244" i="16"/>
  <c r="A245" i="16"/>
  <c r="G242" i="16"/>
  <c r="B73" i="1"/>
  <c r="B245" i="16" l="1"/>
  <c r="A246" i="16"/>
  <c r="L245" i="16"/>
  <c r="G243" i="16"/>
  <c r="H242" i="16"/>
  <c r="I242" i="16" s="1"/>
  <c r="K242" i="16" s="1"/>
  <c r="M242" i="16" s="1"/>
  <c r="F244" i="16"/>
  <c r="E244" i="16"/>
  <c r="D244" i="16"/>
  <c r="N242" i="16" l="1"/>
  <c r="O242" i="16" s="1"/>
  <c r="P242" i="16" s="1"/>
  <c r="G244" i="16"/>
  <c r="H244" i="16" s="1"/>
  <c r="I244" i="16" s="1"/>
  <c r="K244" i="16" s="1"/>
  <c r="M244" i="16" s="1"/>
  <c r="B246" i="16"/>
  <c r="A247" i="16"/>
  <c r="L246" i="16"/>
  <c r="H243" i="16"/>
  <c r="I243" i="16" s="1"/>
  <c r="K243" i="16" s="1"/>
  <c r="M243" i="16" s="1"/>
  <c r="F245" i="16"/>
  <c r="E245" i="16"/>
  <c r="D245" i="16"/>
  <c r="B22" i="6"/>
  <c r="B58" i="6" s="1"/>
  <c r="B75" i="6" s="1"/>
  <c r="B63" i="6"/>
  <c r="N244" i="16" l="1"/>
  <c r="O244" i="16" s="1"/>
  <c r="P244" i="16" s="1"/>
  <c r="N243" i="16"/>
  <c r="O243" i="16" s="1"/>
  <c r="P243" i="16" s="1"/>
  <c r="F246" i="16"/>
  <c r="E246" i="16"/>
  <c r="D246" i="16"/>
  <c r="B247" i="16"/>
  <c r="L247" i="16"/>
  <c r="A248" i="16"/>
  <c r="G245" i="16"/>
  <c r="AB97" i="6"/>
  <c r="AB101" i="6"/>
  <c r="AB105" i="6"/>
  <c r="AB109" i="6"/>
  <c r="AB113" i="6"/>
  <c r="AB117" i="6"/>
  <c r="AB121" i="6"/>
  <c r="AB125" i="6"/>
  <c r="AB129" i="6"/>
  <c r="AB133" i="6"/>
  <c r="AB137" i="6"/>
  <c r="AB141" i="6"/>
  <c r="AB145" i="6"/>
  <c r="AB149" i="6"/>
  <c r="AB153" i="6"/>
  <c r="AB157" i="6"/>
  <c r="AB161" i="6"/>
  <c r="AB165" i="6"/>
  <c r="AB169" i="6"/>
  <c r="AB173" i="6"/>
  <c r="AB177" i="6"/>
  <c r="AB181" i="6"/>
  <c r="AB185" i="6"/>
  <c r="AB189" i="6"/>
  <c r="AB193" i="6"/>
  <c r="AB197" i="6"/>
  <c r="AB201" i="6"/>
  <c r="AB205" i="6"/>
  <c r="AB209" i="6"/>
  <c r="AB213" i="6"/>
  <c r="AB217" i="6"/>
  <c r="AB221" i="6"/>
  <c r="AB206" i="6"/>
  <c r="AB218" i="6"/>
  <c r="AB98" i="6"/>
  <c r="AB102" i="6"/>
  <c r="AB106" i="6"/>
  <c r="AB110" i="6"/>
  <c r="AB114" i="6"/>
  <c r="AB118" i="6"/>
  <c r="AB122" i="6"/>
  <c r="AB126" i="6"/>
  <c r="AB130" i="6"/>
  <c r="AB134" i="6"/>
  <c r="AB138" i="6"/>
  <c r="AB142" i="6"/>
  <c r="AB146" i="6"/>
  <c r="AB150" i="6"/>
  <c r="AB154" i="6"/>
  <c r="AB158" i="6"/>
  <c r="AB162" i="6"/>
  <c r="AB166" i="6"/>
  <c r="AB170" i="6"/>
  <c r="AB174" i="6"/>
  <c r="AB178" i="6"/>
  <c r="AB182" i="6"/>
  <c r="AB186" i="6"/>
  <c r="AB190" i="6"/>
  <c r="AB194" i="6"/>
  <c r="AB198" i="6"/>
  <c r="AB202" i="6"/>
  <c r="AB210" i="6"/>
  <c r="AB214" i="6"/>
  <c r="AB95" i="6"/>
  <c r="AB99" i="6"/>
  <c r="AB103" i="6"/>
  <c r="AB107" i="6"/>
  <c r="AB111" i="6"/>
  <c r="AB115" i="6"/>
  <c r="AB119" i="6"/>
  <c r="AB123" i="6"/>
  <c r="AB127" i="6"/>
  <c r="AB131" i="6"/>
  <c r="AB135" i="6"/>
  <c r="AB139" i="6"/>
  <c r="AB143" i="6"/>
  <c r="AB147" i="6"/>
  <c r="AB151" i="6"/>
  <c r="AB155" i="6"/>
  <c r="AB159" i="6"/>
  <c r="AB163" i="6"/>
  <c r="AB167" i="6"/>
  <c r="AB171" i="6"/>
  <c r="AB175" i="6"/>
  <c r="AB179" i="6"/>
  <c r="AB183" i="6"/>
  <c r="AB187" i="6"/>
  <c r="AB191" i="6"/>
  <c r="AB195" i="6"/>
  <c r="AB199" i="6"/>
  <c r="AB203" i="6"/>
  <c r="AB207" i="6"/>
  <c r="AB211" i="6"/>
  <c r="AB215" i="6"/>
  <c r="AB219" i="6"/>
  <c r="AB96" i="6"/>
  <c r="AB100" i="6"/>
  <c r="AB104" i="6"/>
  <c r="AB108" i="6"/>
  <c r="AB112" i="6"/>
  <c r="AB116" i="6"/>
  <c r="AB120" i="6"/>
  <c r="AB124" i="6"/>
  <c r="AB128" i="6"/>
  <c r="AB132" i="6"/>
  <c r="AB136" i="6"/>
  <c r="AB140" i="6"/>
  <c r="AB144" i="6"/>
  <c r="AB148" i="6"/>
  <c r="AB152" i="6"/>
  <c r="AB156" i="6"/>
  <c r="AB160" i="6"/>
  <c r="AB164" i="6"/>
  <c r="AB168" i="6"/>
  <c r="AB172" i="6"/>
  <c r="AB176" i="6"/>
  <c r="AB180" i="6"/>
  <c r="AB184" i="6"/>
  <c r="AB188" i="6"/>
  <c r="AB192" i="6"/>
  <c r="AB196" i="6"/>
  <c r="AB200" i="6"/>
  <c r="AB204" i="6"/>
  <c r="AB208" i="6"/>
  <c r="AB212" i="6"/>
  <c r="AB216" i="6"/>
  <c r="AB220" i="6"/>
  <c r="Q101" i="6"/>
  <c r="Q129" i="6"/>
  <c r="Q145" i="6"/>
  <c r="Q165" i="6"/>
  <c r="Q185" i="6"/>
  <c r="Q201" i="6"/>
  <c r="Q221" i="6"/>
  <c r="Q150" i="6"/>
  <c r="Q174" i="6"/>
  <c r="Q194" i="6"/>
  <c r="Q98" i="6"/>
  <c r="Q102" i="6"/>
  <c r="Q106" i="6"/>
  <c r="Q110" i="6"/>
  <c r="Q114" i="6"/>
  <c r="Q118" i="6"/>
  <c r="Q122" i="6"/>
  <c r="Q126" i="6"/>
  <c r="Q130" i="6"/>
  <c r="Q134" i="6"/>
  <c r="Q138" i="6"/>
  <c r="Q154" i="6"/>
  <c r="Q166" i="6"/>
  <c r="Q182" i="6"/>
  <c r="Q99" i="6"/>
  <c r="Q103" i="6"/>
  <c r="Q107" i="6"/>
  <c r="Q111" i="6"/>
  <c r="Q115" i="6"/>
  <c r="Q119" i="6"/>
  <c r="Q123" i="6"/>
  <c r="Q127" i="6"/>
  <c r="Q131" i="6"/>
  <c r="Q135" i="6"/>
  <c r="Q139" i="6"/>
  <c r="Q143" i="6"/>
  <c r="Q147" i="6"/>
  <c r="Q151" i="6"/>
  <c r="Q155" i="6"/>
  <c r="Q159" i="6"/>
  <c r="Q163" i="6"/>
  <c r="Q167" i="6"/>
  <c r="Q171" i="6"/>
  <c r="Q175" i="6"/>
  <c r="Q179" i="6"/>
  <c r="Q183" i="6"/>
  <c r="Q187" i="6"/>
  <c r="Q191" i="6"/>
  <c r="Q195" i="6"/>
  <c r="Q199" i="6"/>
  <c r="Q203" i="6"/>
  <c r="Q207" i="6"/>
  <c r="Q211" i="6"/>
  <c r="Q215" i="6"/>
  <c r="Q219" i="6"/>
  <c r="Q97" i="6"/>
  <c r="Q109" i="6"/>
  <c r="Q117" i="6"/>
  <c r="Q125" i="6"/>
  <c r="Q137" i="6"/>
  <c r="Q149" i="6"/>
  <c r="Q161" i="6"/>
  <c r="Q173" i="6"/>
  <c r="Q181" i="6"/>
  <c r="Q193" i="6"/>
  <c r="Q209" i="6"/>
  <c r="Q213" i="6"/>
  <c r="Q146" i="6"/>
  <c r="Q162" i="6"/>
  <c r="Q178" i="6"/>
  <c r="Q190" i="6"/>
  <c r="Q96" i="6"/>
  <c r="Q100" i="6"/>
  <c r="Q104" i="6"/>
  <c r="Q108" i="6"/>
  <c r="Q112" i="6"/>
  <c r="Q116" i="6"/>
  <c r="Q120" i="6"/>
  <c r="Q124" i="6"/>
  <c r="Q128" i="6"/>
  <c r="Q132" i="6"/>
  <c r="Q136" i="6"/>
  <c r="Q140" i="6"/>
  <c r="Q144" i="6"/>
  <c r="Q148" i="6"/>
  <c r="Q152" i="6"/>
  <c r="Q156" i="6"/>
  <c r="Q160" i="6"/>
  <c r="Q164" i="6"/>
  <c r="Q168" i="6"/>
  <c r="Q172" i="6"/>
  <c r="Q176" i="6"/>
  <c r="Q180" i="6"/>
  <c r="Q184" i="6"/>
  <c r="Q188" i="6"/>
  <c r="Q192" i="6"/>
  <c r="Q196" i="6"/>
  <c r="Q200" i="6"/>
  <c r="Q204" i="6"/>
  <c r="Q208" i="6"/>
  <c r="Q212" i="6"/>
  <c r="Q216" i="6"/>
  <c r="Q220" i="6"/>
  <c r="Q105" i="6"/>
  <c r="Q113" i="6"/>
  <c r="Q121" i="6"/>
  <c r="Q133" i="6"/>
  <c r="Q141" i="6"/>
  <c r="Q153" i="6"/>
  <c r="Q157" i="6"/>
  <c r="Q169" i="6"/>
  <c r="Q177" i="6"/>
  <c r="Q189" i="6"/>
  <c r="Q197" i="6"/>
  <c r="Q205" i="6"/>
  <c r="Q217" i="6"/>
  <c r="Q142" i="6"/>
  <c r="Q158" i="6"/>
  <c r="Q170" i="6"/>
  <c r="Q186" i="6"/>
  <c r="Q198" i="6"/>
  <c r="Q214" i="6"/>
  <c r="Q95" i="6"/>
  <c r="Q210" i="6"/>
  <c r="Q202" i="6"/>
  <c r="Q218" i="6"/>
  <c r="Q206" i="6"/>
  <c r="B57" i="6"/>
  <c r="B74" i="6" s="1"/>
  <c r="D135" i="6" s="1"/>
  <c r="B56" i="6"/>
  <c r="B73" i="6" s="1"/>
  <c r="E117" i="6" s="1"/>
  <c r="G246" i="16" l="1"/>
  <c r="H246" i="16" s="1"/>
  <c r="I246" i="16" s="1"/>
  <c r="K246" i="16" s="1"/>
  <c r="M246" i="16" s="1"/>
  <c r="N246" i="16" s="1"/>
  <c r="H245" i="16"/>
  <c r="I245" i="16" s="1"/>
  <c r="K245" i="16" s="1"/>
  <c r="M245" i="16" s="1"/>
  <c r="F247" i="16"/>
  <c r="E247" i="16"/>
  <c r="D247" i="16"/>
  <c r="B248" i="16"/>
  <c r="A249" i="16"/>
  <c r="L248" i="16"/>
  <c r="D215" i="6"/>
  <c r="D182" i="6"/>
  <c r="E212" i="6"/>
  <c r="D112" i="6"/>
  <c r="D199" i="6"/>
  <c r="D150" i="6"/>
  <c r="E221" i="6"/>
  <c r="E194" i="6"/>
  <c r="D207" i="6"/>
  <c r="D166" i="6"/>
  <c r="D111" i="6"/>
  <c r="E202" i="6"/>
  <c r="D191" i="6"/>
  <c r="D99" i="6"/>
  <c r="E214" i="6"/>
  <c r="E192" i="6"/>
  <c r="D214" i="6"/>
  <c r="D206" i="6"/>
  <c r="D198" i="6"/>
  <c r="D190" i="6"/>
  <c r="D178" i="6"/>
  <c r="D162" i="6"/>
  <c r="D146" i="6"/>
  <c r="D137" i="6"/>
  <c r="D117" i="6"/>
  <c r="F117" i="6" s="1"/>
  <c r="AF117" i="6" s="1"/>
  <c r="D124" i="6"/>
  <c r="E206" i="6"/>
  <c r="E184" i="6"/>
  <c r="D219" i="6"/>
  <c r="D211" i="6"/>
  <c r="D203" i="6"/>
  <c r="D195" i="6"/>
  <c r="D187" i="6"/>
  <c r="D174" i="6"/>
  <c r="D158" i="6"/>
  <c r="D142" i="6"/>
  <c r="D107" i="6"/>
  <c r="D101" i="6"/>
  <c r="E182" i="6"/>
  <c r="D218" i="6"/>
  <c r="D210" i="6"/>
  <c r="D202" i="6"/>
  <c r="D194" i="6"/>
  <c r="D186" i="6"/>
  <c r="D170" i="6"/>
  <c r="D154" i="6"/>
  <c r="D131" i="6"/>
  <c r="D115" i="6"/>
  <c r="D138" i="6"/>
  <c r="D221" i="6"/>
  <c r="D217" i="6"/>
  <c r="D213" i="6"/>
  <c r="D209" i="6"/>
  <c r="D205" i="6"/>
  <c r="D201" i="6"/>
  <c r="D197" i="6"/>
  <c r="D193" i="6"/>
  <c r="D189" i="6"/>
  <c r="D185" i="6"/>
  <c r="D181" i="6"/>
  <c r="D177" i="6"/>
  <c r="D173" i="6"/>
  <c r="D169" i="6"/>
  <c r="D165" i="6"/>
  <c r="D161" i="6"/>
  <c r="D157" i="6"/>
  <c r="D153" i="6"/>
  <c r="D149" i="6"/>
  <c r="D145" i="6"/>
  <c r="D132" i="6"/>
  <c r="D140" i="6"/>
  <c r="D97" i="6"/>
  <c r="D102" i="6"/>
  <c r="D106" i="6"/>
  <c r="D119" i="6"/>
  <c r="D134" i="6"/>
  <c r="D125" i="6"/>
  <c r="D114" i="6"/>
  <c r="D95" i="6"/>
  <c r="D108" i="6"/>
  <c r="D128" i="6"/>
  <c r="E218" i="6"/>
  <c r="E210" i="6"/>
  <c r="E200" i="6"/>
  <c r="E190" i="6"/>
  <c r="E176" i="6"/>
  <c r="D220" i="6"/>
  <c r="D216" i="6"/>
  <c r="D212" i="6"/>
  <c r="D208" i="6"/>
  <c r="D204" i="6"/>
  <c r="D200" i="6"/>
  <c r="D196" i="6"/>
  <c r="D192" i="6"/>
  <c r="D188" i="6"/>
  <c r="D184" i="6"/>
  <c r="D180" i="6"/>
  <c r="D176" i="6"/>
  <c r="S176" i="6" s="1"/>
  <c r="AG176" i="6" s="1"/>
  <c r="D172" i="6"/>
  <c r="D168" i="6"/>
  <c r="D164" i="6"/>
  <c r="D160" i="6"/>
  <c r="D156" i="6"/>
  <c r="D152" i="6"/>
  <c r="D148" i="6"/>
  <c r="D144" i="6"/>
  <c r="D141" i="6"/>
  <c r="D139" i="6"/>
  <c r="D113" i="6"/>
  <c r="D100" i="6"/>
  <c r="D105" i="6"/>
  <c r="D123" i="6"/>
  <c r="D98" i="6"/>
  <c r="D129" i="6"/>
  <c r="D122" i="6"/>
  <c r="D110" i="6"/>
  <c r="D116" i="6"/>
  <c r="D136" i="6"/>
  <c r="E216" i="6"/>
  <c r="E208" i="6"/>
  <c r="E198" i="6"/>
  <c r="E186" i="6"/>
  <c r="E166" i="6"/>
  <c r="D183" i="6"/>
  <c r="D179" i="6"/>
  <c r="D175" i="6"/>
  <c r="D171" i="6"/>
  <c r="D167" i="6"/>
  <c r="D163" i="6"/>
  <c r="D159" i="6"/>
  <c r="D155" i="6"/>
  <c r="D151" i="6"/>
  <c r="D147" i="6"/>
  <c r="D143" i="6"/>
  <c r="D133" i="6"/>
  <c r="D118" i="6"/>
  <c r="D121" i="6"/>
  <c r="D126" i="6"/>
  <c r="D104" i="6"/>
  <c r="D127" i="6"/>
  <c r="D96" i="6"/>
  <c r="D103" i="6"/>
  <c r="D130" i="6"/>
  <c r="D109" i="6"/>
  <c r="D120" i="6"/>
  <c r="E154" i="6"/>
  <c r="F154" i="6" s="1"/>
  <c r="AF154" i="6" s="1"/>
  <c r="E170" i="6"/>
  <c r="E178" i="6"/>
  <c r="E168" i="6"/>
  <c r="E152" i="6"/>
  <c r="E174" i="6"/>
  <c r="E160" i="6"/>
  <c r="E204" i="6"/>
  <c r="E196" i="6"/>
  <c r="E188" i="6"/>
  <c r="S188" i="6" s="1"/>
  <c r="AG188" i="6" s="1"/>
  <c r="E180" i="6"/>
  <c r="E172" i="6"/>
  <c r="E162" i="6"/>
  <c r="S162" i="6" s="1"/>
  <c r="AG162" i="6" s="1"/>
  <c r="E141" i="6"/>
  <c r="F141" i="6" s="1"/>
  <c r="AF141" i="6" s="1"/>
  <c r="E158" i="6"/>
  <c r="E99" i="6"/>
  <c r="E150" i="6"/>
  <c r="S150" i="6" s="1"/>
  <c r="AG150" i="6" s="1"/>
  <c r="E164" i="6"/>
  <c r="E156" i="6"/>
  <c r="E146" i="6"/>
  <c r="E142" i="6"/>
  <c r="E100" i="6"/>
  <c r="E148" i="6"/>
  <c r="E131" i="6"/>
  <c r="E127" i="6"/>
  <c r="E144" i="6"/>
  <c r="E107" i="6"/>
  <c r="E96" i="6"/>
  <c r="F96" i="6" s="1"/>
  <c r="AF96" i="6" s="1"/>
  <c r="E137" i="6"/>
  <c r="E103" i="6"/>
  <c r="E120" i="6"/>
  <c r="E98" i="6"/>
  <c r="S98" i="6" s="1"/>
  <c r="AG98" i="6" s="1"/>
  <c r="E108" i="6"/>
  <c r="E115" i="6"/>
  <c r="E126" i="6"/>
  <c r="E118" i="6"/>
  <c r="E220" i="6"/>
  <c r="E217" i="6"/>
  <c r="F217" i="6" s="1"/>
  <c r="AF217" i="6" s="1"/>
  <c r="E213" i="6"/>
  <c r="E209" i="6"/>
  <c r="F209" i="6" s="1"/>
  <c r="AF209" i="6" s="1"/>
  <c r="E205" i="6"/>
  <c r="S205" i="6" s="1"/>
  <c r="AG205" i="6" s="1"/>
  <c r="E201" i="6"/>
  <c r="F201" i="6" s="1"/>
  <c r="AF201" i="6" s="1"/>
  <c r="E197" i="6"/>
  <c r="F197" i="6" s="1"/>
  <c r="AF197" i="6" s="1"/>
  <c r="E193" i="6"/>
  <c r="S193" i="6" s="1"/>
  <c r="AG193" i="6" s="1"/>
  <c r="E189" i="6"/>
  <c r="E185" i="6"/>
  <c r="F185" i="6" s="1"/>
  <c r="AF185" i="6" s="1"/>
  <c r="E181" i="6"/>
  <c r="S181" i="6" s="1"/>
  <c r="AG181" i="6" s="1"/>
  <c r="E177" i="6"/>
  <c r="S177" i="6" s="1"/>
  <c r="AG177" i="6" s="1"/>
  <c r="E173" i="6"/>
  <c r="F173" i="6" s="1"/>
  <c r="AF173" i="6" s="1"/>
  <c r="E169" i="6"/>
  <c r="S169" i="6" s="1"/>
  <c r="AG169" i="6" s="1"/>
  <c r="E165" i="6"/>
  <c r="F165" i="6" s="1"/>
  <c r="AF165" i="6" s="1"/>
  <c r="E161" i="6"/>
  <c r="S161" i="6" s="1"/>
  <c r="AG161" i="6" s="1"/>
  <c r="E157" i="6"/>
  <c r="F157" i="6" s="1"/>
  <c r="AF157" i="6" s="1"/>
  <c r="E153" i="6"/>
  <c r="F153" i="6" s="1"/>
  <c r="AF153" i="6" s="1"/>
  <c r="E149" i="6"/>
  <c r="S149" i="6" s="1"/>
  <c r="AG149" i="6" s="1"/>
  <c r="E145" i="6"/>
  <c r="F145" i="6" s="1"/>
  <c r="AF145" i="6" s="1"/>
  <c r="E132" i="6"/>
  <c r="F132" i="6" s="1"/>
  <c r="AF132" i="6" s="1"/>
  <c r="E140" i="6"/>
  <c r="S140" i="6" s="1"/>
  <c r="AG140" i="6" s="1"/>
  <c r="E136" i="6"/>
  <c r="E122" i="6"/>
  <c r="E123" i="6"/>
  <c r="E125" i="6"/>
  <c r="E128" i="6"/>
  <c r="E97" i="6"/>
  <c r="E219" i="6"/>
  <c r="E215" i="6"/>
  <c r="E211" i="6"/>
  <c r="E207" i="6"/>
  <c r="F207" i="6" s="1"/>
  <c r="AF207" i="6" s="1"/>
  <c r="E203" i="6"/>
  <c r="E199" i="6"/>
  <c r="E195" i="6"/>
  <c r="S195" i="6" s="1"/>
  <c r="AG195" i="6" s="1"/>
  <c r="E191" i="6"/>
  <c r="E187" i="6"/>
  <c r="E183" i="6"/>
  <c r="E179" i="6"/>
  <c r="E175" i="6"/>
  <c r="E171" i="6"/>
  <c r="E167" i="6"/>
  <c r="E163" i="6"/>
  <c r="E159" i="6"/>
  <c r="E155" i="6"/>
  <c r="E151" i="6"/>
  <c r="E147" i="6"/>
  <c r="E143" i="6"/>
  <c r="E133" i="6"/>
  <c r="E134" i="6"/>
  <c r="E104" i="6"/>
  <c r="E112" i="6"/>
  <c r="E138" i="6"/>
  <c r="E116" i="6"/>
  <c r="E139" i="6"/>
  <c r="F139" i="6" s="1"/>
  <c r="AF139" i="6" s="1"/>
  <c r="E113" i="6"/>
  <c r="S113" i="6" s="1"/>
  <c r="AG113" i="6" s="1"/>
  <c r="E114" i="6"/>
  <c r="S114" i="6" s="1"/>
  <c r="AG114" i="6" s="1"/>
  <c r="E130" i="6"/>
  <c r="F130" i="6" s="1"/>
  <c r="AF130" i="6" s="1"/>
  <c r="E101" i="6"/>
  <c r="E110" i="6"/>
  <c r="E111" i="6"/>
  <c r="E105" i="6"/>
  <c r="F105" i="6" s="1"/>
  <c r="AF105" i="6" s="1"/>
  <c r="E135" i="6"/>
  <c r="S135" i="6" s="1"/>
  <c r="AG135" i="6" s="1"/>
  <c r="E106" i="6"/>
  <c r="E102" i="6"/>
  <c r="E124" i="6"/>
  <c r="E95" i="6"/>
  <c r="E129" i="6"/>
  <c r="E119" i="6"/>
  <c r="E109" i="6"/>
  <c r="E121" i="6"/>
  <c r="N245" i="16" l="1"/>
  <c r="O245" i="16" s="1"/>
  <c r="P245" i="16" s="1"/>
  <c r="O246" i="16"/>
  <c r="P246" i="16" s="1"/>
  <c r="G247" i="16"/>
  <c r="H247" i="16" s="1"/>
  <c r="B249" i="16"/>
  <c r="A250" i="16"/>
  <c r="L249" i="16"/>
  <c r="F248" i="16"/>
  <c r="E248" i="16"/>
  <c r="D248" i="16"/>
  <c r="F213" i="6"/>
  <c r="AF213" i="6" s="1"/>
  <c r="F176" i="6"/>
  <c r="AF176" i="6" s="1"/>
  <c r="AC135" i="6"/>
  <c r="AC149" i="6"/>
  <c r="AC181" i="6"/>
  <c r="AC140" i="6"/>
  <c r="AC169" i="6"/>
  <c r="AC188" i="6"/>
  <c r="AC195" i="6"/>
  <c r="AC114" i="6"/>
  <c r="AC205" i="6"/>
  <c r="AC150" i="6"/>
  <c r="AC162" i="6"/>
  <c r="AC176" i="6"/>
  <c r="AC113" i="6"/>
  <c r="AC161" i="6"/>
  <c r="AC177" i="6"/>
  <c r="AC193" i="6"/>
  <c r="AC98" i="6"/>
  <c r="F188" i="6"/>
  <c r="AF188" i="6" s="1"/>
  <c r="F119" i="6"/>
  <c r="AF119" i="6" s="1"/>
  <c r="S129" i="6"/>
  <c r="AG129" i="6" s="1"/>
  <c r="F191" i="6"/>
  <c r="AF191" i="6" s="1"/>
  <c r="S121" i="6"/>
  <c r="AG121" i="6" s="1"/>
  <c r="F184" i="6"/>
  <c r="AF184" i="6" s="1"/>
  <c r="S104" i="6"/>
  <c r="AG104" i="6" s="1"/>
  <c r="S156" i="6"/>
  <c r="AG156" i="6" s="1"/>
  <c r="F158" i="6"/>
  <c r="AF158" i="6" s="1"/>
  <c r="S99" i="6"/>
  <c r="AG99" i="6" s="1"/>
  <c r="S117" i="6"/>
  <c r="AG117" i="6" s="1"/>
  <c r="F214" i="6"/>
  <c r="AF214" i="6" s="1"/>
  <c r="S138" i="6"/>
  <c r="AG138" i="6" s="1"/>
  <c r="F187" i="6"/>
  <c r="AF187" i="6" s="1"/>
  <c r="F219" i="6"/>
  <c r="AF219" i="6" s="1"/>
  <c r="S166" i="6"/>
  <c r="AG166" i="6" s="1"/>
  <c r="F189" i="6"/>
  <c r="AF189" i="6" s="1"/>
  <c r="S106" i="6"/>
  <c r="AG106" i="6" s="1"/>
  <c r="S210" i="6"/>
  <c r="AG210" i="6" s="1"/>
  <c r="F182" i="6"/>
  <c r="AF182" i="6" s="1"/>
  <c r="F143" i="6"/>
  <c r="AF143" i="6" s="1"/>
  <c r="F159" i="6"/>
  <c r="AF159" i="6" s="1"/>
  <c r="F175" i="6"/>
  <c r="AF175" i="6" s="1"/>
  <c r="F198" i="6"/>
  <c r="AF198" i="6" s="1"/>
  <c r="S221" i="6"/>
  <c r="AG221" i="6" s="1"/>
  <c r="F170" i="6"/>
  <c r="AF170" i="6" s="1"/>
  <c r="S154" i="6"/>
  <c r="AG154" i="6" s="1"/>
  <c r="F210" i="6"/>
  <c r="AF210" i="6" s="1"/>
  <c r="F124" i="6"/>
  <c r="AF124" i="6" s="1"/>
  <c r="F101" i="6"/>
  <c r="AF101" i="6" s="1"/>
  <c r="S211" i="6"/>
  <c r="AG211" i="6" s="1"/>
  <c r="F107" i="6"/>
  <c r="AF107" i="6" s="1"/>
  <c r="F199" i="6"/>
  <c r="AF199" i="6" s="1"/>
  <c r="F215" i="6"/>
  <c r="AF215" i="6" s="1"/>
  <c r="S174" i="6"/>
  <c r="AG174" i="6" s="1"/>
  <c r="F166" i="6"/>
  <c r="AF166" i="6" s="1"/>
  <c r="S182" i="6"/>
  <c r="AG182" i="6" s="1"/>
  <c r="S206" i="6"/>
  <c r="AG206" i="6" s="1"/>
  <c r="S214" i="6"/>
  <c r="AG214" i="6" s="1"/>
  <c r="S202" i="6"/>
  <c r="AG202" i="6" s="1"/>
  <c r="F221" i="6"/>
  <c r="AF221" i="6" s="1"/>
  <c r="F206" i="6"/>
  <c r="AF206" i="6" s="1"/>
  <c r="S111" i="6"/>
  <c r="AG111" i="6" s="1"/>
  <c r="F136" i="6"/>
  <c r="AF136" i="6" s="1"/>
  <c r="F178" i="6"/>
  <c r="AF178" i="6" s="1"/>
  <c r="S126" i="6"/>
  <c r="AG126" i="6" s="1"/>
  <c r="F160" i="6"/>
  <c r="AF160" i="6" s="1"/>
  <c r="S208" i="6"/>
  <c r="AG208" i="6" s="1"/>
  <c r="F186" i="6"/>
  <c r="AF186" i="6" s="1"/>
  <c r="F218" i="6"/>
  <c r="AF218" i="6" s="1"/>
  <c r="F192" i="6"/>
  <c r="AF192" i="6" s="1"/>
  <c r="F202" i="6"/>
  <c r="AF202" i="6" s="1"/>
  <c r="S200" i="6"/>
  <c r="AG200" i="6" s="1"/>
  <c r="S192" i="6"/>
  <c r="AG192" i="6" s="1"/>
  <c r="S112" i="6"/>
  <c r="AG112" i="6" s="1"/>
  <c r="S212" i="6"/>
  <c r="AG212" i="6" s="1"/>
  <c r="S141" i="6"/>
  <c r="AG141" i="6" s="1"/>
  <c r="S218" i="6"/>
  <c r="AG218" i="6" s="1"/>
  <c r="F103" i="6"/>
  <c r="AF103" i="6" s="1"/>
  <c r="S144" i="6"/>
  <c r="AG144" i="6" s="1"/>
  <c r="F100" i="6"/>
  <c r="AF100" i="6" s="1"/>
  <c r="F174" i="6"/>
  <c r="AF174" i="6" s="1"/>
  <c r="S170" i="6"/>
  <c r="AG170" i="6" s="1"/>
  <c r="S216" i="6"/>
  <c r="AG216" i="6" s="1"/>
  <c r="F190" i="6"/>
  <c r="AF190" i="6" s="1"/>
  <c r="S194" i="6"/>
  <c r="AG194" i="6" s="1"/>
  <c r="F194" i="6"/>
  <c r="AF194" i="6" s="1"/>
  <c r="S160" i="6"/>
  <c r="AG160" i="6" s="1"/>
  <c r="S184" i="6"/>
  <c r="AG184" i="6" s="1"/>
  <c r="F216" i="6"/>
  <c r="AF216" i="6" s="1"/>
  <c r="F200" i="6"/>
  <c r="AF200" i="6" s="1"/>
  <c r="F134" i="6"/>
  <c r="AF134" i="6" s="1"/>
  <c r="F167" i="6"/>
  <c r="AF167" i="6" s="1"/>
  <c r="F115" i="6"/>
  <c r="AF115" i="6" s="1"/>
  <c r="F208" i="6"/>
  <c r="AF208" i="6" s="1"/>
  <c r="F133" i="6"/>
  <c r="AF133" i="6" s="1"/>
  <c r="S155" i="6"/>
  <c r="AG155" i="6" s="1"/>
  <c r="S171" i="6"/>
  <c r="AG171" i="6" s="1"/>
  <c r="S203" i="6"/>
  <c r="AG203" i="6" s="1"/>
  <c r="F123" i="6"/>
  <c r="AF123" i="6" s="1"/>
  <c r="S220" i="6"/>
  <c r="AG220" i="6" s="1"/>
  <c r="F108" i="6"/>
  <c r="AF108" i="6" s="1"/>
  <c r="F137" i="6"/>
  <c r="AF137" i="6" s="1"/>
  <c r="S127" i="6"/>
  <c r="AG127" i="6" s="1"/>
  <c r="S142" i="6"/>
  <c r="AG142" i="6" s="1"/>
  <c r="S152" i="6"/>
  <c r="AG152" i="6" s="1"/>
  <c r="S178" i="6"/>
  <c r="AG178" i="6" s="1"/>
  <c r="S186" i="6"/>
  <c r="AG186" i="6" s="1"/>
  <c r="S107" i="6"/>
  <c r="AG107" i="6" s="1"/>
  <c r="F151" i="6"/>
  <c r="AF151" i="6" s="1"/>
  <c r="F183" i="6"/>
  <c r="AF183" i="6" s="1"/>
  <c r="F156" i="6"/>
  <c r="AF156" i="6" s="1"/>
  <c r="S158" i="6"/>
  <c r="AG158" i="6" s="1"/>
  <c r="S109" i="6"/>
  <c r="AG109" i="6" s="1"/>
  <c r="S95" i="6"/>
  <c r="AG95" i="6" s="1"/>
  <c r="S110" i="6"/>
  <c r="AG110" i="6" s="1"/>
  <c r="S97" i="6"/>
  <c r="AG97" i="6" s="1"/>
  <c r="S122" i="6"/>
  <c r="AG122" i="6" s="1"/>
  <c r="S118" i="6"/>
  <c r="AG118" i="6" s="1"/>
  <c r="S131" i="6"/>
  <c r="AG131" i="6" s="1"/>
  <c r="S146" i="6"/>
  <c r="AG146" i="6" s="1"/>
  <c r="S172" i="6"/>
  <c r="AG172" i="6" s="1"/>
  <c r="S204" i="6"/>
  <c r="AG204" i="6" s="1"/>
  <c r="F168" i="6"/>
  <c r="AF168" i="6" s="1"/>
  <c r="S198" i="6"/>
  <c r="AG198" i="6" s="1"/>
  <c r="S190" i="6"/>
  <c r="AG190" i="6" s="1"/>
  <c r="F212" i="6"/>
  <c r="AF212" i="6" s="1"/>
  <c r="F147" i="6"/>
  <c r="AF147" i="6" s="1"/>
  <c r="S163" i="6"/>
  <c r="AG163" i="6" s="1"/>
  <c r="S179" i="6"/>
  <c r="AG179" i="6" s="1"/>
  <c r="S128" i="6"/>
  <c r="AG128" i="6" s="1"/>
  <c r="F120" i="6"/>
  <c r="AF120" i="6" s="1"/>
  <c r="S148" i="6"/>
  <c r="AG148" i="6" s="1"/>
  <c r="F180" i="6"/>
  <c r="AF180" i="6" s="1"/>
  <c r="F102" i="6"/>
  <c r="AF102" i="6" s="1"/>
  <c r="S116" i="6"/>
  <c r="AG116" i="6" s="1"/>
  <c r="F125" i="6"/>
  <c r="AF125" i="6" s="1"/>
  <c r="F164" i="6"/>
  <c r="AF164" i="6" s="1"/>
  <c r="F196" i="6"/>
  <c r="AF196" i="6" s="1"/>
  <c r="F161" i="6"/>
  <c r="AF161" i="6" s="1"/>
  <c r="S168" i="6"/>
  <c r="AG168" i="6" s="1"/>
  <c r="F131" i="6"/>
  <c r="AF131" i="6" s="1"/>
  <c r="F172" i="6"/>
  <c r="AF172" i="6" s="1"/>
  <c r="F99" i="6"/>
  <c r="AF99" i="6" s="1"/>
  <c r="S196" i="6"/>
  <c r="AG196" i="6" s="1"/>
  <c r="S96" i="6"/>
  <c r="AG96" i="6" s="1"/>
  <c r="F150" i="6"/>
  <c r="AF150" i="6" s="1"/>
  <c r="F204" i="6"/>
  <c r="AF204" i="6" s="1"/>
  <c r="F162" i="6"/>
  <c r="AF162" i="6" s="1"/>
  <c r="S180" i="6"/>
  <c r="AG180" i="6" s="1"/>
  <c r="F169" i="6"/>
  <c r="AF169" i="6" s="1"/>
  <c r="S134" i="6"/>
  <c r="AG134" i="6" s="1"/>
  <c r="S201" i="6"/>
  <c r="AG201" i="6" s="1"/>
  <c r="F152" i="6"/>
  <c r="AF152" i="6" s="1"/>
  <c r="S153" i="6"/>
  <c r="AG153" i="6" s="1"/>
  <c r="F148" i="6"/>
  <c r="AF148" i="6" s="1"/>
  <c r="S120" i="6"/>
  <c r="AG120" i="6" s="1"/>
  <c r="S100" i="6"/>
  <c r="AG100" i="6" s="1"/>
  <c r="F140" i="6"/>
  <c r="AF140" i="6" s="1"/>
  <c r="S185" i="6"/>
  <c r="AG185" i="6" s="1"/>
  <c r="S183" i="6"/>
  <c r="AG183" i="6" s="1"/>
  <c r="S164" i="6"/>
  <c r="AG164" i="6" s="1"/>
  <c r="S215" i="6"/>
  <c r="AG215" i="6" s="1"/>
  <c r="F114" i="6"/>
  <c r="AF114" i="6" s="1"/>
  <c r="S217" i="6"/>
  <c r="AG217" i="6" s="1"/>
  <c r="F146" i="6"/>
  <c r="AF146" i="6" s="1"/>
  <c r="F127" i="6"/>
  <c r="AF127" i="6" s="1"/>
  <c r="F142" i="6"/>
  <c r="AF142" i="6" s="1"/>
  <c r="S159" i="6"/>
  <c r="AG159" i="6" s="1"/>
  <c r="F95" i="6"/>
  <c r="AF95" i="6" s="1"/>
  <c r="F106" i="6"/>
  <c r="AF106" i="6" s="1"/>
  <c r="F116" i="6"/>
  <c r="AF116" i="6" s="1"/>
  <c r="S115" i="6"/>
  <c r="AG115" i="6" s="1"/>
  <c r="S103" i="6"/>
  <c r="AG103" i="6" s="1"/>
  <c r="S167" i="6"/>
  <c r="AG167" i="6" s="1"/>
  <c r="S199" i="6"/>
  <c r="AG199" i="6" s="1"/>
  <c r="F144" i="6"/>
  <c r="AF144" i="6" s="1"/>
  <c r="S151" i="6"/>
  <c r="AG151" i="6" s="1"/>
  <c r="S125" i="6"/>
  <c r="AG125" i="6" s="1"/>
  <c r="F98" i="6"/>
  <c r="AF98" i="6" s="1"/>
  <c r="S143" i="6"/>
  <c r="AG143" i="6" s="1"/>
  <c r="S207" i="6"/>
  <c r="AG207" i="6" s="1"/>
  <c r="S145" i="6"/>
  <c r="AG145" i="6" s="1"/>
  <c r="S191" i="6"/>
  <c r="AG191" i="6" s="1"/>
  <c r="S175" i="6"/>
  <c r="AG175" i="6" s="1"/>
  <c r="F122" i="6"/>
  <c r="AF122" i="6" s="1"/>
  <c r="S137" i="6"/>
  <c r="AG137" i="6" s="1"/>
  <c r="F111" i="6"/>
  <c r="AF111" i="6" s="1"/>
  <c r="S132" i="6"/>
  <c r="AG132" i="6" s="1"/>
  <c r="S157" i="6"/>
  <c r="AG157" i="6" s="1"/>
  <c r="S173" i="6"/>
  <c r="AG173" i="6" s="1"/>
  <c r="F113" i="6"/>
  <c r="AF113" i="6" s="1"/>
  <c r="S108" i="6"/>
  <c r="AG108" i="6" s="1"/>
  <c r="S123" i="6"/>
  <c r="AG123" i="6" s="1"/>
  <c r="F138" i="6"/>
  <c r="AF138" i="6" s="1"/>
  <c r="F193" i="6"/>
  <c r="AF193" i="6" s="1"/>
  <c r="F118" i="6"/>
  <c r="AF118" i="6" s="1"/>
  <c r="F110" i="6"/>
  <c r="AF110" i="6" s="1"/>
  <c r="F177" i="6"/>
  <c r="AF177" i="6" s="1"/>
  <c r="F97" i="6"/>
  <c r="AF97" i="6" s="1"/>
  <c r="S209" i="6"/>
  <c r="AG209" i="6" s="1"/>
  <c r="F112" i="6"/>
  <c r="AF112" i="6" s="1"/>
  <c r="S101" i="6"/>
  <c r="AG101" i="6" s="1"/>
  <c r="F126" i="6"/>
  <c r="AF126" i="6" s="1"/>
  <c r="S197" i="6"/>
  <c r="AG197" i="6" s="1"/>
  <c r="S136" i="6"/>
  <c r="AG136" i="6" s="1"/>
  <c r="F179" i="6"/>
  <c r="AF179" i="6" s="1"/>
  <c r="S147" i="6"/>
  <c r="AG147" i="6" s="1"/>
  <c r="F149" i="6"/>
  <c r="AF149" i="6" s="1"/>
  <c r="F211" i="6"/>
  <c r="AF211" i="6" s="1"/>
  <c r="F181" i="6"/>
  <c r="AF181" i="6" s="1"/>
  <c r="S213" i="6"/>
  <c r="AG213" i="6" s="1"/>
  <c r="S139" i="6"/>
  <c r="AG139" i="6" s="1"/>
  <c r="F121" i="6"/>
  <c r="AF121" i="6" s="1"/>
  <c r="F163" i="6"/>
  <c r="AF163" i="6" s="1"/>
  <c r="F195" i="6"/>
  <c r="AF195" i="6" s="1"/>
  <c r="S165" i="6"/>
  <c r="AG165" i="6" s="1"/>
  <c r="F104" i="6"/>
  <c r="AF104" i="6" s="1"/>
  <c r="F128" i="6"/>
  <c r="AF128" i="6" s="1"/>
  <c r="S102" i="6"/>
  <c r="AG102" i="6" s="1"/>
  <c r="S133" i="6"/>
  <c r="AG133" i="6" s="1"/>
  <c r="F155" i="6"/>
  <c r="AF155" i="6" s="1"/>
  <c r="F171" i="6"/>
  <c r="AF171" i="6" s="1"/>
  <c r="S187" i="6"/>
  <c r="AG187" i="6" s="1"/>
  <c r="F203" i="6"/>
  <c r="AF203" i="6" s="1"/>
  <c r="S219" i="6"/>
  <c r="AG219" i="6" s="1"/>
  <c r="S189" i="6"/>
  <c r="AG189" i="6" s="1"/>
  <c r="F205" i="6"/>
  <c r="AF205" i="6" s="1"/>
  <c r="F220" i="6"/>
  <c r="AF220" i="6" s="1"/>
  <c r="F109" i="6"/>
  <c r="AF109" i="6" s="1"/>
  <c r="S130" i="6"/>
  <c r="AG130" i="6" s="1"/>
  <c r="F135" i="6"/>
  <c r="AF135" i="6" s="1"/>
  <c r="S124" i="6"/>
  <c r="AG124" i="6" s="1"/>
  <c r="S105" i="6"/>
  <c r="AG105" i="6" s="1"/>
  <c r="F129" i="6"/>
  <c r="AF129" i="6" s="1"/>
  <c r="S119" i="6"/>
  <c r="AG119" i="6" s="1"/>
  <c r="B78" i="6"/>
  <c r="I106" i="6" s="1"/>
  <c r="I247" i="16" l="1"/>
  <c r="K247" i="16" s="1"/>
  <c r="M247" i="16" s="1"/>
  <c r="G248" i="16"/>
  <c r="H248" i="16" s="1"/>
  <c r="I248" i="16" s="1"/>
  <c r="K248" i="16" s="1"/>
  <c r="M248" i="16" s="1"/>
  <c r="B250" i="16"/>
  <c r="L250" i="16"/>
  <c r="A251" i="16"/>
  <c r="F249" i="16"/>
  <c r="E249" i="16"/>
  <c r="D249" i="16"/>
  <c r="AC130" i="6"/>
  <c r="AC136" i="6"/>
  <c r="AC157" i="6"/>
  <c r="AC207" i="6"/>
  <c r="AC164" i="6"/>
  <c r="AC96" i="6"/>
  <c r="AC179" i="6"/>
  <c r="AC190" i="6"/>
  <c r="AC122" i="6"/>
  <c r="AC109" i="6"/>
  <c r="AC152" i="6"/>
  <c r="AC171" i="6"/>
  <c r="AC194" i="6"/>
  <c r="AC218" i="6"/>
  <c r="AC192" i="6"/>
  <c r="AC126" i="6"/>
  <c r="AC206" i="6"/>
  <c r="AC124" i="6"/>
  <c r="AC133" i="6"/>
  <c r="AC165" i="6"/>
  <c r="AC139" i="6"/>
  <c r="AC197" i="6"/>
  <c r="AC209" i="6"/>
  <c r="AC108" i="6"/>
  <c r="AC132" i="6"/>
  <c r="AC175" i="6"/>
  <c r="AC143" i="6"/>
  <c r="AC115" i="6"/>
  <c r="AC159" i="6"/>
  <c r="AC217" i="6"/>
  <c r="AC183" i="6"/>
  <c r="AC120" i="6"/>
  <c r="AC201" i="6"/>
  <c r="AC196" i="6"/>
  <c r="AC168" i="6"/>
  <c r="AC148" i="6"/>
  <c r="AC163" i="6"/>
  <c r="AC198" i="6"/>
  <c r="AC146" i="6"/>
  <c r="AC97" i="6"/>
  <c r="AC158" i="6"/>
  <c r="AC107" i="6"/>
  <c r="AC142" i="6"/>
  <c r="AC220" i="6"/>
  <c r="AC155" i="6"/>
  <c r="AC184" i="6"/>
  <c r="AC141" i="6"/>
  <c r="AC200" i="6"/>
  <c r="AC182" i="6"/>
  <c r="AC221" i="6"/>
  <c r="AC138" i="6"/>
  <c r="AC121" i="6"/>
  <c r="AC189" i="6"/>
  <c r="AC105" i="6"/>
  <c r="AC219" i="6"/>
  <c r="AC123" i="6"/>
  <c r="AC151" i="6"/>
  <c r="AC103" i="6"/>
  <c r="AC100" i="6"/>
  <c r="AC180" i="6"/>
  <c r="AC172" i="6"/>
  <c r="AC106" i="6"/>
  <c r="AC99" i="6"/>
  <c r="AC119" i="6"/>
  <c r="AC187" i="6"/>
  <c r="AC102" i="6"/>
  <c r="AC213" i="6"/>
  <c r="AC147" i="6"/>
  <c r="AC191" i="6"/>
  <c r="AC199" i="6"/>
  <c r="AC185" i="6"/>
  <c r="AC134" i="6"/>
  <c r="AC116" i="6"/>
  <c r="AC131" i="6"/>
  <c r="AC110" i="6"/>
  <c r="AC186" i="6"/>
  <c r="AC127" i="6"/>
  <c r="AC160" i="6"/>
  <c r="AC216" i="6"/>
  <c r="AC144" i="6"/>
  <c r="AC212" i="6"/>
  <c r="AC208" i="6"/>
  <c r="AC202" i="6"/>
  <c r="AC166" i="6"/>
  <c r="AC156" i="6"/>
  <c r="AC101" i="6"/>
  <c r="AC173" i="6"/>
  <c r="AC137" i="6"/>
  <c r="AC145" i="6"/>
  <c r="AC125" i="6"/>
  <c r="AC167" i="6"/>
  <c r="AC215" i="6"/>
  <c r="AC153" i="6"/>
  <c r="AC128" i="6"/>
  <c r="AC204" i="6"/>
  <c r="AC118" i="6"/>
  <c r="AC95" i="6"/>
  <c r="AC178" i="6"/>
  <c r="AC203" i="6"/>
  <c r="AC170" i="6"/>
  <c r="AC112" i="6"/>
  <c r="AC111" i="6"/>
  <c r="AC214" i="6"/>
  <c r="AC174" i="6"/>
  <c r="AC211" i="6"/>
  <c r="AC154" i="6"/>
  <c r="AC210" i="6"/>
  <c r="AC117" i="6"/>
  <c r="AC104" i="6"/>
  <c r="AC129" i="6"/>
  <c r="B59" i="7"/>
  <c r="V151" i="6"/>
  <c r="V175" i="6"/>
  <c r="V143" i="6"/>
  <c r="I206" i="6"/>
  <c r="I96" i="6"/>
  <c r="I172" i="6"/>
  <c r="V135" i="6"/>
  <c r="I135" i="6"/>
  <c r="V147" i="6"/>
  <c r="I195" i="6"/>
  <c r="V189" i="6"/>
  <c r="V183" i="6"/>
  <c r="V199" i="6"/>
  <c r="V167" i="6"/>
  <c r="V130" i="6"/>
  <c r="V109" i="6"/>
  <c r="I198" i="6"/>
  <c r="I166" i="6"/>
  <c r="V129" i="6"/>
  <c r="V114" i="6"/>
  <c r="I196" i="6"/>
  <c r="I164" i="6"/>
  <c r="I126" i="6"/>
  <c r="V101" i="6"/>
  <c r="V125" i="6"/>
  <c r="I102" i="6"/>
  <c r="V141" i="6"/>
  <c r="V179" i="6"/>
  <c r="I157" i="6"/>
  <c r="I207" i="6"/>
  <c r="I104" i="6"/>
  <c r="I174" i="6"/>
  <c r="V142" i="6"/>
  <c r="V204" i="6"/>
  <c r="I132" i="6"/>
  <c r="V113" i="6"/>
  <c r="I163" i="6"/>
  <c r="I203" i="6"/>
  <c r="V103" i="6"/>
  <c r="V220" i="6"/>
  <c r="V215" i="6"/>
  <c r="V191" i="6"/>
  <c r="V159" i="6"/>
  <c r="I120" i="6"/>
  <c r="V136" i="6"/>
  <c r="V190" i="6"/>
  <c r="V158" i="6"/>
  <c r="I119" i="6"/>
  <c r="I221" i="6"/>
  <c r="I188" i="6"/>
  <c r="V156" i="6"/>
  <c r="I124" i="6"/>
  <c r="I177" i="6"/>
  <c r="V201" i="6"/>
  <c r="V121" i="6"/>
  <c r="I171" i="6"/>
  <c r="V211" i="6"/>
  <c r="I123" i="6"/>
  <c r="V127" i="6"/>
  <c r="I215" i="6"/>
  <c r="I183" i="6"/>
  <c r="I151" i="6"/>
  <c r="V119" i="6"/>
  <c r="V214" i="6"/>
  <c r="V182" i="6"/>
  <c r="V150" i="6"/>
  <c r="V111" i="6"/>
  <c r="I212" i="6"/>
  <c r="I180" i="6"/>
  <c r="I148" i="6"/>
  <c r="V104" i="6"/>
  <c r="I185" i="6"/>
  <c r="I138" i="6"/>
  <c r="V165" i="6"/>
  <c r="V197" i="6"/>
  <c r="V134" i="6"/>
  <c r="V117" i="6"/>
  <c r="I159" i="6"/>
  <c r="I191" i="6"/>
  <c r="V221" i="6"/>
  <c r="I213" i="6"/>
  <c r="I205" i="6"/>
  <c r="I197" i="6"/>
  <c r="I189" i="6"/>
  <c r="V181" i="6"/>
  <c r="I173" i="6"/>
  <c r="I165" i="6"/>
  <c r="V157" i="6"/>
  <c r="I149" i="6"/>
  <c r="V132" i="6"/>
  <c r="V138" i="6"/>
  <c r="V120" i="6"/>
  <c r="V98" i="6"/>
  <c r="I134" i="6"/>
  <c r="V96" i="6"/>
  <c r="I220" i="6"/>
  <c r="V212" i="6"/>
  <c r="I204" i="6"/>
  <c r="V196" i="6"/>
  <c r="V188" i="6"/>
  <c r="V180" i="6"/>
  <c r="V172" i="6"/>
  <c r="V164" i="6"/>
  <c r="I156" i="6"/>
  <c r="V148" i="6"/>
  <c r="I133" i="6"/>
  <c r="I127" i="6"/>
  <c r="V115" i="6"/>
  <c r="V95" i="6"/>
  <c r="V137" i="6"/>
  <c r="I137" i="6"/>
  <c r="I218" i="6"/>
  <c r="I210" i="6"/>
  <c r="I202" i="6"/>
  <c r="V194" i="6"/>
  <c r="I186" i="6"/>
  <c r="I178" i="6"/>
  <c r="I170" i="6"/>
  <c r="V162" i="6"/>
  <c r="V154" i="6"/>
  <c r="V146" i="6"/>
  <c r="V131" i="6"/>
  <c r="I116" i="6"/>
  <c r="V123" i="6"/>
  <c r="I112" i="6"/>
  <c r="V102" i="6"/>
  <c r="V112" i="6"/>
  <c r="I209" i="6"/>
  <c r="V217" i="6"/>
  <c r="I161" i="6"/>
  <c r="V107" i="6"/>
  <c r="V116" i="6"/>
  <c r="I155" i="6"/>
  <c r="I187" i="6"/>
  <c r="V219" i="6"/>
  <c r="I114" i="6"/>
  <c r="V133" i="6"/>
  <c r="V173" i="6"/>
  <c r="V205" i="6"/>
  <c r="I110" i="6"/>
  <c r="I130" i="6"/>
  <c r="I167" i="6"/>
  <c r="I199" i="6"/>
  <c r="I219" i="6"/>
  <c r="I211" i="6"/>
  <c r="V203" i="6"/>
  <c r="V195" i="6"/>
  <c r="V187" i="6"/>
  <c r="I179" i="6"/>
  <c r="V171" i="6"/>
  <c r="V163" i="6"/>
  <c r="V155" i="6"/>
  <c r="I147" i="6"/>
  <c r="I141" i="6"/>
  <c r="V122" i="6"/>
  <c r="V124" i="6"/>
  <c r="V105" i="6"/>
  <c r="I105" i="6"/>
  <c r="I107" i="6"/>
  <c r="V218" i="6"/>
  <c r="V210" i="6"/>
  <c r="V202" i="6"/>
  <c r="I194" i="6"/>
  <c r="V186" i="6"/>
  <c r="V178" i="6"/>
  <c r="V170" i="6"/>
  <c r="I162" i="6"/>
  <c r="I154" i="6"/>
  <c r="I146" i="6"/>
  <c r="I140" i="6"/>
  <c r="I122" i="6"/>
  <c r="V128" i="6"/>
  <c r="V97" i="6"/>
  <c r="I97" i="6"/>
  <c r="I99" i="6"/>
  <c r="I216" i="6"/>
  <c r="I208" i="6"/>
  <c r="V200" i="6"/>
  <c r="V192" i="6"/>
  <c r="I184" i="6"/>
  <c r="V176" i="6"/>
  <c r="I168" i="6"/>
  <c r="I160" i="6"/>
  <c r="I152" i="6"/>
  <c r="I144" i="6"/>
  <c r="V139" i="6"/>
  <c r="I128" i="6"/>
  <c r="I115" i="6"/>
  <c r="I103" i="6"/>
  <c r="V100" i="6"/>
  <c r="I113" i="6"/>
  <c r="I125" i="6"/>
  <c r="V193" i="6"/>
  <c r="I131" i="6"/>
  <c r="V106" i="6"/>
  <c r="V149" i="6"/>
  <c r="I181" i="6"/>
  <c r="V213" i="6"/>
  <c r="I95" i="6"/>
  <c r="I143" i="6"/>
  <c r="I175" i="6"/>
  <c r="V207" i="6"/>
  <c r="I217" i="6"/>
  <c r="V209" i="6"/>
  <c r="I201" i="6"/>
  <c r="I193" i="6"/>
  <c r="V185" i="6"/>
  <c r="V177" i="6"/>
  <c r="V169" i="6"/>
  <c r="V161" i="6"/>
  <c r="V153" i="6"/>
  <c r="I145" i="6"/>
  <c r="V140" i="6"/>
  <c r="I121" i="6"/>
  <c r="V118" i="6"/>
  <c r="I98" i="6"/>
  <c r="V99" i="6"/>
  <c r="I100" i="6"/>
  <c r="V216" i="6"/>
  <c r="V208" i="6"/>
  <c r="I200" i="6"/>
  <c r="I192" i="6"/>
  <c r="V184" i="6"/>
  <c r="I176" i="6"/>
  <c r="V168" i="6"/>
  <c r="V160" i="6"/>
  <c r="V152" i="6"/>
  <c r="V144" i="6"/>
  <c r="I139" i="6"/>
  <c r="I117" i="6"/>
  <c r="V126" i="6"/>
  <c r="I111" i="6"/>
  <c r="V108" i="6"/>
  <c r="V110" i="6"/>
  <c r="I214" i="6"/>
  <c r="V206" i="6"/>
  <c r="V198" i="6"/>
  <c r="I190" i="6"/>
  <c r="I182" i="6"/>
  <c r="V174" i="6"/>
  <c r="V166" i="6"/>
  <c r="I158" i="6"/>
  <c r="I150" i="6"/>
  <c r="I142" i="6"/>
  <c r="I129" i="6"/>
  <c r="I118" i="6"/>
  <c r="I101" i="6"/>
  <c r="I109" i="6"/>
  <c r="I136" i="6"/>
  <c r="V145" i="6"/>
  <c r="I153" i="6"/>
  <c r="I108" i="6"/>
  <c r="I169" i="6"/>
  <c r="N248" i="16" l="1"/>
  <c r="O248" i="16" s="1"/>
  <c r="P248" i="16" s="1"/>
  <c r="N247" i="16"/>
  <c r="O247" i="16" s="1"/>
  <c r="P247" i="16" s="1"/>
  <c r="G249" i="16"/>
  <c r="H249" i="16" s="1"/>
  <c r="I249" i="16" s="1"/>
  <c r="K249" i="16" s="1"/>
  <c r="M249" i="16" s="1"/>
  <c r="F250" i="16"/>
  <c r="E250" i="16"/>
  <c r="D250" i="16"/>
  <c r="B251" i="16"/>
  <c r="L251" i="16"/>
  <c r="A252" i="16"/>
  <c r="B64" i="7"/>
  <c r="B37" i="6" s="1"/>
  <c r="B81" i="6" s="1"/>
  <c r="B65" i="7"/>
  <c r="B38" i="6" s="1"/>
  <c r="B82" i="6" s="1"/>
  <c r="L139" i="6" s="1"/>
  <c r="B66" i="7"/>
  <c r="N249" i="16" l="1"/>
  <c r="O249" i="16" s="1"/>
  <c r="P249" i="16" s="1"/>
  <c r="F251" i="16"/>
  <c r="E251" i="16"/>
  <c r="D251" i="16"/>
  <c r="G250" i="16"/>
  <c r="B252" i="16"/>
  <c r="L252" i="16"/>
  <c r="A253" i="16"/>
  <c r="B39" i="6"/>
  <c r="B83" i="6" s="1"/>
  <c r="L135" i="6"/>
  <c r="L194" i="6"/>
  <c r="L215" i="6"/>
  <c r="L178" i="6"/>
  <c r="L175" i="6"/>
  <c r="L146" i="6"/>
  <c r="L210" i="6"/>
  <c r="L104" i="6"/>
  <c r="L120" i="6"/>
  <c r="L136" i="6"/>
  <c r="L152" i="6"/>
  <c r="L168" i="6"/>
  <c r="L184" i="6"/>
  <c r="L200" i="6"/>
  <c r="L216" i="6"/>
  <c r="L143" i="6"/>
  <c r="L97" i="6"/>
  <c r="L113" i="6"/>
  <c r="L129" i="6"/>
  <c r="L145" i="6"/>
  <c r="L161" i="6"/>
  <c r="L177" i="6"/>
  <c r="L193" i="6"/>
  <c r="L209" i="6"/>
  <c r="L111" i="6"/>
  <c r="L151" i="6"/>
  <c r="L191" i="6"/>
  <c r="L102" i="6"/>
  <c r="L118" i="6"/>
  <c r="L134" i="6"/>
  <c r="L150" i="6"/>
  <c r="L166" i="6"/>
  <c r="L182" i="6"/>
  <c r="L198" i="6"/>
  <c r="L214" i="6"/>
  <c r="L107" i="6"/>
  <c r="L147" i="6"/>
  <c r="L187" i="6"/>
  <c r="L219" i="6"/>
  <c r="L108" i="6"/>
  <c r="L124" i="6"/>
  <c r="L140" i="6"/>
  <c r="L156" i="6"/>
  <c r="L172" i="6"/>
  <c r="L188" i="6"/>
  <c r="L204" i="6"/>
  <c r="L220" i="6"/>
  <c r="L163" i="6"/>
  <c r="L101" i="6"/>
  <c r="L117" i="6"/>
  <c r="L133" i="6"/>
  <c r="L149" i="6"/>
  <c r="L165" i="6"/>
  <c r="L181" i="6"/>
  <c r="L197" i="6"/>
  <c r="L213" i="6"/>
  <c r="L119" i="6"/>
  <c r="L159" i="6"/>
  <c r="L199" i="6"/>
  <c r="L106" i="6"/>
  <c r="L122" i="6"/>
  <c r="L138" i="6"/>
  <c r="L154" i="6"/>
  <c r="L170" i="6"/>
  <c r="L186" i="6"/>
  <c r="L202" i="6"/>
  <c r="L218" i="6"/>
  <c r="L115" i="6"/>
  <c r="L155" i="6"/>
  <c r="L195" i="6"/>
  <c r="L116" i="6"/>
  <c r="L148" i="6"/>
  <c r="L180" i="6"/>
  <c r="L212" i="6"/>
  <c r="L203" i="6"/>
  <c r="L125" i="6"/>
  <c r="L157" i="6"/>
  <c r="L189" i="6"/>
  <c r="L221" i="6"/>
  <c r="L98" i="6"/>
  <c r="L114" i="6"/>
  <c r="L96" i="6"/>
  <c r="L112" i="6"/>
  <c r="L128" i="6"/>
  <c r="L144" i="6"/>
  <c r="L160" i="6"/>
  <c r="L176" i="6"/>
  <c r="L192" i="6"/>
  <c r="L208" i="6"/>
  <c r="L103" i="6"/>
  <c r="L183" i="6"/>
  <c r="L105" i="6"/>
  <c r="L121" i="6"/>
  <c r="L137" i="6"/>
  <c r="L153" i="6"/>
  <c r="L169" i="6"/>
  <c r="L185" i="6"/>
  <c r="L201" i="6"/>
  <c r="L217" i="6"/>
  <c r="L131" i="6"/>
  <c r="L171" i="6"/>
  <c r="L211" i="6"/>
  <c r="L110" i="6"/>
  <c r="L126" i="6"/>
  <c r="L142" i="6"/>
  <c r="L158" i="6"/>
  <c r="L174" i="6"/>
  <c r="L190" i="6"/>
  <c r="L206" i="6"/>
  <c r="L95" i="6"/>
  <c r="L127" i="6"/>
  <c r="L167" i="6"/>
  <c r="L207" i="6"/>
  <c r="L100" i="6"/>
  <c r="L132" i="6"/>
  <c r="L164" i="6"/>
  <c r="L196" i="6"/>
  <c r="L123" i="6"/>
  <c r="L109" i="6"/>
  <c r="L141" i="6"/>
  <c r="L173" i="6"/>
  <c r="L205" i="6"/>
  <c r="L179" i="6"/>
  <c r="L130" i="6"/>
  <c r="L99" i="6"/>
  <c r="L162" i="6"/>
  <c r="G251" i="16" l="1"/>
  <c r="F252" i="16"/>
  <c r="E252" i="16"/>
  <c r="D252" i="16"/>
  <c r="B253" i="16"/>
  <c r="L253" i="16"/>
  <c r="A254" i="16"/>
  <c r="H250" i="16"/>
  <c r="I250" i="16" s="1"/>
  <c r="K250" i="16" s="1"/>
  <c r="M250" i="16" s="1"/>
  <c r="M201" i="6"/>
  <c r="N201" i="6" s="1"/>
  <c r="M98" i="6"/>
  <c r="Y98" i="6" s="1"/>
  <c r="M195" i="6"/>
  <c r="N195" i="6" s="1"/>
  <c r="M116" i="6"/>
  <c r="N116" i="6" s="1"/>
  <c r="M131" i="6"/>
  <c r="N131" i="6" s="1"/>
  <c r="M215" i="6"/>
  <c r="N215" i="6" s="1"/>
  <c r="M202" i="6"/>
  <c r="N202" i="6" s="1"/>
  <c r="M212" i="6"/>
  <c r="N212" i="6" s="1"/>
  <c r="M168" i="6"/>
  <c r="N168" i="6" s="1"/>
  <c r="M110" i="6"/>
  <c r="Y110" i="6" s="1"/>
  <c r="M213" i="6"/>
  <c r="Y213" i="6" s="1"/>
  <c r="M175" i="6"/>
  <c r="Y175" i="6" s="1"/>
  <c r="M143" i="6"/>
  <c r="N143" i="6" s="1"/>
  <c r="M102" i="6"/>
  <c r="Y102" i="6" s="1"/>
  <c r="M188" i="6"/>
  <c r="N188" i="6" s="1"/>
  <c r="M204" i="6"/>
  <c r="N204" i="6" s="1"/>
  <c r="M160" i="6"/>
  <c r="N160" i="6" s="1"/>
  <c r="M95" i="6"/>
  <c r="N95" i="6" s="1"/>
  <c r="M219" i="6"/>
  <c r="N219" i="6" s="1"/>
  <c r="M181" i="6"/>
  <c r="Y181" i="6" s="1"/>
  <c r="M149" i="6"/>
  <c r="Y149" i="6" s="1"/>
  <c r="M134" i="6"/>
  <c r="N134" i="6" s="1"/>
  <c r="M125" i="6"/>
  <c r="Y125" i="6" s="1"/>
  <c r="M190" i="6"/>
  <c r="Y190" i="6" s="1"/>
  <c r="M144" i="6"/>
  <c r="Y144" i="6" s="1"/>
  <c r="M148" i="6"/>
  <c r="N148" i="6" s="1"/>
  <c r="M166" i="6"/>
  <c r="N166" i="6" s="1"/>
  <c r="M208" i="6"/>
  <c r="Y208" i="6" s="1"/>
  <c r="M122" i="6"/>
  <c r="N122" i="6" s="1"/>
  <c r="M197" i="6"/>
  <c r="Y197" i="6" s="1"/>
  <c r="M163" i="6"/>
  <c r="Y163" i="6" s="1"/>
  <c r="M115" i="6"/>
  <c r="Y115" i="6" s="1"/>
  <c r="M126" i="6"/>
  <c r="N126" i="6" s="1"/>
  <c r="M154" i="6"/>
  <c r="N154" i="6" s="1"/>
  <c r="M210" i="6"/>
  <c r="Y210" i="6" s="1"/>
  <c r="M157" i="6"/>
  <c r="N157" i="6" s="1"/>
  <c r="M156" i="6"/>
  <c r="N156" i="6" s="1"/>
  <c r="M171" i="6"/>
  <c r="N171" i="6" s="1"/>
  <c r="M119" i="6"/>
  <c r="Y119" i="6" s="1"/>
  <c r="M103" i="6"/>
  <c r="Y103" i="6" s="1"/>
  <c r="M169" i="6"/>
  <c r="Y169" i="6" s="1"/>
  <c r="M135" i="6"/>
  <c r="Y135" i="6" s="1"/>
  <c r="M194" i="6"/>
  <c r="Y194" i="6" s="1"/>
  <c r="M182" i="6"/>
  <c r="N182" i="6" s="1"/>
  <c r="M118" i="6"/>
  <c r="Y118" i="6" s="1"/>
  <c r="M193" i="6"/>
  <c r="N193" i="6" s="1"/>
  <c r="M203" i="6"/>
  <c r="N203" i="6" s="1"/>
  <c r="M167" i="6"/>
  <c r="Y167" i="6" s="1"/>
  <c r="M139" i="6"/>
  <c r="Y139" i="6" s="1"/>
  <c r="M129" i="6"/>
  <c r="Y129" i="6" s="1"/>
  <c r="M180" i="6"/>
  <c r="Y180" i="6" s="1"/>
  <c r="M174" i="6"/>
  <c r="Y174" i="6" s="1"/>
  <c r="M216" i="6"/>
  <c r="Y216" i="6" s="1"/>
  <c r="M220" i="6"/>
  <c r="Y220" i="6" s="1"/>
  <c r="M211" i="6"/>
  <c r="Y211" i="6" s="1"/>
  <c r="M173" i="6"/>
  <c r="N173" i="6" s="1"/>
  <c r="M141" i="6"/>
  <c r="Y141" i="6" s="1"/>
  <c r="M99" i="6"/>
  <c r="N99" i="6" s="1"/>
  <c r="M121" i="6"/>
  <c r="Y121" i="6" s="1"/>
  <c r="M158" i="6"/>
  <c r="N158" i="6" s="1"/>
  <c r="M162" i="6"/>
  <c r="N162" i="6" s="1"/>
  <c r="M130" i="6"/>
  <c r="Y130" i="6" s="1"/>
  <c r="M107" i="6"/>
  <c r="Y107" i="6" s="1"/>
  <c r="M170" i="6"/>
  <c r="Y170" i="6" s="1"/>
  <c r="M96" i="6"/>
  <c r="N96" i="6" s="1"/>
  <c r="M187" i="6"/>
  <c r="N187" i="6" s="1"/>
  <c r="M155" i="6"/>
  <c r="Y155" i="6" s="1"/>
  <c r="M124" i="6"/>
  <c r="N124" i="6" s="1"/>
  <c r="M111" i="6"/>
  <c r="N111" i="6" s="1"/>
  <c r="M113" i="6"/>
  <c r="N113" i="6" s="1"/>
  <c r="M140" i="6"/>
  <c r="N140" i="6" s="1"/>
  <c r="M177" i="6"/>
  <c r="N177" i="6" s="1"/>
  <c r="M97" i="6"/>
  <c r="Y97" i="6" s="1"/>
  <c r="M100" i="6"/>
  <c r="Y100" i="6" s="1"/>
  <c r="M151" i="6"/>
  <c r="N151" i="6" s="1"/>
  <c r="M104" i="6"/>
  <c r="Y104" i="6" s="1"/>
  <c r="M146" i="6"/>
  <c r="Y146" i="6" s="1"/>
  <c r="M189" i="6"/>
  <c r="Y189" i="6" s="1"/>
  <c r="M105" i="6"/>
  <c r="Y105" i="6" s="1"/>
  <c r="M176" i="6"/>
  <c r="Y176" i="6" s="1"/>
  <c r="M152" i="6"/>
  <c r="N152" i="6" s="1"/>
  <c r="M207" i="6"/>
  <c r="Y207" i="6" s="1"/>
  <c r="M192" i="6"/>
  <c r="Y192" i="6" s="1"/>
  <c r="M153" i="6"/>
  <c r="N153" i="6" s="1"/>
  <c r="M128" i="6"/>
  <c r="Y128" i="6" s="1"/>
  <c r="M205" i="6"/>
  <c r="Y205" i="6" s="1"/>
  <c r="M145" i="6"/>
  <c r="Y145" i="6" s="1"/>
  <c r="M218" i="6"/>
  <c r="Y218" i="6" s="1"/>
  <c r="M150" i="6"/>
  <c r="Y150" i="6" s="1"/>
  <c r="M186" i="6"/>
  <c r="N186" i="6" s="1"/>
  <c r="M137" i="6"/>
  <c r="Y137" i="6" s="1"/>
  <c r="M191" i="6"/>
  <c r="N191" i="6" s="1"/>
  <c r="M159" i="6"/>
  <c r="N159" i="6" s="1"/>
  <c r="M117" i="6"/>
  <c r="N117" i="6" s="1"/>
  <c r="M114" i="6"/>
  <c r="Y114" i="6" s="1"/>
  <c r="M172" i="6"/>
  <c r="N172" i="6" s="1"/>
  <c r="M142" i="6"/>
  <c r="N142" i="6" s="1"/>
  <c r="M178" i="6"/>
  <c r="Y178" i="6" s="1"/>
  <c r="M133" i="6"/>
  <c r="N133" i="6" s="1"/>
  <c r="M199" i="6"/>
  <c r="Y199" i="6" s="1"/>
  <c r="M165" i="6"/>
  <c r="N165" i="6" s="1"/>
  <c r="M138" i="6"/>
  <c r="N138" i="6" s="1"/>
  <c r="M120" i="6"/>
  <c r="N120" i="6" s="1"/>
  <c r="M108" i="6"/>
  <c r="N108" i="6" s="1"/>
  <c r="M214" i="6"/>
  <c r="N214" i="6" s="1"/>
  <c r="M112" i="6"/>
  <c r="Y112" i="6" s="1"/>
  <c r="M164" i="6"/>
  <c r="Y164" i="6" s="1"/>
  <c r="M184" i="6"/>
  <c r="N184" i="6" s="1"/>
  <c r="M127" i="6"/>
  <c r="N127" i="6" s="1"/>
  <c r="M217" i="6"/>
  <c r="Y217" i="6" s="1"/>
  <c r="M179" i="6"/>
  <c r="Y179" i="6" s="1"/>
  <c r="M147" i="6"/>
  <c r="N147" i="6" s="1"/>
  <c r="M106" i="6"/>
  <c r="N106" i="6" s="1"/>
  <c r="M200" i="6"/>
  <c r="Y200" i="6" s="1"/>
  <c r="M185" i="6"/>
  <c r="N185" i="6" s="1"/>
  <c r="M161" i="6"/>
  <c r="Y161" i="6" s="1"/>
  <c r="M109" i="6"/>
  <c r="Y109" i="6" s="1"/>
  <c r="M206" i="6"/>
  <c r="Y206" i="6" s="1"/>
  <c r="M183" i="6"/>
  <c r="N183" i="6" s="1"/>
  <c r="M101" i="6"/>
  <c r="Y101" i="6" s="1"/>
  <c r="M198" i="6"/>
  <c r="Y198" i="6" s="1"/>
  <c r="M136" i="6"/>
  <c r="N136" i="6" s="1"/>
  <c r="M123" i="6"/>
  <c r="N123" i="6" s="1"/>
  <c r="M221" i="6"/>
  <c r="N221" i="6" s="1"/>
  <c r="M196" i="6"/>
  <c r="N196" i="6" s="1"/>
  <c r="M209" i="6"/>
  <c r="N209" i="6" s="1"/>
  <c r="M132" i="6"/>
  <c r="Y132" i="6" s="1"/>
  <c r="Y215" i="6"/>
  <c r="N130" i="6" l="1"/>
  <c r="Y202" i="6"/>
  <c r="N97" i="6"/>
  <c r="AI97" i="6" s="1"/>
  <c r="N250" i="16"/>
  <c r="O250" i="16" s="1"/>
  <c r="P250" i="16" s="1"/>
  <c r="N141" i="6"/>
  <c r="R141" i="6" s="1"/>
  <c r="N169" i="6"/>
  <c r="AI169" i="6" s="1"/>
  <c r="Y168" i="6"/>
  <c r="AJ168" i="6" s="1"/>
  <c r="G252" i="16"/>
  <c r="H252" i="16" s="1"/>
  <c r="I252" i="16" s="1"/>
  <c r="K252" i="16" s="1"/>
  <c r="M252" i="16" s="1"/>
  <c r="F253" i="16"/>
  <c r="E253" i="16"/>
  <c r="D253" i="16"/>
  <c r="H251" i="16"/>
  <c r="I251" i="16" s="1"/>
  <c r="K251" i="16" s="1"/>
  <c r="M251" i="16" s="1"/>
  <c r="B254" i="16"/>
  <c r="L254" i="16"/>
  <c r="A255" i="16"/>
  <c r="Y203" i="6"/>
  <c r="AJ203" i="6" s="1"/>
  <c r="Y134" i="6"/>
  <c r="AD134" i="6" s="1"/>
  <c r="Y171" i="6"/>
  <c r="AD171" i="6" s="1"/>
  <c r="Y193" i="6"/>
  <c r="AD193" i="6" s="1"/>
  <c r="Y187" i="6"/>
  <c r="AD187" i="6" s="1"/>
  <c r="Y95" i="6"/>
  <c r="AD95" i="6" s="1"/>
  <c r="Y131" i="6"/>
  <c r="AD131" i="6" s="1"/>
  <c r="Y113" i="6"/>
  <c r="AD113" i="6" s="1"/>
  <c r="N110" i="6"/>
  <c r="R110" i="6" s="1"/>
  <c r="Y148" i="6"/>
  <c r="AD148" i="6" s="1"/>
  <c r="N211" i="6"/>
  <c r="R211" i="6" s="1"/>
  <c r="N139" i="6"/>
  <c r="R139" i="6" s="1"/>
  <c r="Y122" i="6"/>
  <c r="AJ122" i="6" s="1"/>
  <c r="N146" i="6"/>
  <c r="AI146" i="6" s="1"/>
  <c r="N205" i="6"/>
  <c r="R205" i="6" s="1"/>
  <c r="N112" i="6"/>
  <c r="R112" i="6" s="1"/>
  <c r="N150" i="6"/>
  <c r="R150" i="6" s="1"/>
  <c r="Y117" i="6"/>
  <c r="AD117" i="6" s="1"/>
  <c r="N217" i="6"/>
  <c r="AI217" i="6" s="1"/>
  <c r="Y138" i="6"/>
  <c r="AD138" i="6" s="1"/>
  <c r="N155" i="6"/>
  <c r="R155" i="6" s="1"/>
  <c r="N192" i="6"/>
  <c r="R192" i="6" s="1"/>
  <c r="Y166" i="6"/>
  <c r="AD166" i="6" s="1"/>
  <c r="Y151" i="6"/>
  <c r="AD151" i="6" s="1"/>
  <c r="N220" i="6"/>
  <c r="R220" i="6" s="1"/>
  <c r="N194" i="6"/>
  <c r="AI194" i="6" s="1"/>
  <c r="N200" i="6"/>
  <c r="R200" i="6" s="1"/>
  <c r="Y99" i="6"/>
  <c r="AJ99" i="6" s="1"/>
  <c r="Y186" i="6"/>
  <c r="AD186" i="6" s="1"/>
  <c r="Y219" i="6"/>
  <c r="AD219" i="6" s="1"/>
  <c r="N125" i="6"/>
  <c r="R125" i="6" s="1"/>
  <c r="N102" i="6"/>
  <c r="R102" i="6" s="1"/>
  <c r="N129" i="6"/>
  <c r="AI129" i="6" s="1"/>
  <c r="N98" i="6"/>
  <c r="R98" i="6" s="1"/>
  <c r="N107" i="6"/>
  <c r="AI107" i="6" s="1"/>
  <c r="N189" i="6"/>
  <c r="R189" i="6" s="1"/>
  <c r="Y123" i="6"/>
  <c r="AD123" i="6" s="1"/>
  <c r="N100" i="6"/>
  <c r="R100" i="6" s="1"/>
  <c r="N119" i="6"/>
  <c r="R119" i="6" s="1"/>
  <c r="N207" i="6"/>
  <c r="R207" i="6" s="1"/>
  <c r="N197" i="6"/>
  <c r="R197" i="6" s="1"/>
  <c r="N213" i="6"/>
  <c r="R213" i="6" s="1"/>
  <c r="Y195" i="6"/>
  <c r="AD195" i="6" s="1"/>
  <c r="N118" i="6"/>
  <c r="R118" i="6" s="1"/>
  <c r="Y160" i="6"/>
  <c r="AD160" i="6" s="1"/>
  <c r="Y165" i="6"/>
  <c r="AJ165" i="6" s="1"/>
  <c r="N149" i="6"/>
  <c r="R149" i="6" s="1"/>
  <c r="Y133" i="6"/>
  <c r="AD133" i="6" s="1"/>
  <c r="Y162" i="6"/>
  <c r="AJ162" i="6" s="1"/>
  <c r="Y201" i="6"/>
  <c r="AD201" i="6" s="1"/>
  <c r="Y214" i="6"/>
  <c r="AJ214" i="6" s="1"/>
  <c r="N128" i="6"/>
  <c r="AI128" i="6" s="1"/>
  <c r="Y156" i="6"/>
  <c r="AD156" i="6" s="1"/>
  <c r="Y120" i="6"/>
  <c r="AJ120" i="6" s="1"/>
  <c r="Y96" i="6"/>
  <c r="AD96" i="6" s="1"/>
  <c r="N164" i="6"/>
  <c r="R164" i="6" s="1"/>
  <c r="N144" i="6"/>
  <c r="R144" i="6" s="1"/>
  <c r="Y143" i="6"/>
  <c r="AJ143" i="6" s="1"/>
  <c r="Y152" i="6"/>
  <c r="AD152" i="6" s="1"/>
  <c r="N206" i="6"/>
  <c r="AI206" i="6" s="1"/>
  <c r="Y106" i="6"/>
  <c r="AD106" i="6" s="1"/>
  <c r="N109" i="6"/>
  <c r="AI109" i="6" s="1"/>
  <c r="N198" i="6"/>
  <c r="R198" i="6" s="1"/>
  <c r="N216" i="6"/>
  <c r="R216" i="6" s="1"/>
  <c r="Y111" i="6"/>
  <c r="AJ111" i="6" s="1"/>
  <c r="Y126" i="6"/>
  <c r="AD126" i="6" s="1"/>
  <c r="Y127" i="6"/>
  <c r="AD127" i="6" s="1"/>
  <c r="Y142" i="6"/>
  <c r="AJ142" i="6" s="1"/>
  <c r="Y159" i="6"/>
  <c r="AJ159" i="6" s="1"/>
  <c r="Y196" i="6"/>
  <c r="AJ196" i="6" s="1"/>
  <c r="N105" i="6"/>
  <c r="R105" i="6" s="1"/>
  <c r="R162" i="6"/>
  <c r="AI162" i="6"/>
  <c r="AD202" i="6"/>
  <c r="AJ202" i="6"/>
  <c r="R96" i="6"/>
  <c r="AI96" i="6"/>
  <c r="AJ148" i="6"/>
  <c r="AD110" i="6"/>
  <c r="AJ110" i="6"/>
  <c r="R195" i="6"/>
  <c r="AI195" i="6"/>
  <c r="AD205" i="6"/>
  <c r="AJ205" i="6"/>
  <c r="AD161" i="6"/>
  <c r="AJ161" i="6"/>
  <c r="R108" i="6"/>
  <c r="AI108" i="6"/>
  <c r="AD199" i="6"/>
  <c r="AJ199" i="6"/>
  <c r="AD218" i="6"/>
  <c r="AJ218" i="6"/>
  <c r="R177" i="6"/>
  <c r="AI177" i="6"/>
  <c r="R173" i="6"/>
  <c r="AI173" i="6"/>
  <c r="AD167" i="6"/>
  <c r="AJ167" i="6"/>
  <c r="AD103" i="6"/>
  <c r="AJ103" i="6"/>
  <c r="AD115" i="6"/>
  <c r="AJ115" i="6"/>
  <c r="AD190" i="6"/>
  <c r="AJ190" i="6"/>
  <c r="AD181" i="6"/>
  <c r="AJ181" i="6"/>
  <c r="R204" i="6"/>
  <c r="AI204" i="6"/>
  <c r="AD175" i="6"/>
  <c r="AJ175" i="6"/>
  <c r="R212" i="6"/>
  <c r="AI212" i="6"/>
  <c r="R116" i="6"/>
  <c r="AI116" i="6"/>
  <c r="R138" i="6"/>
  <c r="AI138" i="6"/>
  <c r="R97" i="6"/>
  <c r="R117" i="6"/>
  <c r="AI117" i="6"/>
  <c r="AD200" i="6"/>
  <c r="AJ200" i="6"/>
  <c r="R159" i="6"/>
  <c r="AI159" i="6"/>
  <c r="R142" i="6"/>
  <c r="AI142" i="6"/>
  <c r="AD130" i="6"/>
  <c r="AJ130" i="6"/>
  <c r="R122" i="6"/>
  <c r="AI122" i="6"/>
  <c r="AD215" i="6"/>
  <c r="AJ215" i="6"/>
  <c r="AD197" i="6"/>
  <c r="AJ197" i="6"/>
  <c r="AD216" i="6"/>
  <c r="AJ216" i="6"/>
  <c r="R152" i="6"/>
  <c r="AI152" i="6"/>
  <c r="AD194" i="6"/>
  <c r="AJ194" i="6"/>
  <c r="AD132" i="6"/>
  <c r="AJ132" i="6"/>
  <c r="R123" i="6"/>
  <c r="AI123" i="6"/>
  <c r="R183" i="6"/>
  <c r="AI183" i="6"/>
  <c r="R185" i="6"/>
  <c r="AI185" i="6"/>
  <c r="AD179" i="6"/>
  <c r="AJ179" i="6"/>
  <c r="AD164" i="6"/>
  <c r="AJ164" i="6"/>
  <c r="R120" i="6"/>
  <c r="AI120" i="6"/>
  <c r="R133" i="6"/>
  <c r="AI133" i="6"/>
  <c r="AD114" i="6"/>
  <c r="AJ114" i="6"/>
  <c r="AD137" i="6"/>
  <c r="AJ137" i="6"/>
  <c r="AD145" i="6"/>
  <c r="AJ145" i="6"/>
  <c r="AD192" i="6"/>
  <c r="AJ192" i="6"/>
  <c r="AD105" i="6"/>
  <c r="AJ105" i="6"/>
  <c r="R151" i="6"/>
  <c r="AI151" i="6"/>
  <c r="R140" i="6"/>
  <c r="AI140" i="6"/>
  <c r="AD155" i="6"/>
  <c r="AJ155" i="6"/>
  <c r="AD107" i="6"/>
  <c r="AJ107" i="6"/>
  <c r="AD121" i="6"/>
  <c r="AJ121" i="6"/>
  <c r="AD180" i="6"/>
  <c r="AJ180" i="6"/>
  <c r="AD119" i="6"/>
  <c r="AJ119" i="6"/>
  <c r="AD210" i="6"/>
  <c r="AJ210" i="6"/>
  <c r="AD163" i="6"/>
  <c r="AJ163" i="6"/>
  <c r="R166" i="6"/>
  <c r="AI166" i="6"/>
  <c r="R219" i="6"/>
  <c r="AI219" i="6"/>
  <c r="R188" i="6"/>
  <c r="AI188" i="6"/>
  <c r="AD213" i="6"/>
  <c r="AJ213" i="6"/>
  <c r="R160" i="6"/>
  <c r="AI160" i="6"/>
  <c r="R187" i="6"/>
  <c r="AI187" i="6"/>
  <c r="R171" i="6"/>
  <c r="AI171" i="6"/>
  <c r="R221" i="6"/>
  <c r="AI221" i="6"/>
  <c r="R184" i="6"/>
  <c r="AI184" i="6"/>
  <c r="R191" i="6"/>
  <c r="AI191" i="6"/>
  <c r="AD104" i="6"/>
  <c r="AJ104" i="6"/>
  <c r="R158" i="6"/>
  <c r="AI158" i="6"/>
  <c r="R157" i="6"/>
  <c r="AI157" i="6"/>
  <c r="AD169" i="6"/>
  <c r="AJ169" i="6"/>
  <c r="R168" i="6"/>
  <c r="AI168" i="6"/>
  <c r="AD220" i="6"/>
  <c r="AJ220" i="6"/>
  <c r="AD144" i="6"/>
  <c r="AJ144" i="6"/>
  <c r="R209" i="6"/>
  <c r="AI209" i="6"/>
  <c r="AD206" i="6"/>
  <c r="AJ206" i="6"/>
  <c r="AD217" i="6"/>
  <c r="AJ217" i="6"/>
  <c r="AD112" i="6"/>
  <c r="AJ112" i="6"/>
  <c r="AD178" i="6"/>
  <c r="AJ178" i="6"/>
  <c r="R186" i="6"/>
  <c r="AI186" i="6"/>
  <c r="AD100" i="6"/>
  <c r="AJ100" i="6"/>
  <c r="R113" i="6"/>
  <c r="AI113" i="6"/>
  <c r="R99" i="6"/>
  <c r="AI99" i="6"/>
  <c r="AD135" i="6"/>
  <c r="AJ135" i="6"/>
  <c r="R154" i="6"/>
  <c r="AI154" i="6"/>
  <c r="R148" i="6"/>
  <c r="AI148" i="6"/>
  <c r="AD102" i="6"/>
  <c r="AJ102" i="6"/>
  <c r="R215" i="6"/>
  <c r="AI215" i="6"/>
  <c r="AD125" i="6"/>
  <c r="AJ125" i="6"/>
  <c r="AD101" i="6"/>
  <c r="AJ101" i="6"/>
  <c r="R147" i="6"/>
  <c r="AI147" i="6"/>
  <c r="R172" i="6"/>
  <c r="AI172" i="6"/>
  <c r="R153" i="6"/>
  <c r="AI153" i="6"/>
  <c r="AD176" i="6"/>
  <c r="AJ176" i="6"/>
  <c r="R124" i="6"/>
  <c r="AI124" i="6"/>
  <c r="AD170" i="6"/>
  <c r="AJ170" i="6"/>
  <c r="AD174" i="6"/>
  <c r="AJ174" i="6"/>
  <c r="R182" i="6"/>
  <c r="AI182" i="6"/>
  <c r="AD208" i="6"/>
  <c r="AJ208" i="6"/>
  <c r="AD150" i="6"/>
  <c r="AJ150" i="6"/>
  <c r="AD129" i="6"/>
  <c r="AJ129" i="6"/>
  <c r="R95" i="6"/>
  <c r="AI95" i="6"/>
  <c r="R134" i="6"/>
  <c r="AI134" i="6"/>
  <c r="AD211" i="6"/>
  <c r="AJ211" i="6"/>
  <c r="R165" i="6"/>
  <c r="AI165" i="6"/>
  <c r="R202" i="6"/>
  <c r="AI202" i="6"/>
  <c r="AD141" i="6"/>
  <c r="AJ141" i="6"/>
  <c r="AD98" i="6"/>
  <c r="AJ98" i="6"/>
  <c r="R193" i="6"/>
  <c r="AI193" i="6"/>
  <c r="AD146" i="6"/>
  <c r="AJ146" i="6"/>
  <c r="R156" i="6"/>
  <c r="AI156" i="6"/>
  <c r="R131" i="6"/>
  <c r="AI131" i="6"/>
  <c r="R136" i="6"/>
  <c r="AI136" i="6"/>
  <c r="AD168" i="6"/>
  <c r="AD198" i="6"/>
  <c r="AJ198" i="6"/>
  <c r="R201" i="6"/>
  <c r="AI201" i="6"/>
  <c r="Y136" i="6"/>
  <c r="N178" i="6"/>
  <c r="AD189" i="6"/>
  <c r="AJ189" i="6"/>
  <c r="AD207" i="6"/>
  <c r="AJ207" i="6"/>
  <c r="AD97" i="6"/>
  <c r="AJ97" i="6"/>
  <c r="R130" i="6"/>
  <c r="AI130" i="6"/>
  <c r="R203" i="6"/>
  <c r="AI203" i="6"/>
  <c r="R169" i="6"/>
  <c r="R196" i="6"/>
  <c r="AI196" i="6"/>
  <c r="AD109" i="6"/>
  <c r="AJ109" i="6"/>
  <c r="R106" i="6"/>
  <c r="AI106" i="6"/>
  <c r="R127" i="6"/>
  <c r="AI127" i="6"/>
  <c r="R214" i="6"/>
  <c r="AI214" i="6"/>
  <c r="AD128" i="6"/>
  <c r="AJ128" i="6"/>
  <c r="R111" i="6"/>
  <c r="AI111" i="6"/>
  <c r="AD139" i="6"/>
  <c r="AJ139" i="6"/>
  <c r="AD118" i="6"/>
  <c r="AJ118" i="6"/>
  <c r="R126" i="6"/>
  <c r="AI126" i="6"/>
  <c r="AD149" i="6"/>
  <c r="AJ149" i="6"/>
  <c r="R143" i="6"/>
  <c r="AI143" i="6"/>
  <c r="Y209" i="6"/>
  <c r="N132" i="6"/>
  <c r="N179" i="6"/>
  <c r="Y183" i="6"/>
  <c r="Y185" i="6"/>
  <c r="Y188" i="6"/>
  <c r="N180" i="6"/>
  <c r="Y140" i="6"/>
  <c r="N114" i="6"/>
  <c r="N137" i="6"/>
  <c r="N121" i="6"/>
  <c r="N163" i="6"/>
  <c r="N210" i="6"/>
  <c r="N145" i="6"/>
  <c r="Y158" i="6"/>
  <c r="Y172" i="6"/>
  <c r="Y154" i="6"/>
  <c r="N135" i="6"/>
  <c r="Y204" i="6"/>
  <c r="Y147" i="6"/>
  <c r="Y124" i="6"/>
  <c r="N103" i="6"/>
  <c r="N174" i="6"/>
  <c r="Y177" i="6"/>
  <c r="Y108" i="6"/>
  <c r="N161" i="6"/>
  <c r="Y173" i="6"/>
  <c r="Y191" i="6"/>
  <c r="N199" i="6"/>
  <c r="N208" i="6"/>
  <c r="Y157" i="6"/>
  <c r="N167" i="6"/>
  <c r="N170" i="6"/>
  <c r="N218" i="6"/>
  <c r="N175" i="6"/>
  <c r="Y116" i="6"/>
  <c r="Y153" i="6"/>
  <c r="N181" i="6"/>
  <c r="Y184" i="6"/>
  <c r="Y212" i="6"/>
  <c r="N101" i="6"/>
  <c r="N115" i="6"/>
  <c r="N104" i="6"/>
  <c r="N176" i="6"/>
  <c r="Y221" i="6"/>
  <c r="Y182" i="6"/>
  <c r="N190" i="6"/>
  <c r="AI141" i="6" l="1"/>
  <c r="R146" i="6"/>
  <c r="AJ95" i="6"/>
  <c r="AJ134" i="6"/>
  <c r="AJ171" i="6"/>
  <c r="N251" i="16"/>
  <c r="O251" i="16" s="1"/>
  <c r="P251" i="16" s="1"/>
  <c r="N252" i="16"/>
  <c r="O252" i="16" s="1"/>
  <c r="P252" i="16" s="1"/>
  <c r="AD203" i="6"/>
  <c r="G253" i="16"/>
  <c r="F254" i="16"/>
  <c r="E254" i="16"/>
  <c r="D254" i="16"/>
  <c r="B255" i="16"/>
  <c r="A256" i="16"/>
  <c r="L255" i="16"/>
  <c r="AJ193" i="6"/>
  <c r="AI112" i="6"/>
  <c r="AI139" i="6"/>
  <c r="AJ113" i="6"/>
  <c r="R129" i="6"/>
  <c r="AD122" i="6"/>
  <c r="AI150" i="6"/>
  <c r="AI110" i="6"/>
  <c r="AI144" i="6"/>
  <c r="AJ106" i="6"/>
  <c r="AD162" i="6"/>
  <c r="AJ187" i="6"/>
  <c r="AI211" i="6"/>
  <c r="AJ131" i="6"/>
  <c r="AI205" i="6"/>
  <c r="R217" i="6"/>
  <c r="AI192" i="6"/>
  <c r="AD143" i="6"/>
  <c r="R194" i="6"/>
  <c r="R109" i="6"/>
  <c r="AD165" i="6"/>
  <c r="AJ201" i="6"/>
  <c r="AI213" i="6"/>
  <c r="AI98" i="6"/>
  <c r="AJ219" i="6"/>
  <c r="AD196" i="6"/>
  <c r="AD120" i="6"/>
  <c r="AJ126" i="6"/>
  <c r="AI100" i="6"/>
  <c r="AJ117" i="6"/>
  <c r="AJ138" i="6"/>
  <c r="AI118" i="6"/>
  <c r="R128" i="6"/>
  <c r="AI189" i="6"/>
  <c r="AJ156" i="6"/>
  <c r="AI155" i="6"/>
  <c r="AI197" i="6"/>
  <c r="AJ186" i="6"/>
  <c r="AJ160" i="6"/>
  <c r="AJ123" i="6"/>
  <c r="AD159" i="6"/>
  <c r="AI220" i="6"/>
  <c r="AI125" i="6"/>
  <c r="R107" i="6"/>
  <c r="AD214" i="6"/>
  <c r="AI149" i="6"/>
  <c r="AI119" i="6"/>
  <c r="AI200" i="6"/>
  <c r="AI164" i="6"/>
  <c r="AJ151" i="6"/>
  <c r="AJ152" i="6"/>
  <c r="AJ195" i="6"/>
  <c r="R206" i="6"/>
  <c r="AD99" i="6"/>
  <c r="AJ166" i="6"/>
  <c r="AJ133" i="6"/>
  <c r="AI102" i="6"/>
  <c r="AI207" i="6"/>
  <c r="AD142" i="6"/>
  <c r="AI198" i="6"/>
  <c r="AJ96" i="6"/>
  <c r="AD111" i="6"/>
  <c r="AI216" i="6"/>
  <c r="AI105" i="6"/>
  <c r="AJ127" i="6"/>
  <c r="AD191" i="6"/>
  <c r="AJ191" i="6"/>
  <c r="R190" i="6"/>
  <c r="AI190" i="6"/>
  <c r="R175" i="6"/>
  <c r="AI175" i="6"/>
  <c r="R174" i="6"/>
  <c r="AI174" i="6"/>
  <c r="R121" i="6"/>
  <c r="AI121" i="6"/>
  <c r="AD136" i="6"/>
  <c r="AJ136" i="6"/>
  <c r="R176" i="6"/>
  <c r="AI176" i="6"/>
  <c r="AD116" i="6"/>
  <c r="AJ116" i="6"/>
  <c r="AD177" i="6"/>
  <c r="AJ177" i="6"/>
  <c r="AD172" i="6"/>
  <c r="AJ172" i="6"/>
  <c r="AD140" i="6"/>
  <c r="AJ140" i="6"/>
  <c r="R104" i="6"/>
  <c r="AI104" i="6"/>
  <c r="AD184" i="6"/>
  <c r="AJ184" i="6"/>
  <c r="AD157" i="6"/>
  <c r="AJ157" i="6"/>
  <c r="AD173" i="6"/>
  <c r="AJ173" i="6"/>
  <c r="AD204" i="6"/>
  <c r="AJ204" i="6"/>
  <c r="AD158" i="6"/>
  <c r="AJ158" i="6"/>
  <c r="R180" i="6"/>
  <c r="AI180" i="6"/>
  <c r="R179" i="6"/>
  <c r="AI179" i="6"/>
  <c r="AD182" i="6"/>
  <c r="AJ182" i="6"/>
  <c r="R115" i="6"/>
  <c r="AI115" i="6"/>
  <c r="R181" i="6"/>
  <c r="AI181" i="6"/>
  <c r="R218" i="6"/>
  <c r="AI218" i="6"/>
  <c r="R208" i="6"/>
  <c r="AI208" i="6"/>
  <c r="R161" i="6"/>
  <c r="AI161" i="6"/>
  <c r="R103" i="6"/>
  <c r="AI103" i="6"/>
  <c r="R135" i="6"/>
  <c r="AI135" i="6"/>
  <c r="R145" i="6"/>
  <c r="AI145" i="6"/>
  <c r="R137" i="6"/>
  <c r="AI137" i="6"/>
  <c r="AD188" i="6"/>
  <c r="AJ188" i="6"/>
  <c r="R132" i="6"/>
  <c r="AI132" i="6"/>
  <c r="AD212" i="6"/>
  <c r="AJ212" i="6"/>
  <c r="R167" i="6"/>
  <c r="AI167" i="6"/>
  <c r="AD147" i="6"/>
  <c r="AJ147" i="6"/>
  <c r="R163" i="6"/>
  <c r="AI163" i="6"/>
  <c r="AD183" i="6"/>
  <c r="AJ183" i="6"/>
  <c r="R178" i="6"/>
  <c r="AI178" i="6"/>
  <c r="AD221" i="6"/>
  <c r="AJ221" i="6"/>
  <c r="R101" i="6"/>
  <c r="AI101" i="6"/>
  <c r="AD153" i="6"/>
  <c r="AJ153" i="6"/>
  <c r="R170" i="6"/>
  <c r="AI170" i="6"/>
  <c r="R199" i="6"/>
  <c r="AI199" i="6"/>
  <c r="AD108" i="6"/>
  <c r="AJ108" i="6"/>
  <c r="AD124" i="6"/>
  <c r="AJ124" i="6"/>
  <c r="AD154" i="6"/>
  <c r="AJ154" i="6"/>
  <c r="R210" i="6"/>
  <c r="AI210" i="6"/>
  <c r="R114" i="6"/>
  <c r="AI114" i="6"/>
  <c r="AD185" i="6"/>
  <c r="AJ185" i="6"/>
  <c r="AD209" i="6"/>
  <c r="AJ209" i="6"/>
  <c r="G254" i="16" l="1"/>
  <c r="H253" i="16"/>
  <c r="I253" i="16" s="1"/>
  <c r="K253" i="16" s="1"/>
  <c r="M253" i="16" s="1"/>
  <c r="N253" i="16" s="1"/>
  <c r="B256" i="16"/>
  <c r="A257" i="16"/>
  <c r="L256" i="16"/>
  <c r="E255" i="16"/>
  <c r="F255" i="16"/>
  <c r="D255" i="16"/>
  <c r="B232" i="6"/>
  <c r="B234" i="6"/>
  <c r="B239" i="6"/>
  <c r="B238" i="6"/>
  <c r="B235" i="6"/>
  <c r="B233" i="6"/>
  <c r="O253" i="16" l="1"/>
  <c r="P253" i="16"/>
  <c r="H254" i="16"/>
  <c r="I254" i="16" s="1"/>
  <c r="K254" i="16" s="1"/>
  <c r="M254" i="16" s="1"/>
  <c r="N254" i="16" s="1"/>
  <c r="F256" i="16"/>
  <c r="E256" i="16"/>
  <c r="D256" i="16"/>
  <c r="G255" i="16"/>
  <c r="B257" i="16"/>
  <c r="A258" i="16"/>
  <c r="L257" i="16"/>
  <c r="B236" i="6"/>
  <c r="B237" i="6" s="1"/>
  <c r="B87" i="6" s="1"/>
  <c r="B26" i="6" s="1"/>
  <c r="B50" i="1" s="1"/>
  <c r="B240" i="6"/>
  <c r="O254" i="16" l="1"/>
  <c r="P254" i="16" s="1"/>
  <c r="F257" i="16"/>
  <c r="E257" i="16"/>
  <c r="D257" i="16"/>
  <c r="H255" i="16"/>
  <c r="I255" i="16" s="1"/>
  <c r="K255" i="16" s="1"/>
  <c r="M255" i="16" s="1"/>
  <c r="N255" i="16" s="1"/>
  <c r="G256" i="16"/>
  <c r="B258" i="16"/>
  <c r="L258" i="16"/>
  <c r="A259" i="16"/>
  <c r="B83" i="1"/>
  <c r="B241" i="6"/>
  <c r="B88" i="6" s="1"/>
  <c r="O255" i="16" l="1"/>
  <c r="P255" i="16"/>
  <c r="B259" i="16"/>
  <c r="A260" i="16"/>
  <c r="L259" i="16"/>
  <c r="H256" i="16"/>
  <c r="I256" i="16" s="1"/>
  <c r="K256" i="16" s="1"/>
  <c r="M256" i="16" s="1"/>
  <c r="N256" i="16" s="1"/>
  <c r="G257" i="16"/>
  <c r="F258" i="16"/>
  <c r="E258" i="16"/>
  <c r="D258" i="16"/>
  <c r="B242" i="6"/>
  <c r="B89" i="6" s="1"/>
  <c r="B84" i="1" s="1"/>
  <c r="O256" i="16" l="1"/>
  <c r="P256" i="16"/>
  <c r="G258" i="16"/>
  <c r="H258" i="16" s="1"/>
  <c r="I258" i="16" s="1"/>
  <c r="K258" i="16" s="1"/>
  <c r="M258" i="16" s="1"/>
  <c r="E259" i="16"/>
  <c r="F259" i="16"/>
  <c r="D259" i="16"/>
  <c r="H257" i="16"/>
  <c r="I257" i="16" s="1"/>
  <c r="K257" i="16" s="1"/>
  <c r="M257" i="16" s="1"/>
  <c r="N257" i="16" s="1"/>
  <c r="B260" i="16"/>
  <c r="L260" i="16"/>
  <c r="A261" i="16"/>
  <c r="N258" i="16" l="1"/>
  <c r="O258" i="16" s="1"/>
  <c r="P258" i="16" s="1"/>
  <c r="O257" i="16"/>
  <c r="P257" i="16" s="1"/>
  <c r="G259" i="16"/>
  <c r="H259" i="16" s="1"/>
  <c r="I259" i="16" s="1"/>
  <c r="K259" i="16" s="1"/>
  <c r="M259" i="16" s="1"/>
  <c r="B261" i="16"/>
  <c r="A262" i="16"/>
  <c r="L261" i="16"/>
  <c r="F260" i="16"/>
  <c r="E260" i="16"/>
  <c r="D260" i="16"/>
  <c r="N259" i="16" l="1"/>
  <c r="O259" i="16" s="1"/>
  <c r="P259" i="16" s="1"/>
  <c r="B262" i="16"/>
  <c r="L262" i="16"/>
  <c r="A263" i="16"/>
  <c r="G260" i="16"/>
  <c r="E261" i="16"/>
  <c r="F261" i="16"/>
  <c r="D261" i="16"/>
  <c r="G261" i="16" l="1"/>
  <c r="B263" i="16"/>
  <c r="A264" i="16"/>
  <c r="L263" i="16"/>
  <c r="H260" i="16"/>
  <c r="I260" i="16" s="1"/>
  <c r="K260" i="16" s="1"/>
  <c r="M260" i="16" s="1"/>
  <c r="N260" i="16" s="1"/>
  <c r="F262" i="16"/>
  <c r="E262" i="16"/>
  <c r="D262" i="16"/>
  <c r="O260" i="16" l="1"/>
  <c r="P260" i="16" s="1"/>
  <c r="B264" i="16"/>
  <c r="L264" i="16"/>
  <c r="A265" i="16"/>
  <c r="F263" i="16"/>
  <c r="E263" i="16"/>
  <c r="D263" i="16"/>
  <c r="G262" i="16"/>
  <c r="H261" i="16"/>
  <c r="I261" i="16" s="1"/>
  <c r="K261" i="16" s="1"/>
  <c r="M261" i="16" s="1"/>
  <c r="N261" i="16" s="1"/>
  <c r="G263" i="16" l="1"/>
  <c r="H263" i="16" s="1"/>
  <c r="I263" i="16" s="1"/>
  <c r="K263" i="16" s="1"/>
  <c r="M263" i="16" s="1"/>
  <c r="O261" i="16"/>
  <c r="P261" i="16"/>
  <c r="H262" i="16"/>
  <c r="I262" i="16" s="1"/>
  <c r="K262" i="16" s="1"/>
  <c r="M262" i="16" s="1"/>
  <c r="N262" i="16" s="1"/>
  <c r="B265" i="16"/>
  <c r="A266" i="16"/>
  <c r="L265" i="16"/>
  <c r="F264" i="16"/>
  <c r="E264" i="16"/>
  <c r="D264" i="16"/>
  <c r="N263" i="16" l="1"/>
  <c r="O263" i="16" s="1"/>
  <c r="P263" i="16" s="1"/>
  <c r="O262" i="16"/>
  <c r="P262" i="16"/>
  <c r="B266" i="16"/>
  <c r="L266" i="16"/>
  <c r="A267" i="16"/>
  <c r="G264" i="16"/>
  <c r="F265" i="16"/>
  <c r="E265" i="16"/>
  <c r="D265" i="16"/>
  <c r="G265" i="16" l="1"/>
  <c r="F266" i="16"/>
  <c r="E266" i="16"/>
  <c r="D266" i="16"/>
  <c r="B267" i="16"/>
  <c r="L267" i="16"/>
  <c r="A268" i="16"/>
  <c r="H264" i="16"/>
  <c r="I264" i="16" s="1"/>
  <c r="K264" i="16" s="1"/>
  <c r="M264" i="16" s="1"/>
  <c r="N264" i="16" l="1"/>
  <c r="O264" i="16" s="1"/>
  <c r="P264" i="16" s="1"/>
  <c r="H265" i="16"/>
  <c r="I265" i="16" s="1"/>
  <c r="K265" i="16" s="1"/>
  <c r="M265" i="16" s="1"/>
  <c r="N265" i="16" s="1"/>
  <c r="G266" i="16"/>
  <c r="H266" i="16" s="1"/>
  <c r="I266" i="16" s="1"/>
  <c r="K266" i="16" s="1"/>
  <c r="M266" i="16" s="1"/>
  <c r="E267" i="16"/>
  <c r="F267" i="16"/>
  <c r="D267" i="16"/>
  <c r="B268" i="16"/>
  <c r="A269" i="16"/>
  <c r="L268" i="16"/>
  <c r="N266" i="16" l="1"/>
  <c r="O266" i="16" s="1"/>
  <c r="P266" i="16" s="1"/>
  <c r="O265" i="16"/>
  <c r="P265" i="16"/>
  <c r="F268" i="16"/>
  <c r="E268" i="16"/>
  <c r="D268" i="16"/>
  <c r="B269" i="16"/>
  <c r="L269" i="16"/>
  <c r="A270" i="16"/>
  <c r="G267" i="16"/>
  <c r="G268" i="16" l="1"/>
  <c r="H268" i="16" s="1"/>
  <c r="I268" i="16" s="1"/>
  <c r="K268" i="16" s="1"/>
  <c r="M268" i="16" s="1"/>
  <c r="H267" i="16"/>
  <c r="I267" i="16" s="1"/>
  <c r="K267" i="16" s="1"/>
  <c r="M267" i="16" s="1"/>
  <c r="N267" i="16" s="1"/>
  <c r="F269" i="16"/>
  <c r="E269" i="16"/>
  <c r="D269" i="16"/>
  <c r="B270" i="16"/>
  <c r="A271" i="16"/>
  <c r="L270" i="16"/>
  <c r="N268" i="16" l="1"/>
  <c r="O268" i="16" s="1"/>
  <c r="P268" i="16" s="1"/>
  <c r="O267" i="16"/>
  <c r="P267" i="16"/>
  <c r="B271" i="16"/>
  <c r="A272" i="16"/>
  <c r="L271" i="16"/>
  <c r="F270" i="16"/>
  <c r="E270" i="16"/>
  <c r="D270" i="16"/>
  <c r="G269" i="16"/>
  <c r="E271" i="16" l="1"/>
  <c r="F271" i="16"/>
  <c r="D271" i="16"/>
  <c r="H269" i="16"/>
  <c r="I269" i="16" s="1"/>
  <c r="K269" i="16" s="1"/>
  <c r="M269" i="16" s="1"/>
  <c r="N269" i="16" s="1"/>
  <c r="B272" i="16"/>
  <c r="L272" i="16"/>
  <c r="A273" i="16"/>
  <c r="G270" i="16"/>
  <c r="O269" i="16" l="1"/>
  <c r="P269" i="16" s="1"/>
  <c r="G271" i="16"/>
  <c r="H271" i="16" s="1"/>
  <c r="H270" i="16"/>
  <c r="I270" i="16" s="1"/>
  <c r="K270" i="16" s="1"/>
  <c r="M270" i="16" s="1"/>
  <c r="N270" i="16" s="1"/>
  <c r="F272" i="16"/>
  <c r="E272" i="16"/>
  <c r="D272" i="16"/>
  <c r="B273" i="16"/>
  <c r="L273" i="16"/>
  <c r="A274" i="16"/>
  <c r="O270" i="16" l="1"/>
  <c r="P270" i="16" s="1"/>
  <c r="I271" i="16"/>
  <c r="K271" i="16" s="1"/>
  <c r="M271" i="16" s="1"/>
  <c r="N271" i="16" s="1"/>
  <c r="G272" i="16"/>
  <c r="H272" i="16" s="1"/>
  <c r="E273" i="16"/>
  <c r="F273" i="16"/>
  <c r="D273" i="16"/>
  <c r="B274" i="16"/>
  <c r="L274" i="16"/>
  <c r="A275" i="16"/>
  <c r="O271" i="16" l="1"/>
  <c r="P271" i="16" s="1"/>
  <c r="I272" i="16"/>
  <c r="K272" i="16" s="1"/>
  <c r="M272" i="16" s="1"/>
  <c r="N272" i="16" s="1"/>
  <c r="F274" i="16"/>
  <c r="E274" i="16"/>
  <c r="D274" i="16"/>
  <c r="B275" i="16"/>
  <c r="A276" i="16"/>
  <c r="L275" i="16"/>
  <c r="G273" i="16"/>
  <c r="O272" i="16" l="1"/>
  <c r="P272" i="16"/>
  <c r="G274" i="16"/>
  <c r="H274" i="16" s="1"/>
  <c r="I274" i="16" s="1"/>
  <c r="K274" i="16" s="1"/>
  <c r="M274" i="16" s="1"/>
  <c r="B276" i="16"/>
  <c r="L276" i="16"/>
  <c r="A277" i="16"/>
  <c r="H273" i="16"/>
  <c r="I273" i="16" s="1"/>
  <c r="K273" i="16" s="1"/>
  <c r="M273" i="16" s="1"/>
  <c r="E275" i="16"/>
  <c r="F275" i="16"/>
  <c r="D275" i="16"/>
  <c r="N273" i="16" l="1"/>
  <c r="O273" i="16" s="1"/>
  <c r="P273" i="16" s="1"/>
  <c r="N274" i="16"/>
  <c r="O274" i="16" s="1"/>
  <c r="P274" i="16" s="1"/>
  <c r="G275" i="16"/>
  <c r="H275" i="16" s="1"/>
  <c r="I275" i="16" s="1"/>
  <c r="K275" i="16" s="1"/>
  <c r="M275" i="16" s="1"/>
  <c r="N275" i="16" s="1"/>
  <c r="B277" i="16"/>
  <c r="A278" i="16"/>
  <c r="L277" i="16"/>
  <c r="F276" i="16"/>
  <c r="E276" i="16"/>
  <c r="D276" i="16"/>
  <c r="O275" i="16" l="1"/>
  <c r="P275" i="16"/>
  <c r="B278" i="16"/>
  <c r="L278" i="16"/>
  <c r="A279" i="16"/>
  <c r="G276" i="16"/>
  <c r="F277" i="16"/>
  <c r="E277" i="16"/>
  <c r="D277" i="16"/>
  <c r="G277" i="16" l="1"/>
  <c r="H277" i="16" s="1"/>
  <c r="I277" i="16" s="1"/>
  <c r="K277" i="16" s="1"/>
  <c r="M277" i="16" s="1"/>
  <c r="N277" i="16" s="1"/>
  <c r="F278" i="16"/>
  <c r="E278" i="16"/>
  <c r="D278" i="16"/>
  <c r="H276" i="16"/>
  <c r="I276" i="16" s="1"/>
  <c r="K276" i="16" s="1"/>
  <c r="M276" i="16" s="1"/>
  <c r="N276" i="16" s="1"/>
  <c r="B279" i="16"/>
  <c r="A280" i="16"/>
  <c r="L279" i="16"/>
  <c r="O277" i="16" l="1"/>
  <c r="P277" i="16"/>
  <c r="O276" i="16"/>
  <c r="P276" i="16"/>
  <c r="G278" i="16"/>
  <c r="H278" i="16" s="1"/>
  <c r="I278" i="16" s="1"/>
  <c r="K278" i="16" s="1"/>
  <c r="M278" i="16" s="1"/>
  <c r="B280" i="16"/>
  <c r="L280" i="16"/>
  <c r="A281" i="16"/>
  <c r="F279" i="16"/>
  <c r="E279" i="16"/>
  <c r="D279" i="16"/>
  <c r="N278" i="16" l="1"/>
  <c r="O278" i="16" s="1"/>
  <c r="P278" i="16" s="1"/>
  <c r="B281" i="16"/>
  <c r="A282" i="16"/>
  <c r="L281" i="16"/>
  <c r="F280" i="16"/>
  <c r="E280" i="16"/>
  <c r="D280" i="16"/>
  <c r="G279" i="16"/>
  <c r="B282" i="16" l="1"/>
  <c r="A283" i="16"/>
  <c r="L282" i="16"/>
  <c r="H279" i="16"/>
  <c r="I279" i="16" s="1"/>
  <c r="K279" i="16" s="1"/>
  <c r="M279" i="16" s="1"/>
  <c r="G280" i="16"/>
  <c r="F281" i="16"/>
  <c r="E281" i="16"/>
  <c r="D281" i="16"/>
  <c r="N279" i="16" l="1"/>
  <c r="O279" i="16" s="1"/>
  <c r="P279" i="16" s="1"/>
  <c r="B283" i="16"/>
  <c r="A284" i="16"/>
  <c r="L283" i="16"/>
  <c r="G281" i="16"/>
  <c r="H280" i="16"/>
  <c r="I280" i="16" s="1"/>
  <c r="K280" i="16" s="1"/>
  <c r="M280" i="16" s="1"/>
  <c r="F282" i="16"/>
  <c r="E282" i="16"/>
  <c r="D282" i="16"/>
  <c r="N280" i="16" l="1"/>
  <c r="O280" i="16" s="1"/>
  <c r="P280" i="16" s="1"/>
  <c r="G282" i="16"/>
  <c r="H282" i="16" s="1"/>
  <c r="B284" i="16"/>
  <c r="L284" i="16"/>
  <c r="A285" i="16"/>
  <c r="E283" i="16"/>
  <c r="F283" i="16"/>
  <c r="D283" i="16"/>
  <c r="H281" i="16"/>
  <c r="I281" i="16" s="1"/>
  <c r="K281" i="16" s="1"/>
  <c r="M281" i="16" s="1"/>
  <c r="N281" i="16" l="1"/>
  <c r="O281" i="16" s="1"/>
  <c r="P281" i="16" s="1"/>
  <c r="I282" i="16"/>
  <c r="K282" i="16" s="1"/>
  <c r="M282" i="16" s="1"/>
  <c r="G283" i="16"/>
  <c r="F284" i="16"/>
  <c r="E284" i="16"/>
  <c r="D284" i="16"/>
  <c r="B285" i="16"/>
  <c r="A286" i="16"/>
  <c r="L285" i="16"/>
  <c r="N282" i="16" l="1"/>
  <c r="O282" i="16" s="1"/>
  <c r="P282" i="16" s="1"/>
  <c r="F285" i="16"/>
  <c r="E285" i="16"/>
  <c r="D285" i="16"/>
  <c r="H283" i="16"/>
  <c r="I283" i="16" s="1"/>
  <c r="K283" i="16" s="1"/>
  <c r="M283" i="16" s="1"/>
  <c r="G284" i="16"/>
  <c r="B286" i="16"/>
  <c r="A287" i="16"/>
  <c r="L286" i="16"/>
  <c r="N283" i="16" l="1"/>
  <c r="O283" i="16" s="1"/>
  <c r="P283" i="16" s="1"/>
  <c r="H284" i="16"/>
  <c r="I284" i="16" s="1"/>
  <c r="K284" i="16" s="1"/>
  <c r="M284" i="16" s="1"/>
  <c r="B287" i="16"/>
  <c r="A288" i="16"/>
  <c r="L287" i="16"/>
  <c r="G285" i="16"/>
  <c r="F286" i="16"/>
  <c r="E286" i="16"/>
  <c r="D286" i="16"/>
  <c r="N284" i="16" l="1"/>
  <c r="O284" i="16" s="1"/>
  <c r="P284" i="16" s="1"/>
  <c r="B288" i="16"/>
  <c r="L288" i="16"/>
  <c r="A289" i="16"/>
  <c r="G286" i="16"/>
  <c r="H285" i="16"/>
  <c r="I285" i="16" s="1"/>
  <c r="K285" i="16" s="1"/>
  <c r="M285" i="16" s="1"/>
  <c r="E287" i="16"/>
  <c r="F287" i="16"/>
  <c r="D287" i="16"/>
  <c r="N285" i="16" l="1"/>
  <c r="O285" i="16" s="1"/>
  <c r="P285" i="16" s="1"/>
  <c r="G287" i="16"/>
  <c r="H287" i="16" s="1"/>
  <c r="I287" i="16" s="1"/>
  <c r="K287" i="16" s="1"/>
  <c r="M287" i="16" s="1"/>
  <c r="F288" i="16"/>
  <c r="E288" i="16"/>
  <c r="D288" i="16"/>
  <c r="H286" i="16"/>
  <c r="I286" i="16" s="1"/>
  <c r="K286" i="16" s="1"/>
  <c r="M286" i="16" s="1"/>
  <c r="B289" i="16"/>
  <c r="L289" i="16"/>
  <c r="A290" i="16"/>
  <c r="N287" i="16" l="1"/>
  <c r="O287" i="16" s="1"/>
  <c r="P287" i="16" s="1"/>
  <c r="N286" i="16"/>
  <c r="O286" i="16" s="1"/>
  <c r="P286" i="16" s="1"/>
  <c r="F289" i="16"/>
  <c r="E289" i="16"/>
  <c r="D289" i="16"/>
  <c r="B290" i="16"/>
  <c r="L290" i="16"/>
  <c r="A291" i="16"/>
  <c r="G288" i="16"/>
  <c r="G289" i="16" l="1"/>
  <c r="H289" i="16" s="1"/>
  <c r="I289" i="16" s="1"/>
  <c r="K289" i="16" s="1"/>
  <c r="M289" i="16" s="1"/>
  <c r="F290" i="16"/>
  <c r="E290" i="16"/>
  <c r="D290" i="16"/>
  <c r="H288" i="16"/>
  <c r="I288" i="16" s="1"/>
  <c r="K288" i="16" s="1"/>
  <c r="M288" i="16" s="1"/>
  <c r="B291" i="16"/>
  <c r="A292" i="16"/>
  <c r="L291" i="16"/>
  <c r="N288" i="16" l="1"/>
  <c r="O288" i="16" s="1"/>
  <c r="P288" i="16" s="1"/>
  <c r="N289" i="16"/>
  <c r="O289" i="16" s="1"/>
  <c r="P289" i="16" s="1"/>
  <c r="B292" i="16"/>
  <c r="L292" i="16"/>
  <c r="A293" i="16"/>
  <c r="E291" i="16"/>
  <c r="F291" i="16"/>
  <c r="D291" i="16"/>
  <c r="G290" i="16"/>
  <c r="G291" i="16" l="1"/>
  <c r="H291" i="16" s="1"/>
  <c r="I291" i="16" s="1"/>
  <c r="K291" i="16" s="1"/>
  <c r="M291" i="16" s="1"/>
  <c r="H290" i="16"/>
  <c r="I290" i="16" s="1"/>
  <c r="K290" i="16" s="1"/>
  <c r="M290" i="16" s="1"/>
  <c r="B293" i="16"/>
  <c r="L293" i="16"/>
  <c r="A294" i="16"/>
  <c r="F292" i="16"/>
  <c r="E292" i="16"/>
  <c r="D292" i="16"/>
  <c r="N290" i="16" l="1"/>
  <c r="O290" i="16" s="1"/>
  <c r="P290" i="16" s="1"/>
  <c r="N291" i="16"/>
  <c r="O291" i="16" s="1"/>
  <c r="P291" i="16" s="1"/>
  <c r="G292" i="16"/>
  <c r="H292" i="16" s="1"/>
  <c r="F293" i="16"/>
  <c r="E293" i="16"/>
  <c r="D293" i="16"/>
  <c r="B294" i="16"/>
  <c r="A295" i="16"/>
  <c r="L294" i="16"/>
  <c r="G293" i="16" l="1"/>
  <c r="H293" i="16" s="1"/>
  <c r="I293" i="16" s="1"/>
  <c r="K293" i="16" s="1"/>
  <c r="M293" i="16" s="1"/>
  <c r="I292" i="16"/>
  <c r="K292" i="16" s="1"/>
  <c r="M292" i="16" s="1"/>
  <c r="E294" i="16"/>
  <c r="F294" i="16"/>
  <c r="D294" i="16"/>
  <c r="B295" i="16"/>
  <c r="A296" i="16"/>
  <c r="L295" i="16"/>
  <c r="N293" i="16" l="1"/>
  <c r="O293" i="16" s="1"/>
  <c r="P293" i="16" s="1"/>
  <c r="N292" i="16"/>
  <c r="O292" i="16" s="1"/>
  <c r="P292" i="16" s="1"/>
  <c r="F295" i="16"/>
  <c r="E295" i="16"/>
  <c r="D295" i="16"/>
  <c r="B296" i="16"/>
  <c r="A297" i="16"/>
  <c r="L296" i="16"/>
  <c r="G294" i="16"/>
  <c r="F296" i="16" l="1"/>
  <c r="E296" i="16"/>
  <c r="D296" i="16"/>
  <c r="H294" i="16"/>
  <c r="I294" i="16" s="1"/>
  <c r="K294" i="16" s="1"/>
  <c r="M294" i="16" s="1"/>
  <c r="B297" i="16"/>
  <c r="A298" i="16"/>
  <c r="L297" i="16"/>
  <c r="G295" i="16"/>
  <c r="N294" i="16" l="1"/>
  <c r="O294" i="16" s="1"/>
  <c r="P294" i="16" s="1"/>
  <c r="G296" i="16"/>
  <c r="F297" i="16"/>
  <c r="E297" i="16"/>
  <c r="D297" i="16"/>
  <c r="B298" i="16"/>
  <c r="L298" i="16"/>
  <c r="A299" i="16"/>
  <c r="H295" i="16"/>
  <c r="I295" i="16" s="1"/>
  <c r="K295" i="16" s="1"/>
  <c r="M295" i="16" s="1"/>
  <c r="N295" i="16" l="1"/>
  <c r="O295" i="16" s="1"/>
  <c r="P295" i="16" s="1"/>
  <c r="H296" i="16"/>
  <c r="I296" i="16" s="1"/>
  <c r="K296" i="16" s="1"/>
  <c r="M296" i="16" s="1"/>
  <c r="F298" i="16"/>
  <c r="E298" i="16"/>
  <c r="D298" i="16"/>
  <c r="B299" i="16"/>
  <c r="A300" i="16"/>
  <c r="L299" i="16"/>
  <c r="G297" i="16"/>
  <c r="N296" i="16" l="1"/>
  <c r="O296" i="16" s="1"/>
  <c r="P296" i="16" s="1"/>
  <c r="E299" i="16"/>
  <c r="F299" i="16"/>
  <c r="D299" i="16"/>
  <c r="H297" i="16"/>
  <c r="I297" i="16" s="1"/>
  <c r="K297" i="16" s="1"/>
  <c r="M297" i="16" s="1"/>
  <c r="B300" i="16"/>
  <c r="A301" i="16"/>
  <c r="L300" i="16"/>
  <c r="G298" i="16"/>
  <c r="N297" i="16" l="1"/>
  <c r="O297" i="16" s="1"/>
  <c r="P297" i="16" s="1"/>
  <c r="G299" i="16"/>
  <c r="H299" i="16" s="1"/>
  <c r="I299" i="16" s="1"/>
  <c r="K299" i="16" s="1"/>
  <c r="M299" i="16" s="1"/>
  <c r="B301" i="16"/>
  <c r="A302" i="16"/>
  <c r="L301" i="16"/>
  <c r="H298" i="16"/>
  <c r="I298" i="16" s="1"/>
  <c r="K298" i="16" s="1"/>
  <c r="M298" i="16" s="1"/>
  <c r="F300" i="16"/>
  <c r="E300" i="16"/>
  <c r="D300" i="16"/>
  <c r="N299" i="16" l="1"/>
  <c r="O299" i="16" s="1"/>
  <c r="P299" i="16" s="1"/>
  <c r="N298" i="16"/>
  <c r="O298" i="16" s="1"/>
  <c r="P298" i="16" s="1"/>
  <c r="B302" i="16"/>
  <c r="L302" i="16"/>
  <c r="A303" i="16"/>
  <c r="G300" i="16"/>
  <c r="H300" i="16" s="1"/>
  <c r="I300" i="16" s="1"/>
  <c r="K300" i="16" s="1"/>
  <c r="M300" i="16" s="1"/>
  <c r="F301" i="16"/>
  <c r="E301" i="16"/>
  <c r="D301" i="16"/>
  <c r="N300" i="16" l="1"/>
  <c r="O300" i="16" s="1"/>
  <c r="P300" i="16" s="1"/>
  <c r="G301" i="16"/>
  <c r="B303" i="16"/>
  <c r="A304" i="16"/>
  <c r="L303" i="16"/>
  <c r="F302" i="16"/>
  <c r="E302" i="16"/>
  <c r="D302" i="16"/>
  <c r="G302" i="16" l="1"/>
  <c r="H302" i="16" s="1"/>
  <c r="I302" i="16" s="1"/>
  <c r="K302" i="16" s="1"/>
  <c r="M302" i="16" s="1"/>
  <c r="B304" i="16"/>
  <c r="L304" i="16"/>
  <c r="A305" i="16"/>
  <c r="E303" i="16"/>
  <c r="F303" i="16"/>
  <c r="D303" i="16"/>
  <c r="H301" i="16"/>
  <c r="I301" i="16" s="1"/>
  <c r="K301" i="16" s="1"/>
  <c r="M301" i="16" s="1"/>
  <c r="N301" i="16" l="1"/>
  <c r="O301" i="16" s="1"/>
  <c r="P301" i="16" s="1"/>
  <c r="N302" i="16"/>
  <c r="O302" i="16" s="1"/>
  <c r="P302" i="16" s="1"/>
  <c r="G303" i="16"/>
  <c r="H303" i="16" s="1"/>
  <c r="I303" i="16" s="1"/>
  <c r="K303" i="16" s="1"/>
  <c r="M303" i="16" s="1"/>
  <c r="B305" i="16"/>
  <c r="A306" i="16"/>
  <c r="L305" i="16"/>
  <c r="F304" i="16"/>
  <c r="E304" i="16"/>
  <c r="D304" i="16"/>
  <c r="N303" i="16" l="1"/>
  <c r="O303" i="16" s="1"/>
  <c r="P303" i="16" s="1"/>
  <c r="G304" i="16"/>
  <c r="H304" i="16" s="1"/>
  <c r="I304" i="16" s="1"/>
  <c r="K304" i="16" s="1"/>
  <c r="M304" i="16" s="1"/>
  <c r="B306" i="16"/>
  <c r="L306" i="16"/>
  <c r="A307" i="16"/>
  <c r="E305" i="16"/>
  <c r="F305" i="16"/>
  <c r="D305" i="16"/>
  <c r="N304" i="16" l="1"/>
  <c r="O304" i="16" s="1"/>
  <c r="P304" i="16" s="1"/>
  <c r="B307" i="16"/>
  <c r="A308" i="16"/>
  <c r="L307" i="16"/>
  <c r="G305" i="16"/>
  <c r="H305" i="16" s="1"/>
  <c r="I305" i="16" s="1"/>
  <c r="K305" i="16" s="1"/>
  <c r="M305" i="16" s="1"/>
  <c r="F306" i="16"/>
  <c r="E306" i="16"/>
  <c r="D306" i="16"/>
  <c r="N305" i="16" l="1"/>
  <c r="O305" i="16" s="1"/>
  <c r="P305" i="16" s="1"/>
  <c r="G306" i="16"/>
  <c r="H306" i="16" s="1"/>
  <c r="I306" i="16" s="1"/>
  <c r="K306" i="16" s="1"/>
  <c r="M306" i="16" s="1"/>
  <c r="B308" i="16"/>
  <c r="A309" i="16"/>
  <c r="L308" i="16"/>
  <c r="F307" i="16"/>
  <c r="E307" i="16"/>
  <c r="D307" i="16"/>
  <c r="N306" i="16" l="1"/>
  <c r="O306" i="16" s="1"/>
  <c r="P306" i="16" s="1"/>
  <c r="B309" i="16"/>
  <c r="L309" i="16"/>
  <c r="A310" i="16"/>
  <c r="G307" i="16"/>
  <c r="F308" i="16"/>
  <c r="E308" i="16"/>
  <c r="D308" i="16"/>
  <c r="G308" i="16" l="1"/>
  <c r="H308" i="16" s="1"/>
  <c r="B310" i="16"/>
  <c r="L310" i="16"/>
  <c r="A311" i="16"/>
  <c r="H307" i="16"/>
  <c r="I307" i="16" s="1"/>
  <c r="K307" i="16" s="1"/>
  <c r="M307" i="16" s="1"/>
  <c r="E309" i="16"/>
  <c r="F309" i="16"/>
  <c r="D309" i="16"/>
  <c r="N307" i="16" l="1"/>
  <c r="O307" i="16" s="1"/>
  <c r="P307" i="16" s="1"/>
  <c r="I308" i="16"/>
  <c r="K308" i="16" s="1"/>
  <c r="M308" i="16" s="1"/>
  <c r="G309" i="16"/>
  <c r="H309" i="16" s="1"/>
  <c r="I309" i="16" s="1"/>
  <c r="K309" i="16" s="1"/>
  <c r="M309" i="16" s="1"/>
  <c r="B311" i="16"/>
  <c r="A312" i="16"/>
  <c r="L311" i="16"/>
  <c r="F310" i="16"/>
  <c r="E310" i="16"/>
  <c r="D310" i="16"/>
  <c r="N309" i="16" l="1"/>
  <c r="O309" i="16" s="1"/>
  <c r="P309" i="16" s="1"/>
  <c r="N308" i="16"/>
  <c r="O308" i="16" s="1"/>
  <c r="P308" i="16" s="1"/>
  <c r="B312" i="16"/>
  <c r="L312" i="16"/>
  <c r="A313" i="16"/>
  <c r="G310" i="16"/>
  <c r="F311" i="16"/>
  <c r="E311" i="16"/>
  <c r="D311" i="16"/>
  <c r="G311" i="16" l="1"/>
  <c r="H311" i="16" s="1"/>
  <c r="I311" i="16" s="1"/>
  <c r="K311" i="16" s="1"/>
  <c r="M311" i="16" s="1"/>
  <c r="B313" i="16"/>
  <c r="A314" i="16"/>
  <c r="L313" i="16"/>
  <c r="H310" i="16"/>
  <c r="I310" i="16" s="1"/>
  <c r="K310" i="16" s="1"/>
  <c r="M310" i="16" s="1"/>
  <c r="F312" i="16"/>
  <c r="E312" i="16"/>
  <c r="D312" i="16"/>
  <c r="N310" i="16" l="1"/>
  <c r="O310" i="16" s="1"/>
  <c r="P310" i="16" s="1"/>
  <c r="N311" i="16"/>
  <c r="O311" i="16" s="1"/>
  <c r="P311" i="16" s="1"/>
  <c r="B314" i="16"/>
  <c r="A315" i="16"/>
  <c r="L314" i="16"/>
  <c r="G312" i="16"/>
  <c r="F313" i="16"/>
  <c r="E313" i="16"/>
  <c r="D313" i="16"/>
  <c r="H312" i="16" l="1"/>
  <c r="I312" i="16" s="1"/>
  <c r="K312" i="16" s="1"/>
  <c r="M312" i="16" s="1"/>
  <c r="B315" i="16"/>
  <c r="A316" i="16"/>
  <c r="L315" i="16"/>
  <c r="G313" i="16"/>
  <c r="H313" i="16" s="1"/>
  <c r="I313" i="16" s="1"/>
  <c r="K313" i="16" s="1"/>
  <c r="M313" i="16" s="1"/>
  <c r="F314" i="16"/>
  <c r="E314" i="16"/>
  <c r="D314" i="16"/>
  <c r="N313" i="16" l="1"/>
  <c r="O313" i="16" s="1"/>
  <c r="P313" i="16" s="1"/>
  <c r="N312" i="16"/>
  <c r="O312" i="16" s="1"/>
  <c r="P312" i="16" s="1"/>
  <c r="G314" i="16"/>
  <c r="H314" i="16" s="1"/>
  <c r="I314" i="16" s="1"/>
  <c r="K314" i="16" s="1"/>
  <c r="M314" i="16" s="1"/>
  <c r="F315" i="16"/>
  <c r="E315" i="16"/>
  <c r="D315" i="16"/>
  <c r="B316" i="16"/>
  <c r="A317" i="16"/>
  <c r="L316" i="16"/>
  <c r="N314" i="16" l="1"/>
  <c r="O314" i="16" s="1"/>
  <c r="P314" i="16" s="1"/>
  <c r="G315" i="16"/>
  <c r="H315" i="16" s="1"/>
  <c r="I315" i="16" s="1"/>
  <c r="K315" i="16" s="1"/>
  <c r="M315" i="16" s="1"/>
  <c r="F316" i="16"/>
  <c r="E316" i="16"/>
  <c r="D316" i="16"/>
  <c r="B317" i="16"/>
  <c r="A318" i="16"/>
  <c r="L317" i="16"/>
  <c r="N315" i="16" l="1"/>
  <c r="O315" i="16" s="1"/>
  <c r="P315" i="16" s="1"/>
  <c r="G316" i="16"/>
  <c r="H316" i="16" s="1"/>
  <c r="I316" i="16" s="1"/>
  <c r="K316" i="16" s="1"/>
  <c r="M316" i="16" s="1"/>
  <c r="B318" i="16"/>
  <c r="A319" i="16"/>
  <c r="L318" i="16"/>
  <c r="F317" i="16"/>
  <c r="E317" i="16"/>
  <c r="D317" i="16"/>
  <c r="N316" i="16" l="1"/>
  <c r="O316" i="16" s="1"/>
  <c r="P316" i="16" s="1"/>
  <c r="G317" i="16"/>
  <c r="H317" i="16" s="1"/>
  <c r="I317" i="16" s="1"/>
  <c r="K317" i="16" s="1"/>
  <c r="M317" i="16" s="1"/>
  <c r="B319" i="16"/>
  <c r="L319" i="16"/>
  <c r="A320" i="16"/>
  <c r="F318" i="16"/>
  <c r="E318" i="16"/>
  <c r="D318" i="16"/>
  <c r="N317" i="16" l="1"/>
  <c r="O317" i="16" s="1"/>
  <c r="P317" i="16" s="1"/>
  <c r="B320" i="16"/>
  <c r="L320" i="16"/>
  <c r="A321" i="16"/>
  <c r="G318" i="16"/>
  <c r="E319" i="16"/>
  <c r="F319" i="16"/>
  <c r="D319" i="16"/>
  <c r="B321" i="16" l="1"/>
  <c r="A322" i="16"/>
  <c r="L321" i="16"/>
  <c r="G319" i="16"/>
  <c r="H318" i="16"/>
  <c r="I318" i="16" s="1"/>
  <c r="K318" i="16" s="1"/>
  <c r="M318" i="16" s="1"/>
  <c r="F320" i="16"/>
  <c r="E320" i="16"/>
  <c r="D320" i="16"/>
  <c r="N318" i="16" l="1"/>
  <c r="O318" i="16" s="1"/>
  <c r="P318" i="16" s="1"/>
  <c r="B322" i="16"/>
  <c r="L322" i="16"/>
  <c r="A323" i="16"/>
  <c r="G320" i="16"/>
  <c r="H319" i="16"/>
  <c r="I319" i="16" s="1"/>
  <c r="K319" i="16" s="1"/>
  <c r="M319" i="16" s="1"/>
  <c r="F321" i="16"/>
  <c r="E321" i="16"/>
  <c r="D321" i="16"/>
  <c r="N319" i="16" l="1"/>
  <c r="O319" i="16" s="1"/>
  <c r="P319" i="16" s="1"/>
  <c r="G321" i="16"/>
  <c r="H321" i="16" s="1"/>
  <c r="I321" i="16" s="1"/>
  <c r="K321" i="16" s="1"/>
  <c r="M321" i="16" s="1"/>
  <c r="B323" i="16"/>
  <c r="L323" i="16"/>
  <c r="A324" i="16"/>
  <c r="H320" i="16"/>
  <c r="I320" i="16" s="1"/>
  <c r="K320" i="16" s="1"/>
  <c r="M320" i="16" s="1"/>
  <c r="F322" i="16"/>
  <c r="E322" i="16"/>
  <c r="D322" i="16"/>
  <c r="N320" i="16" l="1"/>
  <c r="O320" i="16" s="1"/>
  <c r="P320" i="16" s="1"/>
  <c r="N321" i="16"/>
  <c r="O321" i="16" s="1"/>
  <c r="P321" i="16" s="1"/>
  <c r="B324" i="16"/>
  <c r="A325" i="16"/>
  <c r="L324" i="16"/>
  <c r="G322" i="16"/>
  <c r="H322" i="16" s="1"/>
  <c r="I322" i="16" s="1"/>
  <c r="K322" i="16" s="1"/>
  <c r="M322" i="16" s="1"/>
  <c r="N322" i="16" s="1"/>
  <c r="E323" i="16"/>
  <c r="F323" i="16"/>
  <c r="D323" i="16"/>
  <c r="O322" i="16" l="1"/>
  <c r="P322" i="16" s="1"/>
  <c r="B325" i="16"/>
  <c r="A326" i="16"/>
  <c r="L325" i="16"/>
  <c r="G323" i="16"/>
  <c r="H323" i="16" s="1"/>
  <c r="I323" i="16" s="1"/>
  <c r="K323" i="16" s="1"/>
  <c r="M323" i="16" s="1"/>
  <c r="F324" i="16"/>
  <c r="E324" i="16"/>
  <c r="D324" i="16"/>
  <c r="N323" i="16" l="1"/>
  <c r="O323" i="16" s="1"/>
  <c r="P323" i="16" s="1"/>
  <c r="G324" i="16"/>
  <c r="B326" i="16"/>
  <c r="A327" i="16"/>
  <c r="L326" i="16"/>
  <c r="E325" i="16"/>
  <c r="F325" i="16"/>
  <c r="D325" i="16"/>
  <c r="B327" i="16" l="1"/>
  <c r="A328" i="16"/>
  <c r="L327" i="16"/>
  <c r="G325" i="16"/>
  <c r="F326" i="16"/>
  <c r="E326" i="16"/>
  <c r="D326" i="16"/>
  <c r="H324" i="16"/>
  <c r="I324" i="16" s="1"/>
  <c r="K324" i="16" s="1"/>
  <c r="M324" i="16" s="1"/>
  <c r="N324" i="16" l="1"/>
  <c r="O324" i="16" s="1"/>
  <c r="P324" i="16" s="1"/>
  <c r="G326" i="16"/>
  <c r="H326" i="16" s="1"/>
  <c r="I326" i="16" s="1"/>
  <c r="K326" i="16" s="1"/>
  <c r="M326" i="16" s="1"/>
  <c r="B328" i="16"/>
  <c r="L328" i="16"/>
  <c r="A329" i="16"/>
  <c r="H325" i="16"/>
  <c r="I325" i="16" s="1"/>
  <c r="K325" i="16" s="1"/>
  <c r="M325" i="16" s="1"/>
  <c r="F327" i="16"/>
  <c r="E327" i="16"/>
  <c r="D327" i="16"/>
  <c r="N325" i="16" l="1"/>
  <c r="O325" i="16" s="1"/>
  <c r="P325" i="16" s="1"/>
  <c r="N326" i="16"/>
  <c r="O326" i="16" s="1"/>
  <c r="P326" i="16" s="1"/>
  <c r="F328" i="16"/>
  <c r="E328" i="16"/>
  <c r="D328" i="16"/>
  <c r="G327" i="16"/>
  <c r="B329" i="16"/>
  <c r="L329" i="16"/>
  <c r="A330" i="16"/>
  <c r="G328" i="16" l="1"/>
  <c r="H327" i="16"/>
  <c r="I327" i="16" s="1"/>
  <c r="K327" i="16" s="1"/>
  <c r="M327" i="16" s="1"/>
  <c r="B330" i="16"/>
  <c r="A331" i="16"/>
  <c r="L330" i="16"/>
  <c r="F329" i="16"/>
  <c r="E329" i="16"/>
  <c r="D329" i="16"/>
  <c r="N327" i="16" l="1"/>
  <c r="O327" i="16" s="1"/>
  <c r="P327" i="16" s="1"/>
  <c r="G329" i="16"/>
  <c r="H329" i="16" s="1"/>
  <c r="H328" i="16"/>
  <c r="I328" i="16" s="1"/>
  <c r="K328" i="16" s="1"/>
  <c r="M328" i="16" s="1"/>
  <c r="F330" i="16"/>
  <c r="E330" i="16"/>
  <c r="D330" i="16"/>
  <c r="B331" i="16"/>
  <c r="L331" i="16"/>
  <c r="A332" i="16"/>
  <c r="N328" i="16" l="1"/>
  <c r="O328" i="16" s="1"/>
  <c r="P328" i="16" s="1"/>
  <c r="I329" i="16"/>
  <c r="K329" i="16" s="1"/>
  <c r="M329" i="16" s="1"/>
  <c r="G330" i="16"/>
  <c r="H330" i="16" s="1"/>
  <c r="I330" i="16" s="1"/>
  <c r="K330" i="16" s="1"/>
  <c r="M330" i="16" s="1"/>
  <c r="B332" i="16"/>
  <c r="L332" i="16"/>
  <c r="A333" i="16"/>
  <c r="E331" i="16"/>
  <c r="F331" i="16"/>
  <c r="D331" i="16"/>
  <c r="N329" i="16" l="1"/>
  <c r="O329" i="16" s="1"/>
  <c r="P329" i="16" s="1"/>
  <c r="N330" i="16"/>
  <c r="O330" i="16" s="1"/>
  <c r="P330" i="16" s="1"/>
  <c r="G331" i="16"/>
  <c r="H331" i="16" s="1"/>
  <c r="I331" i="16" s="1"/>
  <c r="K331" i="16" s="1"/>
  <c r="M331" i="16" s="1"/>
  <c r="B333" i="16"/>
  <c r="A334" i="16"/>
  <c r="L333" i="16"/>
  <c r="F332" i="16"/>
  <c r="E332" i="16"/>
  <c r="D332" i="16"/>
  <c r="N331" i="16" l="1"/>
  <c r="O331" i="16" s="1"/>
  <c r="P331" i="16" s="1"/>
  <c r="G332" i="16"/>
  <c r="B334" i="16"/>
  <c r="A335" i="16"/>
  <c r="L334" i="16"/>
  <c r="F333" i="16"/>
  <c r="E333" i="16"/>
  <c r="D333" i="16"/>
  <c r="B335" i="16" l="1"/>
  <c r="A336" i="16"/>
  <c r="L335" i="16"/>
  <c r="G333" i="16"/>
  <c r="H333" i="16" s="1"/>
  <c r="I333" i="16" s="1"/>
  <c r="K333" i="16" s="1"/>
  <c r="M333" i="16" s="1"/>
  <c r="E334" i="16"/>
  <c r="F334" i="16"/>
  <c r="D334" i="16"/>
  <c r="H332" i="16"/>
  <c r="I332" i="16" s="1"/>
  <c r="K332" i="16" s="1"/>
  <c r="M332" i="16" s="1"/>
  <c r="N332" i="16" l="1"/>
  <c r="O332" i="16" s="1"/>
  <c r="P332" i="16" s="1"/>
  <c r="N333" i="16"/>
  <c r="O333" i="16" s="1"/>
  <c r="P333" i="16" s="1"/>
  <c r="B336" i="16"/>
  <c r="L336" i="16"/>
  <c r="A337" i="16"/>
  <c r="G334" i="16"/>
  <c r="F335" i="16"/>
  <c r="E335" i="16"/>
  <c r="D335" i="16"/>
  <c r="G335" i="16" l="1"/>
  <c r="H335" i="16" s="1"/>
  <c r="I335" i="16" s="1"/>
  <c r="K335" i="16" s="1"/>
  <c r="M335" i="16" s="1"/>
  <c r="N335" i="16" s="1"/>
  <c r="B337" i="16"/>
  <c r="A338" i="16"/>
  <c r="L337" i="16"/>
  <c r="H334" i="16"/>
  <c r="I334" i="16" s="1"/>
  <c r="K334" i="16" s="1"/>
  <c r="M334" i="16" s="1"/>
  <c r="F336" i="16"/>
  <c r="E336" i="16"/>
  <c r="D336" i="16"/>
  <c r="N334" i="16" l="1"/>
  <c r="O334" i="16" s="1"/>
  <c r="P334" i="16" s="1"/>
  <c r="O335" i="16"/>
  <c r="P335" i="16"/>
  <c r="G336" i="16"/>
  <c r="H336" i="16" s="1"/>
  <c r="I336" i="16" s="1"/>
  <c r="K336" i="16" s="1"/>
  <c r="M336" i="16" s="1"/>
  <c r="E337" i="16"/>
  <c r="F337" i="16"/>
  <c r="D337" i="16"/>
  <c r="B338" i="16"/>
  <c r="L338" i="16"/>
  <c r="A339" i="16"/>
  <c r="N336" i="16" l="1"/>
  <c r="O336" i="16" s="1"/>
  <c r="P336" i="16" s="1"/>
  <c r="F338" i="16"/>
  <c r="E338" i="16"/>
  <c r="D338" i="16"/>
  <c r="B339" i="16"/>
  <c r="A340" i="16"/>
  <c r="L339" i="16"/>
  <c r="G337" i="16"/>
  <c r="G338" i="16" l="1"/>
  <c r="H338" i="16" s="1"/>
  <c r="I338" i="16" s="1"/>
  <c r="K338" i="16" s="1"/>
  <c r="M338" i="16" s="1"/>
  <c r="F339" i="16"/>
  <c r="E339" i="16"/>
  <c r="D339" i="16"/>
  <c r="H337" i="16"/>
  <c r="I337" i="16" s="1"/>
  <c r="K337" i="16" s="1"/>
  <c r="M337" i="16" s="1"/>
  <c r="B340" i="16"/>
  <c r="L340" i="16"/>
  <c r="A341" i="16"/>
  <c r="N337" i="16" l="1"/>
  <c r="O337" i="16" s="1"/>
  <c r="P337" i="16" s="1"/>
  <c r="N338" i="16"/>
  <c r="O338" i="16" s="1"/>
  <c r="P338" i="16" s="1"/>
  <c r="B341" i="16"/>
  <c r="A342" i="16"/>
  <c r="L341" i="16"/>
  <c r="F340" i="16"/>
  <c r="E340" i="16"/>
  <c r="D340" i="16"/>
  <c r="G339" i="16"/>
  <c r="H339" i="16" s="1"/>
  <c r="I339" i="16" s="1"/>
  <c r="K339" i="16" s="1"/>
  <c r="M339" i="16" s="1"/>
  <c r="N339" i="16" l="1"/>
  <c r="O339" i="16" s="1"/>
  <c r="P339" i="16" s="1"/>
  <c r="G340" i="16"/>
  <c r="H340" i="16" s="1"/>
  <c r="F341" i="16"/>
  <c r="E341" i="16"/>
  <c r="D341" i="16"/>
  <c r="B342" i="16"/>
  <c r="L342" i="16"/>
  <c r="A343" i="16"/>
  <c r="I340" i="16" l="1"/>
  <c r="K340" i="16" s="1"/>
  <c r="M340" i="16" s="1"/>
  <c r="F342" i="16"/>
  <c r="E342" i="16"/>
  <c r="D342" i="16"/>
  <c r="G341" i="16"/>
  <c r="H341" i="16" s="1"/>
  <c r="I341" i="16" s="1"/>
  <c r="K341" i="16" s="1"/>
  <c r="M341" i="16" s="1"/>
  <c r="B343" i="16"/>
  <c r="A344" i="16"/>
  <c r="L343" i="16"/>
  <c r="N341" i="16" l="1"/>
  <c r="O341" i="16" s="1"/>
  <c r="P341" i="16" s="1"/>
  <c r="N340" i="16"/>
  <c r="O340" i="16" s="1"/>
  <c r="P340" i="16" s="1"/>
  <c r="G342" i="16"/>
  <c r="H342" i="16" s="1"/>
  <c r="I342" i="16" s="1"/>
  <c r="K342" i="16" s="1"/>
  <c r="M342" i="16" s="1"/>
  <c r="B344" i="16"/>
  <c r="L344" i="16"/>
  <c r="A345" i="16"/>
  <c r="E343" i="16"/>
  <c r="F343" i="16"/>
  <c r="D343" i="16"/>
  <c r="N342" i="16" l="1"/>
  <c r="O342" i="16" s="1"/>
  <c r="P342" i="16" s="1"/>
  <c r="B345" i="16"/>
  <c r="A346" i="16"/>
  <c r="L345" i="16"/>
  <c r="G343" i="16"/>
  <c r="H343" i="16" s="1"/>
  <c r="I343" i="16" s="1"/>
  <c r="K343" i="16" s="1"/>
  <c r="M343" i="16" s="1"/>
  <c r="F344" i="16"/>
  <c r="E344" i="16"/>
  <c r="D344" i="16"/>
  <c r="N343" i="16" l="1"/>
  <c r="O343" i="16" s="1"/>
  <c r="P343" i="16" s="1"/>
  <c r="B346" i="16"/>
  <c r="L346" i="16"/>
  <c r="A347" i="16"/>
  <c r="G344" i="16"/>
  <c r="H344" i="16" s="1"/>
  <c r="I344" i="16" s="1"/>
  <c r="K344" i="16" s="1"/>
  <c r="M344" i="16" s="1"/>
  <c r="F345" i="16"/>
  <c r="E345" i="16"/>
  <c r="D345" i="16"/>
  <c r="N344" i="16" l="1"/>
  <c r="O344" i="16" s="1"/>
  <c r="P344" i="16" s="1"/>
  <c r="B347" i="16"/>
  <c r="A348" i="16"/>
  <c r="L347" i="16"/>
  <c r="G345" i="16"/>
  <c r="E346" i="16"/>
  <c r="F346" i="16"/>
  <c r="D346" i="16"/>
  <c r="B348" i="16" l="1"/>
  <c r="L348" i="16"/>
  <c r="A349" i="16"/>
  <c r="G346" i="16"/>
  <c r="H345" i="16"/>
  <c r="I345" i="16" s="1"/>
  <c r="K345" i="16" s="1"/>
  <c r="M345" i="16" s="1"/>
  <c r="E347" i="16"/>
  <c r="F347" i="16"/>
  <c r="D347" i="16"/>
  <c r="N345" i="16" l="1"/>
  <c r="O345" i="16" s="1"/>
  <c r="P345" i="16" s="1"/>
  <c r="G347" i="16"/>
  <c r="H347" i="16" s="1"/>
  <c r="I347" i="16" s="1"/>
  <c r="K347" i="16" s="1"/>
  <c r="M347" i="16" s="1"/>
  <c r="B349" i="16"/>
  <c r="A350" i="16"/>
  <c r="L349" i="16"/>
  <c r="H346" i="16"/>
  <c r="I346" i="16" s="1"/>
  <c r="K346" i="16" s="1"/>
  <c r="M346" i="16" s="1"/>
  <c r="F348" i="16"/>
  <c r="E348" i="16"/>
  <c r="D348" i="16"/>
  <c r="N346" i="16" l="1"/>
  <c r="O346" i="16" s="1"/>
  <c r="P346" i="16" s="1"/>
  <c r="N347" i="16"/>
  <c r="O347" i="16" s="1"/>
  <c r="P347" i="16" s="1"/>
  <c r="B350" i="16"/>
  <c r="A351" i="16"/>
  <c r="L350" i="16"/>
  <c r="G348" i="16"/>
  <c r="F349" i="16"/>
  <c r="E349" i="16"/>
  <c r="D349" i="16"/>
  <c r="G349" i="16" l="1"/>
  <c r="H349" i="16" s="1"/>
  <c r="I349" i="16" s="1"/>
  <c r="K349" i="16" s="1"/>
  <c r="M349" i="16" s="1"/>
  <c r="B351" i="16"/>
  <c r="L351" i="16"/>
  <c r="A352" i="16"/>
  <c r="H348" i="16"/>
  <c r="I348" i="16" s="1"/>
  <c r="K348" i="16" s="1"/>
  <c r="M348" i="16" s="1"/>
  <c r="E350" i="16"/>
  <c r="F350" i="16"/>
  <c r="D350" i="16"/>
  <c r="N348" i="16" l="1"/>
  <c r="O348" i="16" s="1"/>
  <c r="P348" i="16" s="1"/>
  <c r="N349" i="16"/>
  <c r="O349" i="16" s="1"/>
  <c r="P349" i="16" s="1"/>
  <c r="F351" i="16"/>
  <c r="E351" i="16"/>
  <c r="D351" i="16"/>
  <c r="G350" i="16"/>
  <c r="B352" i="16"/>
  <c r="L352" i="16"/>
  <c r="A353" i="16"/>
  <c r="G351" i="16" l="1"/>
  <c r="H351" i="16" s="1"/>
  <c r="I351" i="16" s="1"/>
  <c r="K351" i="16" s="1"/>
  <c r="M351" i="16" s="1"/>
  <c r="N351" i="16" s="1"/>
  <c r="B353" i="16"/>
  <c r="A354" i="16"/>
  <c r="L353" i="16"/>
  <c r="H350" i="16"/>
  <c r="I350" i="16" s="1"/>
  <c r="K350" i="16" s="1"/>
  <c r="M350" i="16" s="1"/>
  <c r="F352" i="16"/>
  <c r="E352" i="16"/>
  <c r="D352" i="16"/>
  <c r="N350" i="16" l="1"/>
  <c r="O350" i="16" s="1"/>
  <c r="P350" i="16" s="1"/>
  <c r="O351" i="16"/>
  <c r="P351" i="16" s="1"/>
  <c r="B354" i="16"/>
  <c r="L354" i="16"/>
  <c r="A355" i="16"/>
  <c r="G352" i="16"/>
  <c r="F353" i="16"/>
  <c r="E353" i="16"/>
  <c r="D353" i="16"/>
  <c r="G353" i="16" l="1"/>
  <c r="H353" i="16" s="1"/>
  <c r="I353" i="16" s="1"/>
  <c r="K353" i="16" s="1"/>
  <c r="M353" i="16" s="1"/>
  <c r="H352" i="16"/>
  <c r="I352" i="16" s="1"/>
  <c r="K352" i="16" s="1"/>
  <c r="M352" i="16" s="1"/>
  <c r="B355" i="16"/>
  <c r="L355" i="16"/>
  <c r="A356" i="16"/>
  <c r="F354" i="16"/>
  <c r="E354" i="16"/>
  <c r="D354" i="16"/>
  <c r="N352" i="16" l="1"/>
  <c r="O352" i="16" s="1"/>
  <c r="P352" i="16" s="1"/>
  <c r="N353" i="16"/>
  <c r="O353" i="16" s="1"/>
  <c r="P353" i="16" s="1"/>
  <c r="G354" i="16"/>
  <c r="H354" i="16" s="1"/>
  <c r="I354" i="16" s="1"/>
  <c r="K354" i="16" s="1"/>
  <c r="M354" i="16" s="1"/>
  <c r="F355" i="16"/>
  <c r="E355" i="16"/>
  <c r="D355" i="16"/>
  <c r="B356" i="16"/>
  <c r="L356" i="16"/>
  <c r="A357" i="16"/>
  <c r="N354" i="16" l="1"/>
  <c r="O354" i="16" s="1"/>
  <c r="P354" i="16" s="1"/>
  <c r="B357" i="16"/>
  <c r="A358" i="16"/>
  <c r="L357" i="16"/>
  <c r="F356" i="16"/>
  <c r="E356" i="16"/>
  <c r="D356" i="16"/>
  <c r="G355" i="16"/>
  <c r="H355" i="16" s="1"/>
  <c r="I355" i="16" s="1"/>
  <c r="K355" i="16" s="1"/>
  <c r="M355" i="16" s="1"/>
  <c r="N355" i="16" l="1"/>
  <c r="O355" i="16" s="1"/>
  <c r="P355" i="16" s="1"/>
  <c r="G356" i="16"/>
  <c r="B358" i="16"/>
  <c r="L358" i="16"/>
  <c r="A359" i="16"/>
  <c r="F357" i="16"/>
  <c r="E357" i="16"/>
  <c r="D357" i="16"/>
  <c r="E358" i="16" l="1"/>
  <c r="F358" i="16"/>
  <c r="D358" i="16"/>
  <c r="G357" i="16"/>
  <c r="B359" i="16"/>
  <c r="A360" i="16"/>
  <c r="L359" i="16"/>
  <c r="H356" i="16"/>
  <c r="I356" i="16" s="1"/>
  <c r="K356" i="16" s="1"/>
  <c r="M356" i="16" s="1"/>
  <c r="N356" i="16" l="1"/>
  <c r="O356" i="16" s="1"/>
  <c r="P356" i="16" s="1"/>
  <c r="H357" i="16"/>
  <c r="I357" i="16" s="1"/>
  <c r="K357" i="16" s="1"/>
  <c r="M357" i="16" s="1"/>
  <c r="B360" i="16"/>
  <c r="L360" i="16"/>
  <c r="A361" i="16"/>
  <c r="E359" i="16"/>
  <c r="F359" i="16"/>
  <c r="D359" i="16"/>
  <c r="G358" i="16"/>
  <c r="N357" i="16" l="1"/>
  <c r="O357" i="16" s="1"/>
  <c r="P357" i="16" s="1"/>
  <c r="H358" i="16"/>
  <c r="I358" i="16" s="1"/>
  <c r="K358" i="16" s="1"/>
  <c r="M358" i="16" s="1"/>
  <c r="E360" i="16"/>
  <c r="F360" i="16"/>
  <c r="D360" i="16"/>
  <c r="G359" i="16"/>
  <c r="B361" i="16"/>
  <c r="A362" i="16"/>
  <c r="L361" i="16"/>
  <c r="N358" i="16" l="1"/>
  <c r="O358" i="16" s="1"/>
  <c r="P358" i="16" s="1"/>
  <c r="F361" i="16"/>
  <c r="E361" i="16"/>
  <c r="D361" i="16"/>
  <c r="H359" i="16"/>
  <c r="I359" i="16" s="1"/>
  <c r="K359" i="16" s="1"/>
  <c r="M359" i="16" s="1"/>
  <c r="B362" i="16"/>
  <c r="A363" i="16"/>
  <c r="L362" i="16"/>
  <c r="G360" i="16"/>
  <c r="N359" i="16" l="1"/>
  <c r="O359" i="16" s="1"/>
  <c r="P359" i="16" s="1"/>
  <c r="G361" i="16"/>
  <c r="H360" i="16"/>
  <c r="I360" i="16" s="1"/>
  <c r="K360" i="16" s="1"/>
  <c r="M360" i="16" s="1"/>
  <c r="E362" i="16"/>
  <c r="F362" i="16"/>
  <c r="D362" i="16"/>
  <c r="B363" i="16"/>
  <c r="L363" i="16"/>
  <c r="A364" i="16"/>
  <c r="N360" i="16" l="1"/>
  <c r="O360" i="16" s="1"/>
  <c r="P360" i="16" s="1"/>
  <c r="G362" i="16"/>
  <c r="F363" i="16"/>
  <c r="E363" i="16"/>
  <c r="D363" i="16"/>
  <c r="B364" i="16"/>
  <c r="A365" i="16"/>
  <c r="L364" i="16"/>
  <c r="H361" i="16"/>
  <c r="I361" i="16" s="1"/>
  <c r="K361" i="16" s="1"/>
  <c r="M361" i="16" s="1"/>
  <c r="N361" i="16" l="1"/>
  <c r="O361" i="16" s="1"/>
  <c r="P361" i="16" s="1"/>
  <c r="G363" i="16"/>
  <c r="H363" i="16" s="1"/>
  <c r="I363" i="16" s="1"/>
  <c r="K363" i="16" s="1"/>
  <c r="M363" i="16" s="1"/>
  <c r="H362" i="16"/>
  <c r="I362" i="16" s="1"/>
  <c r="K362" i="16" s="1"/>
  <c r="M362" i="16" s="1"/>
  <c r="B365" i="16"/>
  <c r="A366" i="16"/>
  <c r="L365" i="16"/>
  <c r="F364" i="16"/>
  <c r="E364" i="16"/>
  <c r="D364" i="16"/>
  <c r="N363" i="16" l="1"/>
  <c r="O363" i="16" s="1"/>
  <c r="P363" i="16" s="1"/>
  <c r="N362" i="16"/>
  <c r="O362" i="16" s="1"/>
  <c r="P362" i="16" s="1"/>
  <c r="G364" i="16"/>
  <c r="H364" i="16" s="1"/>
  <c r="I364" i="16" s="1"/>
  <c r="K364" i="16" s="1"/>
  <c r="M364" i="16" s="1"/>
  <c r="F365" i="16"/>
  <c r="E365" i="16"/>
  <c r="D365" i="16"/>
  <c r="B366" i="16"/>
  <c r="L366" i="16"/>
  <c r="A367" i="16"/>
  <c r="N364" i="16" l="1"/>
  <c r="O364" i="16" s="1"/>
  <c r="P364" i="16" s="1"/>
  <c r="G365" i="16"/>
  <c r="H365" i="16" s="1"/>
  <c r="I365" i="16" s="1"/>
  <c r="K365" i="16" s="1"/>
  <c r="M365" i="16" s="1"/>
  <c r="N365" i="16" s="1"/>
  <c r="B367" i="16"/>
  <c r="L367" i="16"/>
  <c r="A368" i="16"/>
  <c r="E366" i="16"/>
  <c r="F366" i="16"/>
  <c r="D366" i="16"/>
  <c r="O365" i="16" l="1"/>
  <c r="P365" i="16" s="1"/>
  <c r="B368" i="16"/>
  <c r="A369" i="16"/>
  <c r="L368" i="16"/>
  <c r="G366" i="16"/>
  <c r="F367" i="16"/>
  <c r="E367" i="16"/>
  <c r="D367" i="16"/>
  <c r="B369" i="16" l="1"/>
  <c r="L369" i="16"/>
  <c r="A370" i="16"/>
  <c r="H366" i="16"/>
  <c r="I366" i="16" s="1"/>
  <c r="K366" i="16" s="1"/>
  <c r="M366" i="16" s="1"/>
  <c r="G367" i="16"/>
  <c r="H367" i="16" s="1"/>
  <c r="I367" i="16" s="1"/>
  <c r="K367" i="16" s="1"/>
  <c r="M367" i="16" s="1"/>
  <c r="F368" i="16"/>
  <c r="E368" i="16"/>
  <c r="D368" i="16"/>
  <c r="N366" i="16" l="1"/>
  <c r="O366" i="16" s="1"/>
  <c r="P366" i="16" s="1"/>
  <c r="N367" i="16"/>
  <c r="O367" i="16" s="1"/>
  <c r="P367" i="16" s="1"/>
  <c r="B370" i="16"/>
  <c r="A371" i="16"/>
  <c r="L370" i="16"/>
  <c r="G368" i="16"/>
  <c r="H368" i="16" s="1"/>
  <c r="I368" i="16" s="1"/>
  <c r="K368" i="16" s="1"/>
  <c r="M368" i="16" s="1"/>
  <c r="F369" i="16"/>
  <c r="E369" i="16"/>
  <c r="D369" i="16"/>
  <c r="G369" i="16" l="1"/>
  <c r="H369" i="16" s="1"/>
  <c r="I369" i="16" s="1"/>
  <c r="K369" i="16" s="1"/>
  <c r="M369" i="16" s="1"/>
  <c r="N369" i="16" s="1"/>
  <c r="N368" i="16"/>
  <c r="O368" i="16" s="1"/>
  <c r="P368" i="16" s="1"/>
  <c r="B371" i="16"/>
  <c r="L371" i="16"/>
  <c r="A372" i="16"/>
  <c r="F370" i="16"/>
  <c r="E370" i="16"/>
  <c r="D370" i="16"/>
  <c r="O369" i="16" l="1"/>
  <c r="P369" i="16" s="1"/>
  <c r="F371" i="16"/>
  <c r="E371" i="16"/>
  <c r="D371" i="16"/>
  <c r="B372" i="16"/>
  <c r="A373" i="16"/>
  <c r="L372" i="16"/>
  <c r="G370" i="16"/>
  <c r="G371" i="16" l="1"/>
  <c r="H371" i="16" s="1"/>
  <c r="I371" i="16" s="1"/>
  <c r="K371" i="16" s="1"/>
  <c r="M371" i="16" s="1"/>
  <c r="F372" i="16"/>
  <c r="E372" i="16"/>
  <c r="D372" i="16"/>
  <c r="H370" i="16"/>
  <c r="I370" i="16" s="1"/>
  <c r="K370" i="16" s="1"/>
  <c r="M370" i="16" s="1"/>
  <c r="N370" i="16" s="1"/>
  <c r="B373" i="16"/>
  <c r="L373" i="16"/>
  <c r="A374" i="16"/>
  <c r="N371" i="16" l="1"/>
  <c r="O371" i="16" s="1"/>
  <c r="P371" i="16" s="1"/>
  <c r="O370" i="16"/>
  <c r="P370" i="16" s="1"/>
  <c r="G372" i="16"/>
  <c r="H372" i="16" s="1"/>
  <c r="I372" i="16" s="1"/>
  <c r="K372" i="16" s="1"/>
  <c r="M372" i="16" s="1"/>
  <c r="E373" i="16"/>
  <c r="F373" i="16"/>
  <c r="D373" i="16"/>
  <c r="B374" i="16"/>
  <c r="A375" i="16"/>
  <c r="L374" i="16"/>
  <c r="N372" i="16" l="1"/>
  <c r="O372" i="16" s="1"/>
  <c r="P372" i="16" s="1"/>
  <c r="B375" i="16"/>
  <c r="A376" i="16"/>
  <c r="L375" i="16"/>
  <c r="G373" i="16"/>
  <c r="F374" i="16"/>
  <c r="E374" i="16"/>
  <c r="D374" i="16"/>
  <c r="G374" i="16" l="1"/>
  <c r="B376" i="16"/>
  <c r="L376" i="16"/>
  <c r="A377" i="16"/>
  <c r="H373" i="16"/>
  <c r="I373" i="16" s="1"/>
  <c r="K373" i="16" s="1"/>
  <c r="M373" i="16" s="1"/>
  <c r="N373" i="16" s="1"/>
  <c r="E375" i="16"/>
  <c r="F375" i="16"/>
  <c r="D375" i="16"/>
  <c r="O373" i="16" l="1"/>
  <c r="P373" i="16" s="1"/>
  <c r="G375" i="16"/>
  <c r="H375" i="16" s="1"/>
  <c r="I375" i="16" s="1"/>
  <c r="K375" i="16" s="1"/>
  <c r="M375" i="16" s="1"/>
  <c r="F376" i="16"/>
  <c r="E376" i="16"/>
  <c r="D376" i="16"/>
  <c r="B377" i="16"/>
  <c r="A378" i="16"/>
  <c r="L377" i="16"/>
  <c r="H374" i="16"/>
  <c r="I374" i="16" s="1"/>
  <c r="K374" i="16" s="1"/>
  <c r="M374" i="16" s="1"/>
  <c r="N375" i="16" l="1"/>
  <c r="O375" i="16" s="1"/>
  <c r="P375" i="16" s="1"/>
  <c r="N374" i="16"/>
  <c r="O374" i="16" s="1"/>
  <c r="P374" i="16" s="1"/>
  <c r="G376" i="16"/>
  <c r="H376" i="16" s="1"/>
  <c r="I376" i="16" s="1"/>
  <c r="K376" i="16" s="1"/>
  <c r="M376" i="16" s="1"/>
  <c r="N376" i="16" s="1"/>
  <c r="B378" i="16"/>
  <c r="L378" i="16"/>
  <c r="A379" i="16"/>
  <c r="F377" i="16"/>
  <c r="E377" i="16"/>
  <c r="D377" i="16"/>
  <c r="O376" i="16" l="1"/>
  <c r="P376" i="16" s="1"/>
  <c r="G377" i="16"/>
  <c r="H377" i="16" s="1"/>
  <c r="I377" i="16" s="1"/>
  <c r="K377" i="16" s="1"/>
  <c r="M377" i="16" s="1"/>
  <c r="E378" i="16"/>
  <c r="F378" i="16"/>
  <c r="D378" i="16"/>
  <c r="B379" i="16"/>
  <c r="L379" i="16"/>
  <c r="A380" i="16"/>
  <c r="N377" i="16" l="1"/>
  <c r="O377" i="16" s="1"/>
  <c r="P377" i="16" s="1"/>
  <c r="G378" i="16"/>
  <c r="H378" i="16" s="1"/>
  <c r="I378" i="16" s="1"/>
  <c r="K378" i="16" s="1"/>
  <c r="M378" i="16" s="1"/>
  <c r="B380" i="16"/>
  <c r="L380" i="16"/>
  <c r="A381" i="16"/>
  <c r="E379" i="16"/>
  <c r="F379" i="16"/>
  <c r="D379" i="16"/>
  <c r="N378" i="16" l="1"/>
  <c r="O378" i="16" s="1"/>
  <c r="P378" i="16" s="1"/>
  <c r="B381" i="16"/>
  <c r="A382" i="16"/>
  <c r="L381" i="16"/>
  <c r="G379" i="16"/>
  <c r="F380" i="16"/>
  <c r="E380" i="16"/>
  <c r="D380" i="16"/>
  <c r="G380" i="16" l="1"/>
  <c r="B382" i="16"/>
  <c r="L382" i="16"/>
  <c r="A383" i="16"/>
  <c r="H379" i="16"/>
  <c r="I379" i="16" s="1"/>
  <c r="K379" i="16" s="1"/>
  <c r="M379" i="16" s="1"/>
  <c r="F381" i="16"/>
  <c r="E381" i="16"/>
  <c r="D381" i="16"/>
  <c r="N379" i="16" l="1"/>
  <c r="O379" i="16" s="1"/>
  <c r="P379" i="16" s="1"/>
  <c r="E382" i="16"/>
  <c r="F382" i="16"/>
  <c r="D382" i="16"/>
  <c r="G381" i="16"/>
  <c r="H381" i="16" s="1"/>
  <c r="I381" i="16" s="1"/>
  <c r="K381" i="16" s="1"/>
  <c r="M381" i="16" s="1"/>
  <c r="B383" i="16"/>
  <c r="L383" i="16"/>
  <c r="A384" i="16"/>
  <c r="H380" i="16"/>
  <c r="I380" i="16" s="1"/>
  <c r="K380" i="16" s="1"/>
  <c r="M380" i="16" s="1"/>
  <c r="N380" i="16" l="1"/>
  <c r="O380" i="16" s="1"/>
  <c r="P380" i="16" s="1"/>
  <c r="N381" i="16"/>
  <c r="O381" i="16" s="1"/>
  <c r="P381" i="16" s="1"/>
  <c r="B384" i="16"/>
  <c r="L384" i="16"/>
  <c r="A385" i="16"/>
  <c r="F383" i="16"/>
  <c r="E383" i="16"/>
  <c r="D383" i="16"/>
  <c r="G382" i="16"/>
  <c r="H382" i="16" s="1"/>
  <c r="I382" i="16" s="1"/>
  <c r="K382" i="16" s="1"/>
  <c r="M382" i="16" s="1"/>
  <c r="N382" i="16" l="1"/>
  <c r="O382" i="16" s="1"/>
  <c r="P382" i="16" s="1"/>
  <c r="B385" i="16"/>
  <c r="L385" i="16"/>
  <c r="A386" i="16"/>
  <c r="G383" i="16"/>
  <c r="F384" i="16"/>
  <c r="E384" i="16"/>
  <c r="D384" i="16"/>
  <c r="H383" i="16" l="1"/>
  <c r="I383" i="16" s="1"/>
  <c r="K383" i="16" s="1"/>
  <c r="M383" i="16" s="1"/>
  <c r="B386" i="16"/>
  <c r="L386" i="16"/>
  <c r="A387" i="16"/>
  <c r="G384" i="16"/>
  <c r="F385" i="16"/>
  <c r="E385" i="16"/>
  <c r="D385" i="16"/>
  <c r="G385" i="16" l="1"/>
  <c r="H385" i="16" s="1"/>
  <c r="I385" i="16" s="1"/>
  <c r="K385" i="16" s="1"/>
  <c r="M385" i="16" s="1"/>
  <c r="N385" i="16" s="1"/>
  <c r="O385" i="16" s="1"/>
  <c r="P385" i="16" s="1"/>
  <c r="N383" i="16"/>
  <c r="O383" i="16" s="1"/>
  <c r="P383" i="16" s="1"/>
  <c r="F386" i="16"/>
  <c r="E386" i="16"/>
  <c r="D386" i="16"/>
  <c r="H384" i="16"/>
  <c r="I384" i="16" s="1"/>
  <c r="K384" i="16" s="1"/>
  <c r="M384" i="16" s="1"/>
  <c r="B387" i="16"/>
  <c r="L387" i="16"/>
  <c r="A388" i="16"/>
  <c r="N384" i="16" l="1"/>
  <c r="O384" i="16" s="1"/>
  <c r="P384" i="16" s="1"/>
  <c r="B388" i="16"/>
  <c r="A389" i="16"/>
  <c r="L388" i="16"/>
  <c r="F387" i="16"/>
  <c r="E387" i="16"/>
  <c r="D387" i="16"/>
  <c r="G386" i="16"/>
  <c r="H386" i="16" s="1"/>
  <c r="I386" i="16" s="1"/>
  <c r="K386" i="16" s="1"/>
  <c r="M386" i="16" s="1"/>
  <c r="N386" i="16" l="1"/>
  <c r="O386" i="16" s="1"/>
  <c r="P386" i="16" s="1"/>
  <c r="B389" i="16"/>
  <c r="L389" i="16"/>
  <c r="A390" i="16"/>
  <c r="G387" i="16"/>
  <c r="F388" i="16"/>
  <c r="E388" i="16"/>
  <c r="D388" i="16"/>
  <c r="G388" i="16" l="1"/>
  <c r="H388" i="16" s="1"/>
  <c r="I388" i="16" s="1"/>
  <c r="K388" i="16" s="1"/>
  <c r="M388" i="16" s="1"/>
  <c r="H387" i="16"/>
  <c r="I387" i="16" s="1"/>
  <c r="K387" i="16" s="1"/>
  <c r="M387" i="16" s="1"/>
  <c r="B390" i="16"/>
  <c r="A391" i="16"/>
  <c r="L390" i="16"/>
  <c r="E389" i="16"/>
  <c r="F389" i="16"/>
  <c r="D389" i="16"/>
  <c r="N387" i="16" l="1"/>
  <c r="O387" i="16" s="1"/>
  <c r="P387" i="16" s="1"/>
  <c r="N388" i="16"/>
  <c r="O388" i="16" s="1"/>
  <c r="P388" i="16" s="1"/>
  <c r="G389" i="16"/>
  <c r="H389" i="16" s="1"/>
  <c r="I389" i="16" s="1"/>
  <c r="K389" i="16" s="1"/>
  <c r="M389" i="16" s="1"/>
  <c r="B391" i="16"/>
  <c r="A392" i="16"/>
  <c r="L391" i="16"/>
  <c r="E390" i="16"/>
  <c r="F390" i="16"/>
  <c r="D390" i="16"/>
  <c r="N389" i="16" l="1"/>
  <c r="O389" i="16" s="1"/>
  <c r="P389" i="16" s="1"/>
  <c r="F391" i="16"/>
  <c r="E391" i="16"/>
  <c r="D391" i="16"/>
  <c r="G390" i="16"/>
  <c r="B392" i="16"/>
  <c r="L392" i="16"/>
  <c r="A393" i="16"/>
  <c r="H390" i="16" l="1"/>
  <c r="I390" i="16" s="1"/>
  <c r="K390" i="16" s="1"/>
  <c r="M390" i="16" s="1"/>
  <c r="B393" i="16"/>
  <c r="L393" i="16"/>
  <c r="A394" i="16"/>
  <c r="G391" i="16"/>
  <c r="H391" i="16" s="1"/>
  <c r="I391" i="16" s="1"/>
  <c r="K391" i="16" s="1"/>
  <c r="M391" i="16" s="1"/>
  <c r="F392" i="16"/>
  <c r="E392" i="16"/>
  <c r="D392" i="16"/>
  <c r="N391" i="16" l="1"/>
  <c r="O391" i="16" s="1"/>
  <c r="P391" i="16" s="1"/>
  <c r="N390" i="16"/>
  <c r="O390" i="16" s="1"/>
  <c r="P390" i="16" s="1"/>
  <c r="G392" i="16"/>
  <c r="H392" i="16" s="1"/>
  <c r="I392" i="16" s="1"/>
  <c r="K392" i="16" s="1"/>
  <c r="M392" i="16" s="1"/>
  <c r="F393" i="16"/>
  <c r="E393" i="16"/>
  <c r="D393" i="16"/>
  <c r="B394" i="16"/>
  <c r="L394" i="16"/>
  <c r="A395" i="16"/>
  <c r="N392" i="16" l="1"/>
  <c r="O392" i="16" s="1"/>
  <c r="P392" i="16" s="1"/>
  <c r="E394" i="16"/>
  <c r="F394" i="16"/>
  <c r="D394" i="16"/>
  <c r="B395" i="16"/>
  <c r="L395" i="16"/>
  <c r="A396" i="16"/>
  <c r="G393" i="16"/>
  <c r="E395" i="16" l="1"/>
  <c r="F395" i="16"/>
  <c r="D395" i="16"/>
  <c r="H393" i="16"/>
  <c r="I393" i="16" s="1"/>
  <c r="K393" i="16" s="1"/>
  <c r="M393" i="16" s="1"/>
  <c r="B396" i="16"/>
  <c r="A397" i="16"/>
  <c r="L396" i="16"/>
  <c r="G394" i="16"/>
  <c r="H394" i="16" s="1"/>
  <c r="I394" i="16" s="1"/>
  <c r="K394" i="16" s="1"/>
  <c r="M394" i="16" s="1"/>
  <c r="N393" i="16" l="1"/>
  <c r="O393" i="16" s="1"/>
  <c r="P393" i="16" s="1"/>
  <c r="N394" i="16"/>
  <c r="O394" i="16" s="1"/>
  <c r="P394" i="16" s="1"/>
  <c r="B397" i="16"/>
  <c r="L397" i="16"/>
  <c r="A398" i="16"/>
  <c r="F396" i="16"/>
  <c r="E396" i="16"/>
  <c r="D396" i="16"/>
  <c r="G395" i="16"/>
  <c r="H395" i="16" l="1"/>
  <c r="I395" i="16" s="1"/>
  <c r="K395" i="16" s="1"/>
  <c r="M395" i="16" s="1"/>
  <c r="B398" i="16"/>
  <c r="L398" i="16"/>
  <c r="A399" i="16"/>
  <c r="G396" i="16"/>
  <c r="F397" i="16"/>
  <c r="E397" i="16"/>
  <c r="D397" i="16"/>
  <c r="N395" i="16" l="1"/>
  <c r="O395" i="16" s="1"/>
  <c r="P395" i="16" s="1"/>
  <c r="G397" i="16"/>
  <c r="H397" i="16" s="1"/>
  <c r="I397" i="16" s="1"/>
  <c r="K397" i="16" s="1"/>
  <c r="M397" i="16" s="1"/>
  <c r="E398" i="16"/>
  <c r="F398" i="16"/>
  <c r="D398" i="16"/>
  <c r="H396" i="16"/>
  <c r="I396" i="16" s="1"/>
  <c r="K396" i="16" s="1"/>
  <c r="M396" i="16" s="1"/>
  <c r="B399" i="16"/>
  <c r="L399" i="16"/>
  <c r="A400" i="16"/>
  <c r="N396" i="16" l="1"/>
  <c r="O396" i="16" s="1"/>
  <c r="P396" i="16" s="1"/>
  <c r="N397" i="16"/>
  <c r="O397" i="16" s="1"/>
  <c r="P397" i="16" s="1"/>
  <c r="G398" i="16"/>
  <c r="H398" i="16" s="1"/>
  <c r="I398" i="16" s="1"/>
  <c r="K398" i="16" s="1"/>
  <c r="M398" i="16" s="1"/>
  <c r="B400" i="16"/>
  <c r="A401" i="16"/>
  <c r="L400" i="16"/>
  <c r="E399" i="16"/>
  <c r="F399" i="16"/>
  <c r="D399" i="16"/>
  <c r="N398" i="16" l="1"/>
  <c r="O398" i="16" s="1"/>
  <c r="P398" i="16" s="1"/>
  <c r="G399" i="16"/>
  <c r="B401" i="16"/>
  <c r="A402" i="16"/>
  <c r="L401" i="16"/>
  <c r="F400" i="16"/>
  <c r="E400" i="16"/>
  <c r="D400" i="16"/>
  <c r="G400" i="16" l="1"/>
  <c r="H400" i="16" s="1"/>
  <c r="I400" i="16" s="1"/>
  <c r="K400" i="16" s="1"/>
  <c r="M400" i="16" s="1"/>
  <c r="B402" i="16"/>
  <c r="L402" i="16"/>
  <c r="A403" i="16"/>
  <c r="F401" i="16"/>
  <c r="E401" i="16"/>
  <c r="D401" i="16"/>
  <c r="H399" i="16"/>
  <c r="I399" i="16" s="1"/>
  <c r="K399" i="16" s="1"/>
  <c r="M399" i="16" s="1"/>
  <c r="N399" i="16" l="1"/>
  <c r="O399" i="16" s="1"/>
  <c r="P399" i="16" s="1"/>
  <c r="N400" i="16"/>
  <c r="O400" i="16" s="1"/>
  <c r="P400" i="16" s="1"/>
  <c r="G401" i="16"/>
  <c r="H401" i="16" s="1"/>
  <c r="I401" i="16" s="1"/>
  <c r="K401" i="16" s="1"/>
  <c r="M401" i="16" s="1"/>
  <c r="B403" i="16"/>
  <c r="L403" i="16"/>
  <c r="A404" i="16"/>
  <c r="F402" i="16"/>
  <c r="E402" i="16"/>
  <c r="D402" i="16"/>
  <c r="N401" i="16" l="1"/>
  <c r="O401" i="16" s="1"/>
  <c r="P401" i="16" s="1"/>
  <c r="B404" i="16"/>
  <c r="L404" i="16"/>
  <c r="A405" i="16"/>
  <c r="G402" i="16"/>
  <c r="F403" i="16"/>
  <c r="E403" i="16"/>
  <c r="D403" i="16"/>
  <c r="G403" i="16" l="1"/>
  <c r="H403" i="16" s="1"/>
  <c r="H402" i="16"/>
  <c r="I402" i="16" s="1"/>
  <c r="K402" i="16" s="1"/>
  <c r="M402" i="16" s="1"/>
  <c r="B405" i="16"/>
  <c r="L405" i="16"/>
  <c r="A406" i="16"/>
  <c r="F404" i="16"/>
  <c r="E404" i="16"/>
  <c r="D404" i="16"/>
  <c r="N402" i="16" l="1"/>
  <c r="O402" i="16" s="1"/>
  <c r="P402" i="16" s="1"/>
  <c r="I403" i="16"/>
  <c r="K403" i="16" s="1"/>
  <c r="M403" i="16" s="1"/>
  <c r="E405" i="16"/>
  <c r="F405" i="16"/>
  <c r="D405" i="16"/>
  <c r="G404" i="16"/>
  <c r="H404" i="16" s="1"/>
  <c r="I404" i="16" s="1"/>
  <c r="K404" i="16" s="1"/>
  <c r="M404" i="16" s="1"/>
  <c r="B406" i="16"/>
  <c r="A407" i="16"/>
  <c r="L406" i="16"/>
  <c r="N404" i="16" l="1"/>
  <c r="O404" i="16" s="1"/>
  <c r="P404" i="16" s="1"/>
  <c r="N403" i="16"/>
  <c r="O403" i="16" s="1"/>
  <c r="P403" i="16" s="1"/>
  <c r="B407" i="16"/>
  <c r="L407" i="16"/>
  <c r="A408" i="16"/>
  <c r="F406" i="16"/>
  <c r="E406" i="16"/>
  <c r="D406" i="16"/>
  <c r="G405" i="16"/>
  <c r="B408" i="16" l="1"/>
  <c r="L408" i="16"/>
  <c r="A409" i="16"/>
  <c r="H405" i="16"/>
  <c r="I405" i="16" s="1"/>
  <c r="K405" i="16" s="1"/>
  <c r="M405" i="16" s="1"/>
  <c r="G406" i="16"/>
  <c r="E407" i="16"/>
  <c r="F407" i="16"/>
  <c r="D407" i="16"/>
  <c r="N405" i="16" l="1"/>
  <c r="O405" i="16" s="1"/>
  <c r="P405" i="16" s="1"/>
  <c r="G407" i="16"/>
  <c r="B409" i="16"/>
  <c r="L409" i="16"/>
  <c r="A410" i="16"/>
  <c r="H406" i="16"/>
  <c r="I406" i="16" s="1"/>
  <c r="K406" i="16" s="1"/>
  <c r="M406" i="16" s="1"/>
  <c r="F408" i="16"/>
  <c r="E408" i="16"/>
  <c r="D408" i="16"/>
  <c r="N406" i="16" l="1"/>
  <c r="O406" i="16" s="1"/>
  <c r="P406" i="16" s="1"/>
  <c r="G408" i="16"/>
  <c r="H408" i="16" s="1"/>
  <c r="I408" i="16" s="1"/>
  <c r="K408" i="16" s="1"/>
  <c r="M408" i="16" s="1"/>
  <c r="B410" i="16"/>
  <c r="L410" i="16"/>
  <c r="A411" i="16"/>
  <c r="F409" i="16"/>
  <c r="E409" i="16"/>
  <c r="D409" i="16"/>
  <c r="H407" i="16"/>
  <c r="I407" i="16" s="1"/>
  <c r="K407" i="16" s="1"/>
  <c r="M407" i="16" s="1"/>
  <c r="N408" i="16" l="1"/>
  <c r="O408" i="16" s="1"/>
  <c r="P408" i="16" s="1"/>
  <c r="N407" i="16"/>
  <c r="O407" i="16" s="1"/>
  <c r="P407" i="16" s="1"/>
  <c r="B411" i="16"/>
  <c r="L411" i="16"/>
  <c r="A412" i="16"/>
  <c r="E410" i="16"/>
  <c r="F410" i="16"/>
  <c r="D410" i="16"/>
  <c r="G409" i="16"/>
  <c r="H409" i="16" s="1"/>
  <c r="I409" i="16" s="1"/>
  <c r="K409" i="16" s="1"/>
  <c r="M409" i="16" s="1"/>
  <c r="N409" i="16" l="1"/>
  <c r="O409" i="16" s="1"/>
  <c r="P409" i="16" s="1"/>
  <c r="G410" i="16"/>
  <c r="H410" i="16" s="1"/>
  <c r="B412" i="16"/>
  <c r="L412" i="16"/>
  <c r="A413" i="16"/>
  <c r="F411" i="16"/>
  <c r="E411" i="16"/>
  <c r="D411" i="16"/>
  <c r="I410" i="16" l="1"/>
  <c r="K410" i="16" s="1"/>
  <c r="M410" i="16" s="1"/>
  <c r="B413" i="16"/>
  <c r="L413" i="16"/>
  <c r="A414" i="16"/>
  <c r="G411" i="16"/>
  <c r="F412" i="16"/>
  <c r="E412" i="16"/>
  <c r="D412" i="16"/>
  <c r="N410" i="16" l="1"/>
  <c r="O410" i="16" s="1"/>
  <c r="P410" i="16" s="1"/>
  <c r="G412" i="16"/>
  <c r="H412" i="16" s="1"/>
  <c r="B414" i="16"/>
  <c r="A415" i="16"/>
  <c r="L414" i="16"/>
  <c r="H411" i="16"/>
  <c r="I411" i="16" s="1"/>
  <c r="K411" i="16" s="1"/>
  <c r="M411" i="16" s="1"/>
  <c r="F413" i="16"/>
  <c r="E413" i="16"/>
  <c r="D413" i="16"/>
  <c r="N411" i="16" l="1"/>
  <c r="O411" i="16" s="1"/>
  <c r="P411" i="16" s="1"/>
  <c r="I412" i="16"/>
  <c r="K412" i="16" s="1"/>
  <c r="M412" i="16" s="1"/>
  <c r="B415" i="16"/>
  <c r="A416" i="16"/>
  <c r="L415" i="16"/>
  <c r="E414" i="16"/>
  <c r="F414" i="16"/>
  <c r="D414" i="16"/>
  <c r="G413" i="16"/>
  <c r="H413" i="16" s="1"/>
  <c r="I413" i="16" s="1"/>
  <c r="K413" i="16" s="1"/>
  <c r="M413" i="16" s="1"/>
  <c r="N412" i="16" l="1"/>
  <c r="O412" i="16" s="1"/>
  <c r="P412" i="16" s="1"/>
  <c r="N413" i="16"/>
  <c r="O413" i="16" s="1"/>
  <c r="P413" i="16" s="1"/>
  <c r="G414" i="16"/>
  <c r="H414" i="16" s="1"/>
  <c r="I414" i="16" s="1"/>
  <c r="K414" i="16" s="1"/>
  <c r="M414" i="16" s="1"/>
  <c r="B416" i="16"/>
  <c r="L416" i="16"/>
  <c r="A417" i="16"/>
  <c r="F415" i="16"/>
  <c r="E415" i="16"/>
  <c r="D415" i="16"/>
  <c r="N414" i="16" l="1"/>
  <c r="O414" i="16" s="1"/>
  <c r="P414" i="16" s="1"/>
  <c r="B417" i="16"/>
  <c r="L417" i="16"/>
  <c r="A418" i="16"/>
  <c r="G415" i="16"/>
  <c r="F416" i="16"/>
  <c r="E416" i="16"/>
  <c r="D416" i="16"/>
  <c r="H415" i="16" l="1"/>
  <c r="I415" i="16" s="1"/>
  <c r="K415" i="16" s="1"/>
  <c r="M415" i="16" s="1"/>
  <c r="B418" i="16"/>
  <c r="L418" i="16"/>
  <c r="A419" i="16"/>
  <c r="G416" i="16"/>
  <c r="F417" i="16"/>
  <c r="E417" i="16"/>
  <c r="D417" i="16"/>
  <c r="N415" i="16" l="1"/>
  <c r="O415" i="16" s="1"/>
  <c r="P415" i="16" s="1"/>
  <c r="G417" i="16"/>
  <c r="H417" i="16" s="1"/>
  <c r="F418" i="16"/>
  <c r="E418" i="16"/>
  <c r="D418" i="16"/>
  <c r="H416" i="16"/>
  <c r="I416" i="16" s="1"/>
  <c r="K416" i="16" s="1"/>
  <c r="M416" i="16" s="1"/>
  <c r="B419" i="16"/>
  <c r="L419" i="16"/>
  <c r="A420" i="16"/>
  <c r="N416" i="16" l="1"/>
  <c r="O416" i="16" s="1"/>
  <c r="P416" i="16" s="1"/>
  <c r="I417" i="16"/>
  <c r="K417" i="16" s="1"/>
  <c r="M417" i="16" s="1"/>
  <c r="G418" i="16"/>
  <c r="H418" i="16" s="1"/>
  <c r="I418" i="16" s="1"/>
  <c r="K418" i="16" s="1"/>
  <c r="M418" i="16" s="1"/>
  <c r="F419" i="16"/>
  <c r="E419" i="16"/>
  <c r="D419" i="16"/>
  <c r="B420" i="16"/>
  <c r="A421" i="16"/>
  <c r="L420" i="16"/>
  <c r="N418" i="16" l="1"/>
  <c r="O418" i="16" s="1"/>
  <c r="P418" i="16" s="1"/>
  <c r="N417" i="16"/>
  <c r="O417" i="16" s="1"/>
  <c r="P417" i="16" s="1"/>
  <c r="F420" i="16"/>
  <c r="E420" i="16"/>
  <c r="D420" i="16"/>
  <c r="G419" i="16"/>
  <c r="B421" i="16"/>
  <c r="A422" i="16"/>
  <c r="L421" i="16"/>
  <c r="G420" i="16" l="1"/>
  <c r="H420" i="16" s="1"/>
  <c r="I420" i="16" s="1"/>
  <c r="K420" i="16" s="1"/>
  <c r="M420" i="16" s="1"/>
  <c r="H419" i="16"/>
  <c r="I419" i="16" s="1"/>
  <c r="K419" i="16" s="1"/>
  <c r="M419" i="16" s="1"/>
  <c r="B422" i="16"/>
  <c r="L422" i="16"/>
  <c r="A423" i="16"/>
  <c r="F421" i="16"/>
  <c r="E421" i="16"/>
  <c r="D421" i="16"/>
  <c r="N419" i="16" l="1"/>
  <c r="O419" i="16" s="1"/>
  <c r="P419" i="16" s="1"/>
  <c r="N420" i="16"/>
  <c r="O420" i="16" s="1"/>
  <c r="P420" i="16" s="1"/>
  <c r="G421" i="16"/>
  <c r="H421" i="16" s="1"/>
  <c r="I421" i="16" s="1"/>
  <c r="K421" i="16" s="1"/>
  <c r="M421" i="16" s="1"/>
  <c r="E422" i="16"/>
  <c r="F422" i="16"/>
  <c r="D422" i="16"/>
  <c r="B423" i="16"/>
  <c r="L423" i="16"/>
  <c r="A424" i="16"/>
  <c r="N421" i="16" l="1"/>
  <c r="O421" i="16" s="1"/>
  <c r="P421" i="16" s="1"/>
  <c r="B424" i="16"/>
  <c r="L424" i="16"/>
  <c r="A425" i="16"/>
  <c r="E423" i="16"/>
  <c r="F423" i="16"/>
  <c r="D423" i="16"/>
  <c r="G422" i="16"/>
  <c r="H422" i="16" s="1"/>
  <c r="I422" i="16" s="1"/>
  <c r="K422" i="16" s="1"/>
  <c r="M422" i="16" s="1"/>
  <c r="N422" i="16" l="1"/>
  <c r="O422" i="16" s="1"/>
  <c r="P422" i="16" s="1"/>
  <c r="G423" i="16"/>
  <c r="H423" i="16" s="1"/>
  <c r="I423" i="16" s="1"/>
  <c r="K423" i="16" s="1"/>
  <c r="M423" i="16" s="1"/>
  <c r="B425" i="16"/>
  <c r="L425" i="16"/>
  <c r="A426" i="16"/>
  <c r="E424" i="16"/>
  <c r="F424" i="16"/>
  <c r="D424" i="16"/>
  <c r="N423" i="16" l="1"/>
  <c r="O423" i="16" s="1"/>
  <c r="P423" i="16" s="1"/>
  <c r="G424" i="16"/>
  <c r="H424" i="16" s="1"/>
  <c r="B426" i="16"/>
  <c r="L426" i="16"/>
  <c r="A427" i="16"/>
  <c r="F425" i="16"/>
  <c r="E425" i="16"/>
  <c r="D425" i="16"/>
  <c r="I424" i="16" l="1"/>
  <c r="K424" i="16" s="1"/>
  <c r="M424" i="16" s="1"/>
  <c r="B427" i="16"/>
  <c r="L427" i="16"/>
  <c r="A428" i="16"/>
  <c r="G425" i="16"/>
  <c r="E426" i="16"/>
  <c r="F426" i="16"/>
  <c r="D426" i="16"/>
  <c r="N424" i="16" l="1"/>
  <c r="O424" i="16" s="1"/>
  <c r="P424" i="16" s="1"/>
  <c r="H425" i="16"/>
  <c r="I425" i="16" s="1"/>
  <c r="K425" i="16" s="1"/>
  <c r="M425" i="16" s="1"/>
  <c r="B428" i="16"/>
  <c r="L428" i="16"/>
  <c r="A429" i="16"/>
  <c r="G426" i="16"/>
  <c r="H426" i="16" s="1"/>
  <c r="I426" i="16" s="1"/>
  <c r="K426" i="16" s="1"/>
  <c r="M426" i="16" s="1"/>
  <c r="F427" i="16"/>
  <c r="E427" i="16"/>
  <c r="D427" i="16"/>
  <c r="N425" i="16" l="1"/>
  <c r="O425" i="16" s="1"/>
  <c r="P425" i="16" s="1"/>
  <c r="N426" i="16"/>
  <c r="O426" i="16" s="1"/>
  <c r="P426" i="16" s="1"/>
  <c r="G427" i="16"/>
  <c r="H427" i="16" s="1"/>
  <c r="I427" i="16" s="1"/>
  <c r="K427" i="16" s="1"/>
  <c r="M427" i="16" s="1"/>
  <c r="F428" i="16"/>
  <c r="E428" i="16"/>
  <c r="D428" i="16"/>
  <c r="B429" i="16"/>
  <c r="A430" i="16"/>
  <c r="L429" i="16"/>
  <c r="N427" i="16" l="1"/>
  <c r="O427" i="16" s="1"/>
  <c r="P427" i="16" s="1"/>
  <c r="F429" i="16"/>
  <c r="E429" i="16"/>
  <c r="D429" i="16"/>
  <c r="G428" i="16"/>
  <c r="B430" i="16"/>
  <c r="A431" i="16"/>
  <c r="L430" i="16"/>
  <c r="G429" i="16" l="1"/>
  <c r="H429" i="16" s="1"/>
  <c r="I429" i="16" s="1"/>
  <c r="K429" i="16" s="1"/>
  <c r="M429" i="16" s="1"/>
  <c r="H428" i="16"/>
  <c r="I428" i="16" s="1"/>
  <c r="K428" i="16" s="1"/>
  <c r="M428" i="16" s="1"/>
  <c r="B431" i="16"/>
  <c r="A432" i="16"/>
  <c r="L431" i="16"/>
  <c r="E430" i="16"/>
  <c r="F430" i="16"/>
  <c r="D430" i="16"/>
  <c r="N428" i="16" l="1"/>
  <c r="O428" i="16" s="1"/>
  <c r="P428" i="16" s="1"/>
  <c r="N429" i="16"/>
  <c r="O429" i="16" s="1"/>
  <c r="P429" i="16" s="1"/>
  <c r="G430" i="16"/>
  <c r="H430" i="16" s="1"/>
  <c r="I430" i="16" s="1"/>
  <c r="K430" i="16" s="1"/>
  <c r="M430" i="16" s="1"/>
  <c r="B432" i="16"/>
  <c r="L432" i="16"/>
  <c r="A433" i="16"/>
  <c r="F431" i="16"/>
  <c r="E431" i="16"/>
  <c r="D431" i="16"/>
  <c r="N430" i="16" l="1"/>
  <c r="O430" i="16" s="1"/>
  <c r="P430" i="16" s="1"/>
  <c r="G431" i="16"/>
  <c r="H431" i="16" s="1"/>
  <c r="I431" i="16" s="1"/>
  <c r="K431" i="16" s="1"/>
  <c r="M431" i="16" s="1"/>
  <c r="B433" i="16"/>
  <c r="A434" i="16"/>
  <c r="L433" i="16"/>
  <c r="F432" i="16"/>
  <c r="E432" i="16"/>
  <c r="D432" i="16"/>
  <c r="N431" i="16" l="1"/>
  <c r="O431" i="16" s="1"/>
  <c r="P431" i="16" s="1"/>
  <c r="G432" i="16"/>
  <c r="H432" i="16" s="1"/>
  <c r="I432" i="16" s="1"/>
  <c r="K432" i="16" s="1"/>
  <c r="M432" i="16" s="1"/>
  <c r="B434" i="16"/>
  <c r="L434" i="16"/>
  <c r="A435" i="16"/>
  <c r="E433" i="16"/>
  <c r="F433" i="16"/>
  <c r="D433" i="16"/>
  <c r="N432" i="16" l="1"/>
  <c r="O432" i="16" s="1"/>
  <c r="P432" i="16" s="1"/>
  <c r="B435" i="16"/>
  <c r="L435" i="16"/>
  <c r="A436" i="16"/>
  <c r="G433" i="16"/>
  <c r="F434" i="16"/>
  <c r="E434" i="16"/>
  <c r="D434" i="16"/>
  <c r="G434" i="16" l="1"/>
  <c r="H434" i="16" s="1"/>
  <c r="I434" i="16" s="1"/>
  <c r="K434" i="16" s="1"/>
  <c r="M434" i="16" s="1"/>
  <c r="H433" i="16"/>
  <c r="I433" i="16" s="1"/>
  <c r="K433" i="16" s="1"/>
  <c r="M433" i="16" s="1"/>
  <c r="B436" i="16"/>
  <c r="L436" i="16"/>
  <c r="A437" i="16"/>
  <c r="F435" i="16"/>
  <c r="E435" i="16"/>
  <c r="D435" i="16"/>
  <c r="N433" i="16" l="1"/>
  <c r="O433" i="16" s="1"/>
  <c r="P433" i="16" s="1"/>
  <c r="N434" i="16"/>
  <c r="O434" i="16" s="1"/>
  <c r="P434" i="16" s="1"/>
  <c r="G435" i="16"/>
  <c r="F436" i="16"/>
  <c r="E436" i="16"/>
  <c r="D436" i="16"/>
  <c r="B437" i="16"/>
  <c r="A438" i="16"/>
  <c r="L437" i="16"/>
  <c r="G436" i="16" l="1"/>
  <c r="H436" i="16" s="1"/>
  <c r="B438" i="16"/>
  <c r="A439" i="16"/>
  <c r="L438" i="16"/>
  <c r="E437" i="16"/>
  <c r="F437" i="16"/>
  <c r="D437" i="16"/>
  <c r="H435" i="16"/>
  <c r="I435" i="16" s="1"/>
  <c r="K435" i="16" s="1"/>
  <c r="M435" i="16" s="1"/>
  <c r="N435" i="16" l="1"/>
  <c r="O435" i="16" s="1"/>
  <c r="P435" i="16" s="1"/>
  <c r="I436" i="16"/>
  <c r="K436" i="16" s="1"/>
  <c r="M436" i="16" s="1"/>
  <c r="B439" i="16"/>
  <c r="L439" i="16"/>
  <c r="A440" i="16"/>
  <c r="G437" i="16"/>
  <c r="H437" i="16" s="1"/>
  <c r="I437" i="16" s="1"/>
  <c r="K437" i="16" s="1"/>
  <c r="M437" i="16" s="1"/>
  <c r="F438" i="16"/>
  <c r="E438" i="16"/>
  <c r="D438" i="16"/>
  <c r="N436" i="16" l="1"/>
  <c r="O436" i="16" s="1"/>
  <c r="P436" i="16" s="1"/>
  <c r="N437" i="16"/>
  <c r="O437" i="16" s="1"/>
  <c r="P437" i="16" s="1"/>
  <c r="B440" i="16"/>
  <c r="L440" i="16"/>
  <c r="A441" i="16"/>
  <c r="G438" i="16"/>
  <c r="H438" i="16" s="1"/>
  <c r="I438" i="16" s="1"/>
  <c r="K438" i="16" s="1"/>
  <c r="M438" i="16" s="1"/>
  <c r="F439" i="16"/>
  <c r="E439" i="16"/>
  <c r="D439" i="16"/>
  <c r="N438" i="16" l="1"/>
  <c r="O438" i="16" s="1"/>
  <c r="P438" i="16" s="1"/>
  <c r="B441" i="16"/>
  <c r="L441" i="16"/>
  <c r="A442" i="16"/>
  <c r="G439" i="16"/>
  <c r="F440" i="16"/>
  <c r="E440" i="16"/>
  <c r="D440" i="16"/>
  <c r="H439" i="16" l="1"/>
  <c r="I439" i="16" s="1"/>
  <c r="K439" i="16" s="1"/>
  <c r="M439" i="16" s="1"/>
  <c r="B442" i="16"/>
  <c r="L442" i="16"/>
  <c r="A443" i="16"/>
  <c r="G440" i="16"/>
  <c r="F441" i="16"/>
  <c r="E441" i="16"/>
  <c r="D441" i="16"/>
  <c r="N439" i="16" l="1"/>
  <c r="O439" i="16" s="1"/>
  <c r="P439" i="16" s="1"/>
  <c r="E442" i="16"/>
  <c r="F442" i="16"/>
  <c r="D442" i="16"/>
  <c r="H440" i="16"/>
  <c r="I440" i="16" s="1"/>
  <c r="K440" i="16" s="1"/>
  <c r="M440" i="16" s="1"/>
  <c r="G441" i="16"/>
  <c r="H441" i="16" s="1"/>
  <c r="I441" i="16" s="1"/>
  <c r="K441" i="16" s="1"/>
  <c r="M441" i="16" s="1"/>
  <c r="B443" i="16"/>
  <c r="L443" i="16"/>
  <c r="A444" i="16"/>
  <c r="N441" i="16" l="1"/>
  <c r="O441" i="16" s="1"/>
  <c r="P441" i="16" s="1"/>
  <c r="N440" i="16"/>
  <c r="O440" i="16" s="1"/>
  <c r="P440" i="16" s="1"/>
  <c r="E443" i="16"/>
  <c r="F443" i="16"/>
  <c r="D443" i="16"/>
  <c r="B444" i="16"/>
  <c r="A445" i="16"/>
  <c r="L444" i="16"/>
  <c r="G442" i="16"/>
  <c r="F444" i="16" l="1"/>
  <c r="E444" i="16"/>
  <c r="D444" i="16"/>
  <c r="H442" i="16"/>
  <c r="I442" i="16" s="1"/>
  <c r="K442" i="16" s="1"/>
  <c r="M442" i="16" s="1"/>
  <c r="B445" i="16"/>
  <c r="L445" i="16"/>
  <c r="A446" i="16"/>
  <c r="G443" i="16"/>
  <c r="N442" i="16" l="1"/>
  <c r="O442" i="16" s="1"/>
  <c r="P442" i="16" s="1"/>
  <c r="G444" i="16"/>
  <c r="H444" i="16" s="1"/>
  <c r="I444" i="16" s="1"/>
  <c r="K444" i="16" s="1"/>
  <c r="M444" i="16" s="1"/>
  <c r="B446" i="16"/>
  <c r="L446" i="16"/>
  <c r="A447" i="16"/>
  <c r="F445" i="16"/>
  <c r="E445" i="16"/>
  <c r="D445" i="16"/>
  <c r="H443" i="16"/>
  <c r="I443" i="16" s="1"/>
  <c r="K443" i="16" s="1"/>
  <c r="M443" i="16" s="1"/>
  <c r="N444" i="16" l="1"/>
  <c r="O444" i="16" s="1"/>
  <c r="P444" i="16" s="1"/>
  <c r="N443" i="16"/>
  <c r="O443" i="16" s="1"/>
  <c r="P443" i="16" s="1"/>
  <c r="B447" i="16"/>
  <c r="L447" i="16"/>
  <c r="A448" i="16"/>
  <c r="G445" i="16"/>
  <c r="E446" i="16"/>
  <c r="F446" i="16"/>
  <c r="D446" i="16"/>
  <c r="H445" i="16" l="1"/>
  <c r="I445" i="16" s="1"/>
  <c r="K445" i="16" s="1"/>
  <c r="M445" i="16" s="1"/>
  <c r="G446" i="16"/>
  <c r="B448" i="16"/>
  <c r="L448" i="16"/>
  <c r="A449" i="16"/>
  <c r="F447" i="16"/>
  <c r="E447" i="16"/>
  <c r="D447" i="16"/>
  <c r="N445" i="16" l="1"/>
  <c r="O445" i="16" s="1"/>
  <c r="P445" i="16" s="1"/>
  <c r="G447" i="16"/>
  <c r="H447" i="16" s="1"/>
  <c r="I447" i="16" s="1"/>
  <c r="K447" i="16" s="1"/>
  <c r="M447" i="16" s="1"/>
  <c r="F448" i="16"/>
  <c r="E448" i="16"/>
  <c r="D448" i="16"/>
  <c r="H446" i="16"/>
  <c r="I446" i="16" s="1"/>
  <c r="K446" i="16" s="1"/>
  <c r="M446" i="16" s="1"/>
  <c r="B449" i="16"/>
  <c r="A450" i="16"/>
  <c r="L449" i="16"/>
  <c r="N446" i="16" l="1"/>
  <c r="O446" i="16" s="1"/>
  <c r="P446" i="16" s="1"/>
  <c r="N447" i="16"/>
  <c r="O447" i="16" s="1"/>
  <c r="P447" i="16" s="1"/>
  <c r="G448" i="16"/>
  <c r="H448" i="16" s="1"/>
  <c r="I448" i="16" s="1"/>
  <c r="K448" i="16" s="1"/>
  <c r="M448" i="16" s="1"/>
  <c r="F449" i="16"/>
  <c r="E449" i="16"/>
  <c r="D449" i="16"/>
  <c r="B450" i="16"/>
  <c r="L450" i="16"/>
  <c r="A451" i="16"/>
  <c r="N448" i="16" l="1"/>
  <c r="O448" i="16" s="1"/>
  <c r="P448" i="16" s="1"/>
  <c r="G449" i="16"/>
  <c r="H449" i="16" s="1"/>
  <c r="I449" i="16" s="1"/>
  <c r="K449" i="16" s="1"/>
  <c r="M449" i="16" s="1"/>
  <c r="B451" i="16"/>
  <c r="L451" i="16"/>
  <c r="A452" i="16"/>
  <c r="F450" i="16"/>
  <c r="E450" i="16"/>
  <c r="D450" i="16"/>
  <c r="N449" i="16" l="1"/>
  <c r="O449" i="16" s="1"/>
  <c r="P449" i="16" s="1"/>
  <c r="B452" i="16"/>
  <c r="A453" i="16"/>
  <c r="L452" i="16"/>
  <c r="G450" i="16"/>
  <c r="F451" i="16"/>
  <c r="E451" i="16"/>
  <c r="D451" i="16"/>
  <c r="G451" i="16" l="1"/>
  <c r="H451" i="16" s="1"/>
  <c r="I451" i="16" s="1"/>
  <c r="K451" i="16" s="1"/>
  <c r="M451" i="16" s="1"/>
  <c r="H450" i="16"/>
  <c r="I450" i="16" s="1"/>
  <c r="K450" i="16" s="1"/>
  <c r="M450" i="16" s="1"/>
  <c r="B453" i="16"/>
  <c r="A454" i="16"/>
  <c r="L453" i="16"/>
  <c r="F452" i="16"/>
  <c r="E452" i="16"/>
  <c r="D452" i="16"/>
  <c r="N450" i="16" l="1"/>
  <c r="O450" i="16" s="1"/>
  <c r="P450" i="16" s="1"/>
  <c r="N451" i="16"/>
  <c r="O451" i="16" s="1"/>
  <c r="P451" i="16" s="1"/>
  <c r="G452" i="16"/>
  <c r="H452" i="16" s="1"/>
  <c r="I452" i="16" s="1"/>
  <c r="K452" i="16" s="1"/>
  <c r="M452" i="16" s="1"/>
  <c r="B454" i="16"/>
  <c r="A455" i="16"/>
  <c r="L454" i="16"/>
  <c r="F453" i="16"/>
  <c r="E453" i="16"/>
  <c r="D453" i="16"/>
  <c r="N452" i="16" l="1"/>
  <c r="O452" i="16" s="1"/>
  <c r="P452" i="16" s="1"/>
  <c r="G453" i="16"/>
  <c r="H453" i="16" s="1"/>
  <c r="I453" i="16" s="1"/>
  <c r="K453" i="16" s="1"/>
  <c r="M453" i="16" s="1"/>
  <c r="B455" i="16"/>
  <c r="L455" i="16"/>
  <c r="A456" i="16"/>
  <c r="E454" i="16"/>
  <c r="F454" i="16"/>
  <c r="D454" i="16"/>
  <c r="N453" i="16" l="1"/>
  <c r="O453" i="16" s="1"/>
  <c r="P453" i="16" s="1"/>
  <c r="B456" i="16"/>
  <c r="L456" i="16"/>
  <c r="A457" i="16"/>
  <c r="G454" i="16"/>
  <c r="H454" i="16" s="1"/>
  <c r="I454" i="16" s="1"/>
  <c r="K454" i="16" s="1"/>
  <c r="M454" i="16" s="1"/>
  <c r="F455" i="16"/>
  <c r="E455" i="16"/>
  <c r="D455" i="16"/>
  <c r="N454" i="16" l="1"/>
  <c r="O454" i="16" s="1"/>
  <c r="P454" i="16" s="1"/>
  <c r="G455" i="16"/>
  <c r="H455" i="16" s="1"/>
  <c r="I455" i="16" s="1"/>
  <c r="K455" i="16" s="1"/>
  <c r="M455" i="16" s="1"/>
  <c r="B457" i="16"/>
  <c r="A458" i="16"/>
  <c r="L457" i="16"/>
  <c r="F456" i="16"/>
  <c r="E456" i="16"/>
  <c r="D456" i="16"/>
  <c r="N455" i="16" l="1"/>
  <c r="O455" i="16" s="1"/>
  <c r="P455" i="16" s="1"/>
  <c r="G456" i="16"/>
  <c r="H456" i="16" s="1"/>
  <c r="I456" i="16" s="1"/>
  <c r="K456" i="16" s="1"/>
  <c r="M456" i="16" s="1"/>
  <c r="B458" i="16"/>
  <c r="L458" i="16"/>
  <c r="A459" i="16"/>
  <c r="F457" i="16"/>
  <c r="E457" i="16"/>
  <c r="D457" i="16"/>
  <c r="N456" i="16" l="1"/>
  <c r="O456" i="16" s="1"/>
  <c r="P456" i="16" s="1"/>
  <c r="B459" i="16"/>
  <c r="L459" i="16"/>
  <c r="A460" i="16"/>
  <c r="G457" i="16"/>
  <c r="E458" i="16"/>
  <c r="F458" i="16"/>
  <c r="D458" i="16"/>
  <c r="H457" i="16" l="1"/>
  <c r="I457" i="16" s="1"/>
  <c r="K457" i="16" s="1"/>
  <c r="M457" i="16" s="1"/>
  <c r="B460" i="16"/>
  <c r="A461" i="16"/>
  <c r="L460" i="16"/>
  <c r="G458" i="16"/>
  <c r="E459" i="16"/>
  <c r="F459" i="16"/>
  <c r="D459" i="16"/>
  <c r="N457" i="16" l="1"/>
  <c r="O457" i="16" s="1"/>
  <c r="P457" i="16" s="1"/>
  <c r="B461" i="16"/>
  <c r="L461" i="16"/>
  <c r="A462" i="16"/>
  <c r="G459" i="16"/>
  <c r="F460" i="16"/>
  <c r="E460" i="16"/>
  <c r="D460" i="16"/>
  <c r="H458" i="16"/>
  <c r="I458" i="16" s="1"/>
  <c r="K458" i="16" s="1"/>
  <c r="M458" i="16" s="1"/>
  <c r="N458" i="16" l="1"/>
  <c r="O458" i="16" s="1"/>
  <c r="P458" i="16" s="1"/>
  <c r="G460" i="16"/>
  <c r="H460" i="16" s="1"/>
  <c r="I460" i="16" s="1"/>
  <c r="K460" i="16" s="1"/>
  <c r="M460" i="16" s="1"/>
  <c r="H459" i="16"/>
  <c r="I459" i="16" s="1"/>
  <c r="K459" i="16" s="1"/>
  <c r="M459" i="16" s="1"/>
  <c r="B462" i="16"/>
  <c r="L462" i="16"/>
  <c r="A463" i="16"/>
  <c r="F461" i="16"/>
  <c r="E461" i="16"/>
  <c r="D461" i="16"/>
  <c r="N459" i="16" l="1"/>
  <c r="O459" i="16" s="1"/>
  <c r="P459" i="16" s="1"/>
  <c r="N460" i="16"/>
  <c r="O460" i="16" s="1"/>
  <c r="P460" i="16" s="1"/>
  <c r="G461" i="16"/>
  <c r="H461" i="16" s="1"/>
  <c r="I461" i="16" s="1"/>
  <c r="K461" i="16" s="1"/>
  <c r="M461" i="16" s="1"/>
  <c r="E462" i="16"/>
  <c r="F462" i="16"/>
  <c r="D462" i="16"/>
  <c r="B463" i="16"/>
  <c r="L463" i="16"/>
  <c r="A464" i="16"/>
  <c r="N461" i="16" l="1"/>
  <c r="O461" i="16" s="1"/>
  <c r="P461" i="16" s="1"/>
  <c r="B464" i="16"/>
  <c r="L464" i="16"/>
  <c r="A465" i="16"/>
  <c r="E463" i="16"/>
  <c r="F463" i="16"/>
  <c r="D463" i="16"/>
  <c r="G462" i="16"/>
  <c r="G463" i="16" l="1"/>
  <c r="H463" i="16" s="1"/>
  <c r="H462" i="16"/>
  <c r="I462" i="16" s="1"/>
  <c r="K462" i="16" s="1"/>
  <c r="M462" i="16" s="1"/>
  <c r="B465" i="16"/>
  <c r="L465" i="16"/>
  <c r="A466" i="16"/>
  <c r="F464" i="16"/>
  <c r="E464" i="16"/>
  <c r="D464" i="16"/>
  <c r="N462" i="16" l="1"/>
  <c r="O462" i="16" s="1"/>
  <c r="P462" i="16" s="1"/>
  <c r="I463" i="16"/>
  <c r="K463" i="16" s="1"/>
  <c r="M463" i="16" s="1"/>
  <c r="E465" i="16"/>
  <c r="F465" i="16"/>
  <c r="D465" i="16"/>
  <c r="B466" i="16"/>
  <c r="L466" i="16"/>
  <c r="A467" i="16"/>
  <c r="G464" i="16"/>
  <c r="H464" i="16" s="1"/>
  <c r="I464" i="16" s="1"/>
  <c r="K464" i="16" s="1"/>
  <c r="M464" i="16" s="1"/>
  <c r="N464" i="16" l="1"/>
  <c r="O464" i="16" s="1"/>
  <c r="P464" i="16" s="1"/>
  <c r="N463" i="16"/>
  <c r="O463" i="16" s="1"/>
  <c r="P463" i="16" s="1"/>
  <c r="G465" i="16"/>
  <c r="H465" i="16" s="1"/>
  <c r="I465" i="16" s="1"/>
  <c r="K465" i="16" s="1"/>
  <c r="M465" i="16" s="1"/>
  <c r="F466" i="16"/>
  <c r="E466" i="16"/>
  <c r="D466" i="16"/>
  <c r="B467" i="16"/>
  <c r="L467" i="16"/>
  <c r="A468" i="16"/>
  <c r="N465" i="16" l="1"/>
  <c r="O465" i="16" s="1"/>
  <c r="P465" i="16" s="1"/>
  <c r="F467" i="16"/>
  <c r="E467" i="16"/>
  <c r="D467" i="16"/>
  <c r="G466" i="16"/>
  <c r="B468" i="16"/>
  <c r="L468" i="16"/>
  <c r="A469" i="16"/>
  <c r="G467" i="16" l="1"/>
  <c r="H467" i="16" s="1"/>
  <c r="I467" i="16" s="1"/>
  <c r="K467" i="16" s="1"/>
  <c r="M467" i="16" s="1"/>
  <c r="H466" i="16"/>
  <c r="I466" i="16" s="1"/>
  <c r="K466" i="16" s="1"/>
  <c r="M466" i="16" s="1"/>
  <c r="B469" i="16"/>
  <c r="L469" i="16"/>
  <c r="A470" i="16"/>
  <c r="F468" i="16"/>
  <c r="E468" i="16"/>
  <c r="D468" i="16"/>
  <c r="N466" i="16" l="1"/>
  <c r="O466" i="16" s="1"/>
  <c r="P466" i="16" s="1"/>
  <c r="N467" i="16"/>
  <c r="O467" i="16" s="1"/>
  <c r="P467" i="16" s="1"/>
  <c r="F469" i="16"/>
  <c r="E469" i="16"/>
  <c r="D469" i="16"/>
  <c r="G468" i="16"/>
  <c r="H468" i="16" s="1"/>
  <c r="I468" i="16" s="1"/>
  <c r="K468" i="16" s="1"/>
  <c r="M468" i="16" s="1"/>
  <c r="B470" i="16"/>
  <c r="A471" i="16"/>
  <c r="L470" i="16"/>
  <c r="N468" i="16" l="1"/>
  <c r="O468" i="16" s="1"/>
  <c r="P468" i="16" s="1"/>
  <c r="G469" i="16"/>
  <c r="H469" i="16" s="1"/>
  <c r="I469" i="16" s="1"/>
  <c r="K469" i="16" s="1"/>
  <c r="M469" i="16" s="1"/>
  <c r="B471" i="16"/>
  <c r="L471" i="16"/>
  <c r="A472" i="16"/>
  <c r="F470" i="16"/>
  <c r="E470" i="16"/>
  <c r="D470" i="16"/>
  <c r="N469" i="16" l="1"/>
  <c r="O469" i="16" s="1"/>
  <c r="P469" i="16" s="1"/>
  <c r="B472" i="16"/>
  <c r="L472" i="16"/>
  <c r="A473" i="16"/>
  <c r="G470" i="16"/>
  <c r="E471" i="16"/>
  <c r="F471" i="16"/>
  <c r="D471" i="16"/>
  <c r="H470" i="16" l="1"/>
  <c r="I470" i="16" s="1"/>
  <c r="K470" i="16" s="1"/>
  <c r="M470" i="16" s="1"/>
  <c r="B473" i="16"/>
  <c r="L473" i="16"/>
  <c r="A474" i="16"/>
  <c r="G471" i="16"/>
  <c r="E472" i="16"/>
  <c r="F472" i="16"/>
  <c r="D472" i="16"/>
  <c r="N470" i="16" l="1"/>
  <c r="O470" i="16" s="1"/>
  <c r="P470" i="16" s="1"/>
  <c r="F473" i="16"/>
  <c r="E473" i="16"/>
  <c r="D473" i="16"/>
  <c r="G472" i="16"/>
  <c r="H471" i="16"/>
  <c r="I471" i="16" s="1"/>
  <c r="K471" i="16" s="1"/>
  <c r="M471" i="16" s="1"/>
  <c r="B474" i="16"/>
  <c r="L474" i="16"/>
  <c r="A475" i="16"/>
  <c r="N471" i="16" l="1"/>
  <c r="O471" i="16" s="1"/>
  <c r="P471" i="16" s="1"/>
  <c r="E474" i="16"/>
  <c r="F474" i="16"/>
  <c r="D474" i="16"/>
  <c r="H472" i="16"/>
  <c r="I472" i="16" s="1"/>
  <c r="K472" i="16" s="1"/>
  <c r="M472" i="16" s="1"/>
  <c r="G473" i="16"/>
  <c r="B475" i="16"/>
  <c r="L475" i="16"/>
  <c r="A476" i="16"/>
  <c r="N472" i="16" l="1"/>
  <c r="O472" i="16" s="1"/>
  <c r="P472" i="16" s="1"/>
  <c r="F475" i="16"/>
  <c r="E475" i="16"/>
  <c r="D475" i="16"/>
  <c r="H473" i="16"/>
  <c r="I473" i="16" s="1"/>
  <c r="K473" i="16" s="1"/>
  <c r="M473" i="16" s="1"/>
  <c r="B476" i="16"/>
  <c r="L476" i="16"/>
  <c r="A477" i="16"/>
  <c r="G474" i="16"/>
  <c r="N473" i="16" l="1"/>
  <c r="O473" i="16" s="1"/>
  <c r="P473" i="16" s="1"/>
  <c r="G475" i="16"/>
  <c r="H475" i="16" s="1"/>
  <c r="I475" i="16" s="1"/>
  <c r="K475" i="16" s="1"/>
  <c r="M475" i="16" s="1"/>
  <c r="B477" i="16"/>
  <c r="L477" i="16"/>
  <c r="A478" i="16"/>
  <c r="F476" i="16"/>
  <c r="E476" i="16"/>
  <c r="D476" i="16"/>
  <c r="H474" i="16"/>
  <c r="I474" i="16" s="1"/>
  <c r="K474" i="16" s="1"/>
  <c r="M474" i="16" s="1"/>
  <c r="N475" i="16" l="1"/>
  <c r="O475" i="16" s="1"/>
  <c r="P475" i="16" s="1"/>
  <c r="N474" i="16"/>
  <c r="O474" i="16" s="1"/>
  <c r="P474" i="16" s="1"/>
  <c r="B478" i="16"/>
  <c r="A479" i="16"/>
  <c r="L478" i="16"/>
  <c r="G476" i="16"/>
  <c r="H476" i="16" s="1"/>
  <c r="I476" i="16" s="1"/>
  <c r="K476" i="16" s="1"/>
  <c r="M476" i="16" s="1"/>
  <c r="F477" i="16"/>
  <c r="E477" i="16"/>
  <c r="D477" i="16"/>
  <c r="N476" i="16" l="1"/>
  <c r="O476" i="16" s="1"/>
  <c r="P476" i="16" s="1"/>
  <c r="G477" i="16"/>
  <c r="B479" i="16"/>
  <c r="L479" i="16"/>
  <c r="A480" i="16"/>
  <c r="E478" i="16"/>
  <c r="F478" i="16"/>
  <c r="D478" i="16"/>
  <c r="B480" i="16" l="1"/>
  <c r="L480" i="16"/>
  <c r="A481" i="16"/>
  <c r="E479" i="16"/>
  <c r="F479" i="16"/>
  <c r="D479" i="16"/>
  <c r="G478" i="16"/>
  <c r="H477" i="16"/>
  <c r="I477" i="16" s="1"/>
  <c r="K477" i="16" s="1"/>
  <c r="M477" i="16" s="1"/>
  <c r="N477" i="16" l="1"/>
  <c r="O477" i="16" s="1"/>
  <c r="P477" i="16" s="1"/>
  <c r="G479" i="16"/>
  <c r="H479" i="16" s="1"/>
  <c r="H478" i="16"/>
  <c r="I478" i="16" s="1"/>
  <c r="K478" i="16" s="1"/>
  <c r="M478" i="16" s="1"/>
  <c r="B481" i="16"/>
  <c r="L481" i="16"/>
  <c r="A482" i="16"/>
  <c r="F480" i="16"/>
  <c r="E480" i="16"/>
  <c r="D480" i="16"/>
  <c r="N478" i="16" l="1"/>
  <c r="O478" i="16" s="1"/>
  <c r="P478" i="16" s="1"/>
  <c r="I479" i="16"/>
  <c r="K479" i="16" s="1"/>
  <c r="M479" i="16" s="1"/>
  <c r="G480" i="16"/>
  <c r="F481" i="16"/>
  <c r="E481" i="16"/>
  <c r="D481" i="16"/>
  <c r="B482" i="16"/>
  <c r="L482" i="16"/>
  <c r="A483" i="16"/>
  <c r="N479" i="16" l="1"/>
  <c r="O479" i="16" s="1"/>
  <c r="P479" i="16" s="1"/>
  <c r="G481" i="16"/>
  <c r="H481" i="16" s="1"/>
  <c r="I481" i="16" s="1"/>
  <c r="K481" i="16" s="1"/>
  <c r="M481" i="16" s="1"/>
  <c r="B483" i="16"/>
  <c r="A484" i="16"/>
  <c r="L483" i="16"/>
  <c r="F482" i="16"/>
  <c r="E482" i="16"/>
  <c r="D482" i="16"/>
  <c r="H480" i="16"/>
  <c r="I480" i="16" s="1"/>
  <c r="K480" i="16" s="1"/>
  <c r="M480" i="16" s="1"/>
  <c r="N481" i="16" l="1"/>
  <c r="O481" i="16" s="1"/>
  <c r="P481" i="16" s="1"/>
  <c r="N480" i="16"/>
  <c r="O480" i="16" s="1"/>
  <c r="P480" i="16" s="1"/>
  <c r="B484" i="16"/>
  <c r="L484" i="16"/>
  <c r="A485" i="16"/>
  <c r="G482" i="16"/>
  <c r="F483" i="16"/>
  <c r="E483" i="16"/>
  <c r="D483" i="16"/>
  <c r="G483" i="16" l="1"/>
  <c r="H483" i="16" s="1"/>
  <c r="I483" i="16" s="1"/>
  <c r="K483" i="16" s="1"/>
  <c r="M483" i="16" s="1"/>
  <c r="B485" i="16"/>
  <c r="L485" i="16"/>
  <c r="A486" i="16"/>
  <c r="H482" i="16"/>
  <c r="I482" i="16" s="1"/>
  <c r="K482" i="16" s="1"/>
  <c r="M482" i="16" s="1"/>
  <c r="F484" i="16"/>
  <c r="E484" i="16"/>
  <c r="D484" i="16"/>
  <c r="N482" i="16" l="1"/>
  <c r="O482" i="16" s="1"/>
  <c r="P482" i="16" s="1"/>
  <c r="N483" i="16"/>
  <c r="O483" i="16" s="1"/>
  <c r="P483" i="16" s="1"/>
  <c r="G484" i="16"/>
  <c r="H484" i="16" s="1"/>
  <c r="I484" i="16" s="1"/>
  <c r="K484" i="16" s="1"/>
  <c r="M484" i="16" s="1"/>
  <c r="B486" i="16"/>
  <c r="L486" i="16"/>
  <c r="A487" i="16"/>
  <c r="F485" i="16"/>
  <c r="E485" i="16"/>
  <c r="D485" i="16"/>
  <c r="N484" i="16" l="1"/>
  <c r="O484" i="16" s="1"/>
  <c r="P484" i="16" s="1"/>
  <c r="B487" i="16"/>
  <c r="A488" i="16"/>
  <c r="L487" i="16"/>
  <c r="G485" i="16"/>
  <c r="E486" i="16"/>
  <c r="F486" i="16"/>
  <c r="D486" i="16"/>
  <c r="H485" i="16" l="1"/>
  <c r="I485" i="16" s="1"/>
  <c r="K485" i="16" s="1"/>
  <c r="M485" i="16" s="1"/>
  <c r="B488" i="16"/>
  <c r="L488" i="16"/>
  <c r="A489" i="16"/>
  <c r="G486" i="16"/>
  <c r="F487" i="16"/>
  <c r="E487" i="16"/>
  <c r="D487" i="16"/>
  <c r="N485" i="16" l="1"/>
  <c r="O485" i="16" s="1"/>
  <c r="P485" i="16" s="1"/>
  <c r="E488" i="16"/>
  <c r="F488" i="16"/>
  <c r="D488" i="16"/>
  <c r="H486" i="16"/>
  <c r="I486" i="16" s="1"/>
  <c r="K486" i="16" s="1"/>
  <c r="M486" i="16" s="1"/>
  <c r="G487" i="16"/>
  <c r="B489" i="16"/>
  <c r="L489" i="16"/>
  <c r="A490" i="16"/>
  <c r="N486" i="16" l="1"/>
  <c r="O486" i="16" s="1"/>
  <c r="P486" i="16" s="1"/>
  <c r="F489" i="16"/>
  <c r="E489" i="16"/>
  <c r="D489" i="16"/>
  <c r="H487" i="16"/>
  <c r="I487" i="16" s="1"/>
  <c r="K487" i="16" s="1"/>
  <c r="M487" i="16" s="1"/>
  <c r="B490" i="16"/>
  <c r="L490" i="16"/>
  <c r="A491" i="16"/>
  <c r="G488" i="16"/>
  <c r="N487" i="16" l="1"/>
  <c r="O487" i="16" s="1"/>
  <c r="P487" i="16" s="1"/>
  <c r="B491" i="16"/>
  <c r="A492" i="16"/>
  <c r="L491" i="16"/>
  <c r="G489" i="16"/>
  <c r="E490" i="16"/>
  <c r="F490" i="16"/>
  <c r="D490" i="16"/>
  <c r="H488" i="16"/>
  <c r="I488" i="16" s="1"/>
  <c r="K488" i="16" s="1"/>
  <c r="M488" i="16" s="1"/>
  <c r="N488" i="16" l="1"/>
  <c r="O488" i="16" s="1"/>
  <c r="P488" i="16" s="1"/>
  <c r="H489" i="16"/>
  <c r="I489" i="16" s="1"/>
  <c r="K489" i="16" s="1"/>
  <c r="M489" i="16" s="1"/>
  <c r="B492" i="16"/>
  <c r="A493" i="16"/>
  <c r="L492" i="16"/>
  <c r="G490" i="16"/>
  <c r="F491" i="16"/>
  <c r="E491" i="16"/>
  <c r="D491" i="16"/>
  <c r="N489" i="16" l="1"/>
  <c r="O489" i="16" s="1"/>
  <c r="P489" i="16" s="1"/>
  <c r="G491" i="16"/>
  <c r="B493" i="16"/>
  <c r="A494" i="16"/>
  <c r="L493" i="16"/>
  <c r="F492" i="16"/>
  <c r="E492" i="16"/>
  <c r="D492" i="16"/>
  <c r="H490" i="16"/>
  <c r="I490" i="16" s="1"/>
  <c r="K490" i="16" s="1"/>
  <c r="M490" i="16" s="1"/>
  <c r="N490" i="16" l="1"/>
  <c r="O490" i="16" s="1"/>
  <c r="P490" i="16" s="1"/>
  <c r="B494" i="16"/>
  <c r="L494" i="16"/>
  <c r="A495" i="16"/>
  <c r="G492" i="16"/>
  <c r="E493" i="16"/>
  <c r="F493" i="16"/>
  <c r="D493" i="16"/>
  <c r="H491" i="16"/>
  <c r="I491" i="16" s="1"/>
  <c r="K491" i="16" s="1"/>
  <c r="M491" i="16" s="1"/>
  <c r="N491" i="16" l="1"/>
  <c r="O491" i="16" s="1"/>
  <c r="P491" i="16" s="1"/>
  <c r="H492" i="16"/>
  <c r="I492" i="16" s="1"/>
  <c r="K492" i="16" s="1"/>
  <c r="M492" i="16" s="1"/>
  <c r="G493" i="16"/>
  <c r="H493" i="16" s="1"/>
  <c r="I493" i="16" s="1"/>
  <c r="K493" i="16" s="1"/>
  <c r="M493" i="16" s="1"/>
  <c r="B495" i="16"/>
  <c r="A496" i="16"/>
  <c r="L495" i="16"/>
  <c r="E494" i="16"/>
  <c r="F494" i="16"/>
  <c r="D494" i="16"/>
  <c r="N492" i="16" l="1"/>
  <c r="O492" i="16" s="1"/>
  <c r="P492" i="16" s="1"/>
  <c r="N493" i="16"/>
  <c r="O493" i="16" s="1"/>
  <c r="P493" i="16" s="1"/>
  <c r="E495" i="16"/>
  <c r="F495" i="16"/>
  <c r="D495" i="16"/>
  <c r="G494" i="16"/>
  <c r="B496" i="16"/>
  <c r="A497" i="16"/>
  <c r="L496" i="16"/>
  <c r="H494" i="16" l="1"/>
  <c r="I494" i="16" s="1"/>
  <c r="K494" i="16" s="1"/>
  <c r="M494" i="16" s="1"/>
  <c r="B497" i="16"/>
  <c r="L497" i="16"/>
  <c r="A498" i="16"/>
  <c r="F496" i="16"/>
  <c r="E496" i="16"/>
  <c r="D496" i="16"/>
  <c r="G495" i="16"/>
  <c r="N494" i="16" l="1"/>
  <c r="O494" i="16" s="1"/>
  <c r="P494" i="16" s="1"/>
  <c r="G496" i="16"/>
  <c r="H496" i="16" s="1"/>
  <c r="I496" i="16" s="1"/>
  <c r="K496" i="16" s="1"/>
  <c r="M496" i="16" s="1"/>
  <c r="F497" i="16"/>
  <c r="E497" i="16"/>
  <c r="D497" i="16"/>
  <c r="H495" i="16"/>
  <c r="I495" i="16" s="1"/>
  <c r="K495" i="16" s="1"/>
  <c r="M495" i="16" s="1"/>
  <c r="B498" i="16"/>
  <c r="L498" i="16"/>
  <c r="A499" i="16"/>
  <c r="N496" i="16" l="1"/>
  <c r="O496" i="16" s="1"/>
  <c r="P496" i="16" s="1"/>
  <c r="N495" i="16"/>
  <c r="O495" i="16" s="1"/>
  <c r="P495" i="16" s="1"/>
  <c r="G497" i="16"/>
  <c r="H497" i="16" s="1"/>
  <c r="F498" i="16"/>
  <c r="E498" i="16"/>
  <c r="D498" i="16"/>
  <c r="B499" i="16"/>
  <c r="L499" i="16"/>
  <c r="A500" i="16"/>
  <c r="I497" i="16" l="1"/>
  <c r="K497" i="16" s="1"/>
  <c r="M497" i="16" s="1"/>
  <c r="G498" i="16"/>
  <c r="H498" i="16" s="1"/>
  <c r="I498" i="16" s="1"/>
  <c r="K498" i="16" s="1"/>
  <c r="M498" i="16" s="1"/>
  <c r="B500" i="16"/>
  <c r="A501" i="16"/>
  <c r="L500" i="16"/>
  <c r="F499" i="16"/>
  <c r="E499" i="16"/>
  <c r="D499" i="16"/>
  <c r="N498" i="16" l="1"/>
  <c r="O498" i="16" s="1"/>
  <c r="P498" i="16" s="1"/>
  <c r="N497" i="16"/>
  <c r="O497" i="16" s="1"/>
  <c r="P497" i="16" s="1"/>
  <c r="G499" i="16"/>
  <c r="H499" i="16" s="1"/>
  <c r="I499" i="16" s="1"/>
  <c r="K499" i="16" s="1"/>
  <c r="M499" i="16" s="1"/>
  <c r="B501" i="16"/>
  <c r="L501" i="16"/>
  <c r="A502" i="16"/>
  <c r="F500" i="16"/>
  <c r="E500" i="16"/>
  <c r="D500" i="16"/>
  <c r="N499" i="16" l="1"/>
  <c r="O499" i="16" s="1"/>
  <c r="P499" i="16" s="1"/>
  <c r="B502" i="16"/>
  <c r="L502" i="16"/>
  <c r="A503" i="16"/>
  <c r="G500" i="16"/>
  <c r="H500" i="16" s="1"/>
  <c r="I500" i="16" s="1"/>
  <c r="K500" i="16" s="1"/>
  <c r="M500" i="16" s="1"/>
  <c r="E501" i="16"/>
  <c r="F501" i="16"/>
  <c r="D501" i="16"/>
  <c r="N500" i="16" l="1"/>
  <c r="O500" i="16" s="1"/>
  <c r="P500" i="16" s="1"/>
  <c r="G501" i="16"/>
  <c r="H501" i="16" s="1"/>
  <c r="I501" i="16" s="1"/>
  <c r="K501" i="16" s="1"/>
  <c r="M501" i="16" s="1"/>
  <c r="B503" i="16"/>
  <c r="A504" i="16"/>
  <c r="L503" i="16"/>
  <c r="F502" i="16"/>
  <c r="E502" i="16"/>
  <c r="D502" i="16"/>
  <c r="N501" i="16" l="1"/>
  <c r="O501" i="16" s="1"/>
  <c r="P501" i="16" s="1"/>
  <c r="B504" i="16"/>
  <c r="A505" i="16"/>
  <c r="L504" i="16"/>
  <c r="G502" i="16"/>
  <c r="E503" i="16"/>
  <c r="F503" i="16"/>
  <c r="D503" i="16"/>
  <c r="H502" i="16" l="1"/>
  <c r="I502" i="16" s="1"/>
  <c r="K502" i="16" s="1"/>
  <c r="M502" i="16" s="1"/>
  <c r="B505" i="16"/>
  <c r="L505" i="16"/>
  <c r="A506" i="16"/>
  <c r="G503" i="16"/>
  <c r="F504" i="16"/>
  <c r="E504" i="16"/>
  <c r="D504" i="16"/>
  <c r="N502" i="16" l="1"/>
  <c r="O502" i="16" s="1"/>
  <c r="P502" i="16" s="1"/>
  <c r="G504" i="16"/>
  <c r="H504" i="16" s="1"/>
  <c r="I504" i="16" s="1"/>
  <c r="K504" i="16" s="1"/>
  <c r="M504" i="16" s="1"/>
  <c r="F505" i="16"/>
  <c r="E505" i="16"/>
  <c r="D505" i="16"/>
  <c r="H503" i="16"/>
  <c r="I503" i="16" s="1"/>
  <c r="K503" i="16" s="1"/>
  <c r="M503" i="16" s="1"/>
  <c r="B506" i="16"/>
  <c r="A507" i="16"/>
  <c r="L506" i="16"/>
  <c r="N503" i="16" l="1"/>
  <c r="O503" i="16" s="1"/>
  <c r="P503" i="16" s="1"/>
  <c r="N504" i="16"/>
  <c r="O504" i="16" s="1"/>
  <c r="P504" i="16" s="1"/>
  <c r="B507" i="16"/>
  <c r="A508" i="16"/>
  <c r="L507" i="16"/>
  <c r="G505" i="16"/>
  <c r="E506" i="16"/>
  <c r="F506" i="16"/>
  <c r="D506" i="16"/>
  <c r="H505" i="16" l="1"/>
  <c r="I505" i="16" s="1"/>
  <c r="K505" i="16" s="1"/>
  <c r="M505" i="16" s="1"/>
  <c r="B508" i="16"/>
  <c r="L508" i="16"/>
  <c r="A509" i="16"/>
  <c r="G506" i="16"/>
  <c r="E507" i="16"/>
  <c r="F507" i="16"/>
  <c r="D507" i="16"/>
  <c r="N505" i="16" l="1"/>
  <c r="O505" i="16" s="1"/>
  <c r="P505" i="16" s="1"/>
  <c r="F508" i="16"/>
  <c r="E508" i="16"/>
  <c r="D508" i="16"/>
  <c r="G507" i="16"/>
  <c r="H506" i="16"/>
  <c r="I506" i="16" s="1"/>
  <c r="K506" i="16" s="1"/>
  <c r="M506" i="16" s="1"/>
  <c r="B509" i="16"/>
  <c r="A510" i="16"/>
  <c r="L509" i="16"/>
  <c r="N506" i="16" l="1"/>
  <c r="O506" i="16" s="1"/>
  <c r="P506" i="16" s="1"/>
  <c r="G508" i="16"/>
  <c r="H508" i="16" s="1"/>
  <c r="I508" i="16" s="1"/>
  <c r="K508" i="16" s="1"/>
  <c r="M508" i="16" s="1"/>
  <c r="B510" i="16"/>
  <c r="L510" i="16"/>
  <c r="A511" i="16"/>
  <c r="H507" i="16"/>
  <c r="I507" i="16" s="1"/>
  <c r="K507" i="16" s="1"/>
  <c r="M507" i="16" s="1"/>
  <c r="F509" i="16"/>
  <c r="E509" i="16"/>
  <c r="D509" i="16"/>
  <c r="N507" i="16" l="1"/>
  <c r="O507" i="16" s="1"/>
  <c r="P507" i="16" s="1"/>
  <c r="N508" i="16"/>
  <c r="O508" i="16" s="1"/>
  <c r="P508" i="16" s="1"/>
  <c r="G509" i="16"/>
  <c r="H509" i="16" s="1"/>
  <c r="I509" i="16" s="1"/>
  <c r="K509" i="16" s="1"/>
  <c r="M509" i="16" s="1"/>
  <c r="B511" i="16"/>
  <c r="A512" i="16"/>
  <c r="L511" i="16"/>
  <c r="E510" i="16"/>
  <c r="F510" i="16"/>
  <c r="D510" i="16"/>
  <c r="N509" i="16" l="1"/>
  <c r="O509" i="16" s="1"/>
  <c r="P509" i="16" s="1"/>
  <c r="B512" i="16"/>
  <c r="L512" i="16"/>
  <c r="A513" i="16"/>
  <c r="F511" i="16"/>
  <c r="E511" i="16"/>
  <c r="D511" i="16"/>
  <c r="G510" i="16"/>
  <c r="H510" i="16" l="1"/>
  <c r="I510" i="16" s="1"/>
  <c r="K510" i="16" s="1"/>
  <c r="M510" i="16" s="1"/>
  <c r="B513" i="16"/>
  <c r="A514" i="16"/>
  <c r="L513" i="16"/>
  <c r="G511" i="16"/>
  <c r="F512" i="16"/>
  <c r="E512" i="16"/>
  <c r="D512" i="16"/>
  <c r="N510" i="16" l="1"/>
  <c r="O510" i="16" s="1"/>
  <c r="P510" i="16" s="1"/>
  <c r="G512" i="16"/>
  <c r="H512" i="16" s="1"/>
  <c r="I512" i="16" s="1"/>
  <c r="K512" i="16" s="1"/>
  <c r="M512" i="16" s="1"/>
  <c r="B514" i="16"/>
  <c r="A515" i="16"/>
  <c r="L514" i="16"/>
  <c r="F513" i="16"/>
  <c r="E513" i="16"/>
  <c r="D513" i="16"/>
  <c r="H511" i="16"/>
  <c r="I511" i="16" s="1"/>
  <c r="K511" i="16" s="1"/>
  <c r="M511" i="16" s="1"/>
  <c r="N512" i="16" l="1"/>
  <c r="O512" i="16" s="1"/>
  <c r="P512" i="16" s="1"/>
  <c r="N511" i="16"/>
  <c r="O511" i="16" s="1"/>
  <c r="P511" i="16" s="1"/>
  <c r="G513" i="16"/>
  <c r="H513" i="16" s="1"/>
  <c r="I513" i="16" s="1"/>
  <c r="K513" i="16" s="1"/>
  <c r="M513" i="16" s="1"/>
  <c r="B515" i="16"/>
  <c r="A516" i="16"/>
  <c r="L515" i="16"/>
  <c r="F514" i="16"/>
  <c r="E514" i="16"/>
  <c r="D514" i="16"/>
  <c r="N513" i="16" l="1"/>
  <c r="O513" i="16" s="1"/>
  <c r="P513" i="16" s="1"/>
  <c r="B516" i="16"/>
  <c r="L516" i="16"/>
  <c r="A517" i="16"/>
  <c r="G514" i="16"/>
  <c r="H514" i="16" s="1"/>
  <c r="I514" i="16" s="1"/>
  <c r="K514" i="16" s="1"/>
  <c r="M514" i="16" s="1"/>
  <c r="F515" i="16"/>
  <c r="E515" i="16"/>
  <c r="D515" i="16"/>
  <c r="N514" i="16" l="1"/>
  <c r="O514" i="16" s="1"/>
  <c r="P514" i="16" s="1"/>
  <c r="B517" i="16"/>
  <c r="A518" i="16"/>
  <c r="L517" i="16"/>
  <c r="G515" i="16"/>
  <c r="F516" i="16"/>
  <c r="E516" i="16"/>
  <c r="D516" i="16"/>
  <c r="G516" i="16" l="1"/>
  <c r="H516" i="16" s="1"/>
  <c r="H515" i="16"/>
  <c r="I515" i="16" s="1"/>
  <c r="K515" i="16" s="1"/>
  <c r="M515" i="16" s="1"/>
  <c r="B518" i="16"/>
  <c r="L518" i="16"/>
  <c r="A519" i="16"/>
  <c r="E517" i="16"/>
  <c r="F517" i="16"/>
  <c r="D517" i="16"/>
  <c r="N515" i="16" l="1"/>
  <c r="O515" i="16" s="1"/>
  <c r="P515" i="16" s="1"/>
  <c r="I516" i="16"/>
  <c r="K516" i="16" s="1"/>
  <c r="M516" i="16" s="1"/>
  <c r="E518" i="16"/>
  <c r="F518" i="16"/>
  <c r="D518" i="16"/>
  <c r="G517" i="16"/>
  <c r="B519" i="16"/>
  <c r="L519" i="16"/>
  <c r="A520" i="16"/>
  <c r="N516" i="16" l="1"/>
  <c r="O516" i="16" s="1"/>
  <c r="P516" i="16" s="1"/>
  <c r="G518" i="16"/>
  <c r="H518" i="16" s="1"/>
  <c r="I518" i="16" s="1"/>
  <c r="K518" i="16" s="1"/>
  <c r="M518" i="16" s="1"/>
  <c r="H517" i="16"/>
  <c r="I517" i="16" s="1"/>
  <c r="K517" i="16" s="1"/>
  <c r="M517" i="16" s="1"/>
  <c r="B520" i="16"/>
  <c r="L520" i="16"/>
  <c r="A521" i="16"/>
  <c r="F519" i="16"/>
  <c r="E519" i="16"/>
  <c r="D519" i="16"/>
  <c r="N517" i="16" l="1"/>
  <c r="O517" i="16" s="1"/>
  <c r="P517" i="16" s="1"/>
  <c r="N518" i="16"/>
  <c r="O518" i="16" s="1"/>
  <c r="P518" i="16" s="1"/>
  <c r="B521" i="16"/>
  <c r="L521" i="16"/>
  <c r="A522" i="16"/>
  <c r="G519" i="16"/>
  <c r="H519" i="16" s="1"/>
  <c r="I519" i="16" s="1"/>
  <c r="K519" i="16" s="1"/>
  <c r="M519" i="16" s="1"/>
  <c r="E520" i="16"/>
  <c r="F520" i="16"/>
  <c r="D520" i="16"/>
  <c r="N519" i="16" l="1"/>
  <c r="O519" i="16" s="1"/>
  <c r="P519" i="16" s="1"/>
  <c r="G520" i="16"/>
  <c r="H520" i="16" s="1"/>
  <c r="I520" i="16" s="1"/>
  <c r="K520" i="16" s="1"/>
  <c r="M520" i="16" s="1"/>
  <c r="B522" i="16"/>
  <c r="L522" i="16"/>
  <c r="A523" i="16"/>
  <c r="F521" i="16"/>
  <c r="E521" i="16"/>
  <c r="D521" i="16"/>
  <c r="N520" i="16" l="1"/>
  <c r="O520" i="16" s="1"/>
  <c r="P520" i="16" s="1"/>
  <c r="B523" i="16"/>
  <c r="L523" i="16"/>
  <c r="A524" i="16"/>
  <c r="G521" i="16"/>
  <c r="E522" i="16"/>
  <c r="F522" i="16"/>
  <c r="D522" i="16"/>
  <c r="H521" i="16" l="1"/>
  <c r="I521" i="16" s="1"/>
  <c r="K521" i="16" s="1"/>
  <c r="M521" i="16" s="1"/>
  <c r="B524" i="16"/>
  <c r="L524" i="16"/>
  <c r="A525" i="16"/>
  <c r="G522" i="16"/>
  <c r="H522" i="16" s="1"/>
  <c r="I522" i="16" s="1"/>
  <c r="K522" i="16" s="1"/>
  <c r="M522" i="16" s="1"/>
  <c r="E523" i="16"/>
  <c r="F523" i="16"/>
  <c r="D523" i="16"/>
  <c r="N522" i="16" l="1"/>
  <c r="O522" i="16" s="1"/>
  <c r="P522" i="16" s="1"/>
  <c r="N521" i="16"/>
  <c r="O521" i="16" s="1"/>
  <c r="P521" i="16" s="1"/>
  <c r="G523" i="16"/>
  <c r="F524" i="16"/>
  <c r="E524" i="16"/>
  <c r="D524" i="16"/>
  <c r="B525" i="16"/>
  <c r="A526" i="16"/>
  <c r="L525" i="16"/>
  <c r="G524" i="16" l="1"/>
  <c r="B526" i="16"/>
  <c r="A527" i="16"/>
  <c r="L526" i="16"/>
  <c r="E525" i="16"/>
  <c r="F525" i="16"/>
  <c r="D525" i="16"/>
  <c r="H523" i="16"/>
  <c r="I523" i="16" s="1"/>
  <c r="K523" i="16" s="1"/>
  <c r="M523" i="16" s="1"/>
  <c r="N523" i="16" l="1"/>
  <c r="O523" i="16" s="1"/>
  <c r="P523" i="16" s="1"/>
  <c r="E526" i="16"/>
  <c r="F526" i="16"/>
  <c r="D526" i="16"/>
  <c r="B527" i="16"/>
  <c r="A528" i="16"/>
  <c r="L527" i="16"/>
  <c r="G525" i="16"/>
  <c r="H525" i="16" s="1"/>
  <c r="I525" i="16" s="1"/>
  <c r="K525" i="16" s="1"/>
  <c r="M525" i="16" s="1"/>
  <c r="H524" i="16"/>
  <c r="I524" i="16" s="1"/>
  <c r="K524" i="16" s="1"/>
  <c r="M524" i="16" s="1"/>
  <c r="N524" i="16" l="1"/>
  <c r="O524" i="16" s="1"/>
  <c r="P524" i="16" s="1"/>
  <c r="N525" i="16"/>
  <c r="O525" i="16" s="1"/>
  <c r="P525" i="16" s="1"/>
  <c r="E527" i="16"/>
  <c r="F527" i="16"/>
  <c r="D527" i="16"/>
  <c r="B528" i="16"/>
  <c r="L528" i="16"/>
  <c r="A529" i="16"/>
  <c r="G526" i="16"/>
  <c r="G527" i="16" l="1"/>
  <c r="H527" i="16" s="1"/>
  <c r="I527" i="16" s="1"/>
  <c r="K527" i="16" s="1"/>
  <c r="M527" i="16" s="1"/>
  <c r="F528" i="16"/>
  <c r="E528" i="16"/>
  <c r="D528" i="16"/>
  <c r="H526" i="16"/>
  <c r="I526" i="16" s="1"/>
  <c r="K526" i="16" s="1"/>
  <c r="M526" i="16" s="1"/>
  <c r="B529" i="16"/>
  <c r="A530" i="16"/>
  <c r="L529" i="16"/>
  <c r="N526" i="16" l="1"/>
  <c r="O526" i="16" s="1"/>
  <c r="P526" i="16" s="1"/>
  <c r="N527" i="16"/>
  <c r="O527" i="16" s="1"/>
  <c r="P527" i="16" s="1"/>
  <c r="G528" i="16"/>
  <c r="H528" i="16" s="1"/>
  <c r="I528" i="16" s="1"/>
  <c r="K528" i="16" s="1"/>
  <c r="M528" i="16" s="1"/>
  <c r="F529" i="16"/>
  <c r="E529" i="16"/>
  <c r="D529" i="16"/>
  <c r="B530" i="16"/>
  <c r="L530" i="16"/>
  <c r="A531" i="16"/>
  <c r="N528" i="16" l="1"/>
  <c r="O528" i="16" s="1"/>
  <c r="P528" i="16" s="1"/>
  <c r="F530" i="16"/>
  <c r="E530" i="16"/>
  <c r="D530" i="16"/>
  <c r="B531" i="16"/>
  <c r="L531" i="16"/>
  <c r="A532" i="16"/>
  <c r="G529" i="16"/>
  <c r="H529" i="16" s="1"/>
  <c r="I529" i="16" s="1"/>
  <c r="K529" i="16" s="1"/>
  <c r="M529" i="16" s="1"/>
  <c r="N529" i="16" l="1"/>
  <c r="O529" i="16" s="1"/>
  <c r="P529" i="16" s="1"/>
  <c r="G530" i="16"/>
  <c r="H530" i="16" s="1"/>
  <c r="I530" i="16" s="1"/>
  <c r="K530" i="16" s="1"/>
  <c r="M530" i="16" s="1"/>
  <c r="B532" i="16"/>
  <c r="L532" i="16"/>
  <c r="A533" i="16"/>
  <c r="F531" i="16"/>
  <c r="E531" i="16"/>
  <c r="D531" i="16"/>
  <c r="N530" i="16" l="1"/>
  <c r="O530" i="16" s="1"/>
  <c r="P530" i="16" s="1"/>
  <c r="G531" i="16"/>
  <c r="H531" i="16" s="1"/>
  <c r="I531" i="16" s="1"/>
  <c r="K531" i="16" s="1"/>
  <c r="M531" i="16" s="1"/>
  <c r="B533" i="16"/>
  <c r="A534" i="16"/>
  <c r="L533" i="16"/>
  <c r="F532" i="16"/>
  <c r="E532" i="16"/>
  <c r="D532" i="16"/>
  <c r="N531" i="16" l="1"/>
  <c r="O531" i="16" s="1"/>
  <c r="P531" i="16" s="1"/>
  <c r="B534" i="16"/>
  <c r="A535" i="16"/>
  <c r="L534" i="16"/>
  <c r="G532" i="16"/>
  <c r="H532" i="16" s="1"/>
  <c r="I532" i="16" s="1"/>
  <c r="K532" i="16" s="1"/>
  <c r="M532" i="16" s="1"/>
  <c r="F533" i="16"/>
  <c r="E533" i="16"/>
  <c r="D533" i="16"/>
  <c r="N532" i="16" l="1"/>
  <c r="O532" i="16" s="1"/>
  <c r="P532" i="16" s="1"/>
  <c r="G533" i="16"/>
  <c r="H533" i="16" s="1"/>
  <c r="I533" i="16" s="1"/>
  <c r="K533" i="16" s="1"/>
  <c r="M533" i="16" s="1"/>
  <c r="B535" i="16"/>
  <c r="A536" i="16"/>
  <c r="L535" i="16"/>
  <c r="E534" i="16"/>
  <c r="F534" i="16"/>
  <c r="D534" i="16"/>
  <c r="N533" i="16" l="1"/>
  <c r="O533" i="16" s="1"/>
  <c r="P533" i="16" s="1"/>
  <c r="G534" i="16"/>
  <c r="H534" i="16" s="1"/>
  <c r="I534" i="16" s="1"/>
  <c r="K534" i="16" s="1"/>
  <c r="M534" i="16" s="1"/>
  <c r="B536" i="16"/>
  <c r="L536" i="16"/>
  <c r="A537" i="16"/>
  <c r="E535" i="16"/>
  <c r="F535" i="16"/>
  <c r="D535" i="16"/>
  <c r="N534" i="16" l="1"/>
  <c r="O534" i="16" s="1"/>
  <c r="P534" i="16" s="1"/>
  <c r="G535" i="16"/>
  <c r="B537" i="16"/>
  <c r="L537" i="16"/>
  <c r="A538" i="16"/>
  <c r="E536" i="16"/>
  <c r="F536" i="16"/>
  <c r="D536" i="16"/>
  <c r="B538" i="16" l="1"/>
  <c r="L538" i="16"/>
  <c r="A539" i="16"/>
  <c r="F537" i="16"/>
  <c r="E537" i="16"/>
  <c r="D537" i="16"/>
  <c r="G536" i="16"/>
  <c r="H535" i="16"/>
  <c r="I535" i="16" s="1"/>
  <c r="K535" i="16" s="1"/>
  <c r="M535" i="16" s="1"/>
  <c r="N535" i="16" l="1"/>
  <c r="O535" i="16" s="1"/>
  <c r="P535" i="16" s="1"/>
  <c r="H536" i="16"/>
  <c r="I536" i="16" s="1"/>
  <c r="K536" i="16" s="1"/>
  <c r="M536" i="16" s="1"/>
  <c r="B539" i="16"/>
  <c r="A540" i="16"/>
  <c r="L539" i="16"/>
  <c r="G537" i="16"/>
  <c r="H537" i="16" s="1"/>
  <c r="I537" i="16" s="1"/>
  <c r="K537" i="16" s="1"/>
  <c r="M537" i="16" s="1"/>
  <c r="E538" i="16"/>
  <c r="F538" i="16"/>
  <c r="D538" i="16"/>
  <c r="N537" i="16" l="1"/>
  <c r="O537" i="16" s="1"/>
  <c r="P537" i="16" s="1"/>
  <c r="N536" i="16"/>
  <c r="O536" i="16" s="1"/>
  <c r="P536" i="16" s="1"/>
  <c r="B540" i="16"/>
  <c r="L540" i="16"/>
  <c r="A541" i="16"/>
  <c r="G538" i="16"/>
  <c r="H538" i="16" s="1"/>
  <c r="I538" i="16" s="1"/>
  <c r="K538" i="16" s="1"/>
  <c r="M538" i="16" s="1"/>
  <c r="F539" i="16"/>
  <c r="E539" i="16"/>
  <c r="D539" i="16"/>
  <c r="N538" i="16" l="1"/>
  <c r="O538" i="16" s="1"/>
  <c r="P538" i="16" s="1"/>
  <c r="B541" i="16"/>
  <c r="L541" i="16"/>
  <c r="A542" i="16"/>
  <c r="G539" i="16"/>
  <c r="H539" i="16" s="1"/>
  <c r="I539" i="16" s="1"/>
  <c r="K539" i="16" s="1"/>
  <c r="M539" i="16" s="1"/>
  <c r="F540" i="16"/>
  <c r="E540" i="16"/>
  <c r="D540" i="16"/>
  <c r="N539" i="16" l="1"/>
  <c r="O539" i="16" s="1"/>
  <c r="P539" i="16" s="1"/>
  <c r="G540" i="16"/>
  <c r="H540" i="16" s="1"/>
  <c r="I540" i="16" s="1"/>
  <c r="K540" i="16" s="1"/>
  <c r="M540" i="16" s="1"/>
  <c r="B542" i="16"/>
  <c r="A543" i="16"/>
  <c r="L542" i="16"/>
  <c r="F541" i="16"/>
  <c r="E541" i="16"/>
  <c r="D541" i="16"/>
  <c r="N540" i="16" l="1"/>
  <c r="O540" i="16" s="1"/>
  <c r="P540" i="16" s="1"/>
  <c r="G541" i="16"/>
  <c r="B543" i="16"/>
  <c r="L543" i="16"/>
  <c r="A544" i="16"/>
  <c r="E542" i="16"/>
  <c r="F542" i="16"/>
  <c r="D542" i="16"/>
  <c r="B544" i="16" l="1"/>
  <c r="L544" i="16"/>
  <c r="A545" i="16"/>
  <c r="E543" i="16"/>
  <c r="F543" i="16"/>
  <c r="D543" i="16"/>
  <c r="G542" i="16"/>
  <c r="H541" i="16"/>
  <c r="I541" i="16" s="1"/>
  <c r="K541" i="16" s="1"/>
  <c r="M541" i="16" s="1"/>
  <c r="N541" i="16" l="1"/>
  <c r="O541" i="16" s="1"/>
  <c r="P541" i="16" s="1"/>
  <c r="G543" i="16"/>
  <c r="H542" i="16"/>
  <c r="I542" i="16" s="1"/>
  <c r="K542" i="16" s="1"/>
  <c r="M542" i="16" s="1"/>
  <c r="B545" i="16"/>
  <c r="L545" i="16"/>
  <c r="A546" i="16"/>
  <c r="E544" i="16"/>
  <c r="F544" i="16"/>
  <c r="D544" i="16"/>
  <c r="N542" i="16" l="1"/>
  <c r="O542" i="16" s="1"/>
  <c r="P542" i="16" s="1"/>
  <c r="F545" i="16"/>
  <c r="E545" i="16"/>
  <c r="D545" i="16"/>
  <c r="B546" i="16"/>
  <c r="L546" i="16"/>
  <c r="A547" i="16"/>
  <c r="G544" i="16"/>
  <c r="H543" i="16"/>
  <c r="I543" i="16" s="1"/>
  <c r="K543" i="16" s="1"/>
  <c r="M543" i="16" s="1"/>
  <c r="N543" i="16" l="1"/>
  <c r="O543" i="16" s="1"/>
  <c r="P543" i="16" s="1"/>
  <c r="G545" i="16"/>
  <c r="H545" i="16" s="1"/>
  <c r="F546" i="16"/>
  <c r="E546" i="16"/>
  <c r="D546" i="16"/>
  <c r="H544" i="16"/>
  <c r="I544" i="16" s="1"/>
  <c r="K544" i="16" s="1"/>
  <c r="M544" i="16" s="1"/>
  <c r="B547" i="16"/>
  <c r="L547" i="16"/>
  <c r="A548" i="16"/>
  <c r="N544" i="16" l="1"/>
  <c r="O544" i="16" s="1"/>
  <c r="P544" i="16" s="1"/>
  <c r="I545" i="16"/>
  <c r="K545" i="16" s="1"/>
  <c r="M545" i="16" s="1"/>
  <c r="G546" i="16"/>
  <c r="H546" i="16" s="1"/>
  <c r="I546" i="16" s="1"/>
  <c r="K546" i="16" s="1"/>
  <c r="M546" i="16" s="1"/>
  <c r="B548" i="16"/>
  <c r="L548" i="16"/>
  <c r="A549" i="16"/>
  <c r="F547" i="16"/>
  <c r="E547" i="16"/>
  <c r="D547" i="16"/>
  <c r="N545" i="16" l="1"/>
  <c r="O545" i="16" s="1"/>
  <c r="P545" i="16" s="1"/>
  <c r="N546" i="16"/>
  <c r="O546" i="16" s="1"/>
  <c r="P546" i="16" s="1"/>
  <c r="B549" i="16"/>
  <c r="A550" i="16"/>
  <c r="L549" i="16"/>
  <c r="G547" i="16"/>
  <c r="F548" i="16"/>
  <c r="E548" i="16"/>
  <c r="D548" i="16"/>
  <c r="G548" i="16" l="1"/>
  <c r="H548" i="16" s="1"/>
  <c r="I548" i="16" s="1"/>
  <c r="K548" i="16" s="1"/>
  <c r="M548" i="16" s="1"/>
  <c r="B550" i="16"/>
  <c r="A551" i="16"/>
  <c r="L550" i="16"/>
  <c r="H547" i="16"/>
  <c r="I547" i="16" s="1"/>
  <c r="K547" i="16" s="1"/>
  <c r="M547" i="16" s="1"/>
  <c r="F549" i="16"/>
  <c r="E549" i="16"/>
  <c r="D549" i="16"/>
  <c r="N547" i="16" l="1"/>
  <c r="O547" i="16" s="1"/>
  <c r="P547" i="16" s="1"/>
  <c r="N548" i="16"/>
  <c r="O548" i="16" s="1"/>
  <c r="P548" i="16" s="1"/>
  <c r="B551" i="16"/>
  <c r="A552" i="16"/>
  <c r="L551" i="16"/>
  <c r="E550" i="16"/>
  <c r="F550" i="16"/>
  <c r="D550" i="16"/>
  <c r="G549" i="16"/>
  <c r="H549" i="16" s="1"/>
  <c r="I549" i="16" s="1"/>
  <c r="K549" i="16" s="1"/>
  <c r="M549" i="16" s="1"/>
  <c r="N549" i="16" l="1"/>
  <c r="O549" i="16" s="1"/>
  <c r="P549" i="16" s="1"/>
  <c r="G550" i="16"/>
  <c r="H550" i="16" s="1"/>
  <c r="I550" i="16" s="1"/>
  <c r="K550" i="16" s="1"/>
  <c r="M550" i="16" s="1"/>
  <c r="B552" i="16"/>
  <c r="L552" i="16"/>
  <c r="A553" i="16"/>
  <c r="F551" i="16"/>
  <c r="E551" i="16"/>
  <c r="D551" i="16"/>
  <c r="N550" i="16" l="1"/>
  <c r="O550" i="16" s="1"/>
  <c r="P550" i="16" s="1"/>
  <c r="G551" i="16"/>
  <c r="F552" i="16"/>
  <c r="E552" i="16"/>
  <c r="D552" i="16"/>
  <c r="B553" i="16"/>
  <c r="L553" i="16"/>
  <c r="A554" i="16"/>
  <c r="B554" i="16" l="1"/>
  <c r="A555" i="16"/>
  <c r="L554" i="16"/>
  <c r="G552" i="16"/>
  <c r="H552" i="16" s="1"/>
  <c r="I552" i="16" s="1"/>
  <c r="K552" i="16" s="1"/>
  <c r="M552" i="16" s="1"/>
  <c r="F553" i="16"/>
  <c r="E553" i="16"/>
  <c r="D553" i="16"/>
  <c r="H551" i="16"/>
  <c r="I551" i="16" s="1"/>
  <c r="K551" i="16" s="1"/>
  <c r="M551" i="16" s="1"/>
  <c r="N551" i="16" l="1"/>
  <c r="O551" i="16" s="1"/>
  <c r="P551" i="16" s="1"/>
  <c r="N552" i="16"/>
  <c r="O552" i="16" s="1"/>
  <c r="P552" i="16" s="1"/>
  <c r="G553" i="16"/>
  <c r="H553" i="16" s="1"/>
  <c r="I553" i="16" s="1"/>
  <c r="K553" i="16" s="1"/>
  <c r="M553" i="16" s="1"/>
  <c r="B555" i="16"/>
  <c r="L555" i="16"/>
  <c r="A556" i="16"/>
  <c r="E554" i="16"/>
  <c r="F554" i="16"/>
  <c r="D554" i="16"/>
  <c r="N553" i="16" l="1"/>
  <c r="O553" i="16" s="1"/>
  <c r="P553" i="16" s="1"/>
  <c r="B556" i="16"/>
  <c r="L556" i="16"/>
  <c r="A557" i="16"/>
  <c r="G554" i="16"/>
  <c r="F555" i="16"/>
  <c r="E555" i="16"/>
  <c r="D555" i="16"/>
  <c r="G555" i="16" l="1"/>
  <c r="H555" i="16" s="1"/>
  <c r="I555" i="16" s="1"/>
  <c r="K555" i="16" s="1"/>
  <c r="M555" i="16" s="1"/>
  <c r="H554" i="16"/>
  <c r="I554" i="16" s="1"/>
  <c r="K554" i="16" s="1"/>
  <c r="M554" i="16" s="1"/>
  <c r="B557" i="16"/>
  <c r="A558" i="16"/>
  <c r="L557" i="16"/>
  <c r="F556" i="16"/>
  <c r="E556" i="16"/>
  <c r="D556" i="16"/>
  <c r="N554" i="16" l="1"/>
  <c r="O554" i="16" s="1"/>
  <c r="P554" i="16" s="1"/>
  <c r="N555" i="16"/>
  <c r="O555" i="16" s="1"/>
  <c r="P555" i="16" s="1"/>
  <c r="G556" i="16"/>
  <c r="H556" i="16" s="1"/>
  <c r="I556" i="16" s="1"/>
  <c r="K556" i="16" s="1"/>
  <c r="M556" i="16" s="1"/>
  <c r="B558" i="16"/>
  <c r="A559" i="16"/>
  <c r="L558" i="16"/>
  <c r="E557" i="16"/>
  <c r="F557" i="16"/>
  <c r="D557" i="16"/>
  <c r="N556" i="16" l="1"/>
  <c r="O556" i="16" s="1"/>
  <c r="P556" i="16" s="1"/>
  <c r="B559" i="16"/>
  <c r="A560" i="16"/>
  <c r="L559" i="16"/>
  <c r="E558" i="16"/>
  <c r="F558" i="16"/>
  <c r="D558" i="16"/>
  <c r="G557" i="16"/>
  <c r="G558" i="16" l="1"/>
  <c r="H558" i="16" s="1"/>
  <c r="I558" i="16" s="1"/>
  <c r="K558" i="16" s="1"/>
  <c r="M558" i="16" s="1"/>
  <c r="H557" i="16"/>
  <c r="I557" i="16" s="1"/>
  <c r="K557" i="16" s="1"/>
  <c r="M557" i="16" s="1"/>
  <c r="B560" i="16"/>
  <c r="A561" i="16"/>
  <c r="L560" i="16"/>
  <c r="E559" i="16"/>
  <c r="F559" i="16"/>
  <c r="D559" i="16"/>
  <c r="N557" i="16" l="1"/>
  <c r="O557" i="16" s="1"/>
  <c r="P557" i="16" s="1"/>
  <c r="N558" i="16"/>
  <c r="O558" i="16" s="1"/>
  <c r="P558" i="16" s="1"/>
  <c r="G559" i="16"/>
  <c r="B561" i="16"/>
  <c r="A562" i="16"/>
  <c r="L561" i="16"/>
  <c r="F560" i="16"/>
  <c r="E560" i="16"/>
  <c r="D560" i="16"/>
  <c r="B562" i="16" l="1"/>
  <c r="A563" i="16"/>
  <c r="L562" i="16"/>
  <c r="F561" i="16"/>
  <c r="E561" i="16"/>
  <c r="D561" i="16"/>
  <c r="G560" i="16"/>
  <c r="H559" i="16"/>
  <c r="I559" i="16" s="1"/>
  <c r="K559" i="16" s="1"/>
  <c r="M559" i="16" s="1"/>
  <c r="N559" i="16" l="1"/>
  <c r="O559" i="16" s="1"/>
  <c r="P559" i="16" s="1"/>
  <c r="B563" i="16"/>
  <c r="A564" i="16"/>
  <c r="L563" i="16"/>
  <c r="H560" i="16"/>
  <c r="I560" i="16" s="1"/>
  <c r="K560" i="16" s="1"/>
  <c r="M560" i="16" s="1"/>
  <c r="G561" i="16"/>
  <c r="H561" i="16" s="1"/>
  <c r="I561" i="16" s="1"/>
  <c r="K561" i="16" s="1"/>
  <c r="M561" i="16" s="1"/>
  <c r="F562" i="16"/>
  <c r="E562" i="16"/>
  <c r="D562" i="16"/>
  <c r="N561" i="16" l="1"/>
  <c r="O561" i="16" s="1"/>
  <c r="P561" i="16" s="1"/>
  <c r="N560" i="16"/>
  <c r="O560" i="16" s="1"/>
  <c r="P560" i="16" s="1"/>
  <c r="G562" i="16"/>
  <c r="B564" i="16"/>
  <c r="A565" i="16"/>
  <c r="L564" i="16"/>
  <c r="F563" i="16"/>
  <c r="E563" i="16"/>
  <c r="D563" i="16"/>
  <c r="G563" i="16" l="1"/>
  <c r="H563" i="16" s="1"/>
  <c r="I563" i="16" s="1"/>
  <c r="K563" i="16" s="1"/>
  <c r="M563" i="16" s="1"/>
  <c r="B565" i="16"/>
  <c r="L565" i="16"/>
  <c r="A566" i="16"/>
  <c r="F564" i="16"/>
  <c r="E564" i="16"/>
  <c r="D564" i="16"/>
  <c r="H562" i="16"/>
  <c r="I562" i="16" s="1"/>
  <c r="K562" i="16" s="1"/>
  <c r="M562" i="16" s="1"/>
  <c r="N562" i="16" l="1"/>
  <c r="O562" i="16" s="1"/>
  <c r="P562" i="16" s="1"/>
  <c r="N563" i="16"/>
  <c r="O563" i="16" s="1"/>
  <c r="P563" i="16" s="1"/>
  <c r="B566" i="16"/>
  <c r="A567" i="16"/>
  <c r="L566" i="16"/>
  <c r="G564" i="16"/>
  <c r="E565" i="16"/>
  <c r="F565" i="16"/>
  <c r="D565" i="16"/>
  <c r="B567" i="16" l="1"/>
  <c r="A568" i="16"/>
  <c r="L567" i="16"/>
  <c r="H564" i="16"/>
  <c r="I564" i="16" s="1"/>
  <c r="K564" i="16" s="1"/>
  <c r="M564" i="16" s="1"/>
  <c r="G565" i="16"/>
  <c r="E566" i="16"/>
  <c r="F566" i="16"/>
  <c r="D566" i="16"/>
  <c r="N564" i="16" l="1"/>
  <c r="O564" i="16" s="1"/>
  <c r="P564" i="16" s="1"/>
  <c r="B568" i="16"/>
  <c r="A569" i="16"/>
  <c r="L568" i="16"/>
  <c r="G566" i="16"/>
  <c r="H566" i="16" s="1"/>
  <c r="I566" i="16" s="1"/>
  <c r="K566" i="16" s="1"/>
  <c r="M566" i="16" s="1"/>
  <c r="H565" i="16"/>
  <c r="I565" i="16" s="1"/>
  <c r="K565" i="16" s="1"/>
  <c r="M565" i="16" s="1"/>
  <c r="F567" i="16"/>
  <c r="E567" i="16"/>
  <c r="D567" i="16"/>
  <c r="N565" i="16" l="1"/>
  <c r="O565" i="16" s="1"/>
  <c r="P565" i="16" s="1"/>
  <c r="N566" i="16"/>
  <c r="O566" i="16" s="1"/>
  <c r="P566" i="16" s="1"/>
  <c r="G567" i="16"/>
  <c r="H567" i="16" s="1"/>
  <c r="I567" i="16" s="1"/>
  <c r="K567" i="16" s="1"/>
  <c r="M567" i="16" s="1"/>
  <c r="B569" i="16"/>
  <c r="A570" i="16"/>
  <c r="L569" i="16"/>
  <c r="F568" i="16"/>
  <c r="E568" i="16"/>
  <c r="D568" i="16"/>
  <c r="N567" i="16" l="1"/>
  <c r="O567" i="16" s="1"/>
  <c r="P567" i="16" s="1"/>
  <c r="B570" i="16"/>
  <c r="L570" i="16"/>
  <c r="A571" i="16"/>
  <c r="F569" i="16"/>
  <c r="E569" i="16"/>
  <c r="D569" i="16"/>
  <c r="G568" i="16"/>
  <c r="H568" i="16" s="1"/>
  <c r="I568" i="16" s="1"/>
  <c r="K568" i="16" s="1"/>
  <c r="M568" i="16" s="1"/>
  <c r="N568" i="16" l="1"/>
  <c r="O568" i="16" s="1"/>
  <c r="P568" i="16" s="1"/>
  <c r="B571" i="16"/>
  <c r="L571" i="16"/>
  <c r="A572" i="16"/>
  <c r="G569" i="16"/>
  <c r="E570" i="16"/>
  <c r="F570" i="16"/>
  <c r="D570" i="16"/>
  <c r="H569" i="16" l="1"/>
  <c r="I569" i="16" s="1"/>
  <c r="K569" i="16" s="1"/>
  <c r="M569" i="16" s="1"/>
  <c r="B572" i="16"/>
  <c r="A573" i="16"/>
  <c r="L572" i="16"/>
  <c r="G570" i="16"/>
  <c r="E571" i="16"/>
  <c r="F571" i="16"/>
  <c r="D571" i="16"/>
  <c r="N569" i="16" l="1"/>
  <c r="O569" i="16" s="1"/>
  <c r="P569" i="16" s="1"/>
  <c r="B573" i="16"/>
  <c r="L573" i="16"/>
  <c r="A574" i="16"/>
  <c r="F572" i="16"/>
  <c r="E572" i="16"/>
  <c r="D572" i="16"/>
  <c r="H570" i="16"/>
  <c r="I570" i="16" s="1"/>
  <c r="K570" i="16" s="1"/>
  <c r="M570" i="16" s="1"/>
  <c r="G571" i="16"/>
  <c r="N570" i="16" l="1"/>
  <c r="O570" i="16" s="1"/>
  <c r="P570" i="16" s="1"/>
  <c r="B574" i="16"/>
  <c r="A575" i="16"/>
  <c r="L574" i="16"/>
  <c r="H571" i="16"/>
  <c r="I571" i="16" s="1"/>
  <c r="K571" i="16" s="1"/>
  <c r="M571" i="16" s="1"/>
  <c r="G572" i="16"/>
  <c r="H572" i="16" s="1"/>
  <c r="I572" i="16" s="1"/>
  <c r="K572" i="16" s="1"/>
  <c r="M572" i="16" s="1"/>
  <c r="F573" i="16"/>
  <c r="E573" i="16"/>
  <c r="D573" i="16"/>
  <c r="N572" i="16" l="1"/>
  <c r="O572" i="16" s="1"/>
  <c r="P572" i="16" s="1"/>
  <c r="N571" i="16"/>
  <c r="O571" i="16" s="1"/>
  <c r="P571" i="16" s="1"/>
  <c r="G573" i="16"/>
  <c r="B575" i="16"/>
  <c r="L575" i="16"/>
  <c r="A576" i="16"/>
  <c r="E574" i="16"/>
  <c r="F574" i="16"/>
  <c r="D574" i="16"/>
  <c r="H573" i="16" l="1"/>
  <c r="I573" i="16" s="1"/>
  <c r="K573" i="16" s="1"/>
  <c r="M573" i="16" s="1"/>
  <c r="B576" i="16"/>
  <c r="A577" i="16"/>
  <c r="L576" i="16"/>
  <c r="G574" i="16"/>
  <c r="F575" i="16"/>
  <c r="E575" i="16"/>
  <c r="D575" i="16"/>
  <c r="N573" i="16" l="1"/>
  <c r="O573" i="16" s="1"/>
  <c r="P573" i="16" s="1"/>
  <c r="G575" i="16"/>
  <c r="H575" i="16" s="1"/>
  <c r="I575" i="16" s="1"/>
  <c r="K575" i="16" s="1"/>
  <c r="M575" i="16" s="1"/>
  <c r="B577" i="16"/>
  <c r="A578" i="16"/>
  <c r="L577" i="16"/>
  <c r="E576" i="16"/>
  <c r="F576" i="16"/>
  <c r="D576" i="16"/>
  <c r="H574" i="16"/>
  <c r="I574" i="16" s="1"/>
  <c r="K574" i="16" s="1"/>
  <c r="M574" i="16" s="1"/>
  <c r="N574" i="16" l="1"/>
  <c r="O574" i="16" s="1"/>
  <c r="P574" i="16" s="1"/>
  <c r="N575" i="16"/>
  <c r="O575" i="16" s="1"/>
  <c r="P575" i="16" s="1"/>
  <c r="G576" i="16"/>
  <c r="H576" i="16" s="1"/>
  <c r="I576" i="16" s="1"/>
  <c r="K576" i="16" s="1"/>
  <c r="M576" i="16" s="1"/>
  <c r="B578" i="16"/>
  <c r="L578" i="16"/>
  <c r="A579" i="16"/>
  <c r="F577" i="16"/>
  <c r="E577" i="16"/>
  <c r="D577" i="16"/>
  <c r="N576" i="16" l="1"/>
  <c r="O576" i="16" s="1"/>
  <c r="P576" i="16" s="1"/>
  <c r="G577" i="16"/>
  <c r="B579" i="16"/>
  <c r="A580" i="16"/>
  <c r="L579" i="16"/>
  <c r="F578" i="16"/>
  <c r="E578" i="16"/>
  <c r="D578" i="16"/>
  <c r="B580" i="16" l="1"/>
  <c r="A581" i="16"/>
  <c r="L580" i="16"/>
  <c r="G578" i="16"/>
  <c r="F579" i="16"/>
  <c r="E579" i="16"/>
  <c r="D579" i="16"/>
  <c r="H577" i="16"/>
  <c r="I577" i="16" s="1"/>
  <c r="K577" i="16" s="1"/>
  <c r="M577" i="16" s="1"/>
  <c r="N577" i="16" l="1"/>
  <c r="O577" i="16" s="1"/>
  <c r="P577" i="16" s="1"/>
  <c r="G579" i="16"/>
  <c r="H579" i="16" s="1"/>
  <c r="H578" i="16"/>
  <c r="I578" i="16" s="1"/>
  <c r="K578" i="16" s="1"/>
  <c r="M578" i="16" s="1"/>
  <c r="B581" i="16"/>
  <c r="L581" i="16"/>
  <c r="A582" i="16"/>
  <c r="F580" i="16"/>
  <c r="E580" i="16"/>
  <c r="D580" i="16"/>
  <c r="N578" i="16" l="1"/>
  <c r="O578" i="16" s="1"/>
  <c r="P578" i="16" s="1"/>
  <c r="I579" i="16"/>
  <c r="K579" i="16" s="1"/>
  <c r="M579" i="16" s="1"/>
  <c r="B582" i="16"/>
  <c r="A583" i="16"/>
  <c r="L582" i="16"/>
  <c r="G580" i="16"/>
  <c r="E581" i="16"/>
  <c r="F581" i="16"/>
  <c r="D581" i="16"/>
  <c r="N579" i="16" l="1"/>
  <c r="O579" i="16" s="1"/>
  <c r="P579" i="16" s="1"/>
  <c r="H580" i="16"/>
  <c r="I580" i="16" s="1"/>
  <c r="K580" i="16" s="1"/>
  <c r="M580" i="16" s="1"/>
  <c r="B583" i="16"/>
  <c r="A584" i="16"/>
  <c r="L583" i="16"/>
  <c r="G581" i="16"/>
  <c r="E582" i="16"/>
  <c r="F582" i="16"/>
  <c r="D582" i="16"/>
  <c r="N580" i="16" l="1"/>
  <c r="O580" i="16" s="1"/>
  <c r="P580" i="16" s="1"/>
  <c r="B584" i="16"/>
  <c r="L584" i="16"/>
  <c r="A585" i="16"/>
  <c r="F583" i="16"/>
  <c r="E583" i="16"/>
  <c r="D583" i="16"/>
  <c r="G582" i="16"/>
  <c r="H582" i="16" s="1"/>
  <c r="I582" i="16" s="1"/>
  <c r="K582" i="16" s="1"/>
  <c r="M582" i="16" s="1"/>
  <c r="H581" i="16"/>
  <c r="I581" i="16" s="1"/>
  <c r="K581" i="16" s="1"/>
  <c r="M581" i="16" s="1"/>
  <c r="N581" i="16" l="1"/>
  <c r="O581" i="16" s="1"/>
  <c r="P581" i="16" s="1"/>
  <c r="N582" i="16"/>
  <c r="O582" i="16" s="1"/>
  <c r="P582" i="16" s="1"/>
  <c r="B585" i="16"/>
  <c r="L585" i="16"/>
  <c r="A586" i="16"/>
  <c r="G583" i="16"/>
  <c r="F584" i="16"/>
  <c r="E584" i="16"/>
  <c r="D584" i="16"/>
  <c r="G584" i="16" l="1"/>
  <c r="H584" i="16" s="1"/>
  <c r="I584" i="16" s="1"/>
  <c r="K584" i="16" s="1"/>
  <c r="M584" i="16" s="1"/>
  <c r="H583" i="16"/>
  <c r="I583" i="16" s="1"/>
  <c r="K583" i="16" s="1"/>
  <c r="M583" i="16" s="1"/>
  <c r="B586" i="16"/>
  <c r="L586" i="16"/>
  <c r="A587" i="16"/>
  <c r="F585" i="16"/>
  <c r="E585" i="16"/>
  <c r="D585" i="16"/>
  <c r="N583" i="16" l="1"/>
  <c r="O583" i="16" s="1"/>
  <c r="P583" i="16" s="1"/>
  <c r="N584" i="16"/>
  <c r="O584" i="16" s="1"/>
  <c r="P584" i="16" s="1"/>
  <c r="B587" i="16"/>
  <c r="L587" i="16"/>
  <c r="A588" i="16"/>
  <c r="G585" i="16"/>
  <c r="E586" i="16"/>
  <c r="F586" i="16"/>
  <c r="D586" i="16"/>
  <c r="G586" i="16" l="1"/>
  <c r="H586" i="16" s="1"/>
  <c r="I586" i="16" s="1"/>
  <c r="K586" i="16" s="1"/>
  <c r="M586" i="16" s="1"/>
  <c r="B588" i="16"/>
  <c r="L588" i="16"/>
  <c r="A589" i="16"/>
  <c r="H585" i="16"/>
  <c r="I585" i="16" s="1"/>
  <c r="K585" i="16" s="1"/>
  <c r="M585" i="16" s="1"/>
  <c r="E587" i="16"/>
  <c r="F587" i="16"/>
  <c r="D587" i="16"/>
  <c r="N585" i="16" l="1"/>
  <c r="O585" i="16" s="1"/>
  <c r="P585" i="16" s="1"/>
  <c r="N586" i="16"/>
  <c r="O586" i="16" s="1"/>
  <c r="P586" i="16" s="1"/>
  <c r="G587" i="16"/>
  <c r="H587" i="16" s="1"/>
  <c r="I587" i="16" s="1"/>
  <c r="K587" i="16" s="1"/>
  <c r="M587" i="16" s="1"/>
  <c r="F588" i="16"/>
  <c r="E588" i="16"/>
  <c r="D588" i="16"/>
  <c r="B589" i="16"/>
  <c r="A590" i="16"/>
  <c r="L589" i="16"/>
  <c r="N587" i="16" l="1"/>
  <c r="O587" i="16" s="1"/>
  <c r="P587" i="16" s="1"/>
  <c r="B590" i="16"/>
  <c r="L590" i="16"/>
  <c r="A591" i="16"/>
  <c r="E589" i="16"/>
  <c r="F589" i="16"/>
  <c r="D589" i="16"/>
  <c r="G588" i="16"/>
  <c r="E590" i="16" l="1"/>
  <c r="F590" i="16"/>
  <c r="D590" i="16"/>
  <c r="G589" i="16"/>
  <c r="H588" i="16"/>
  <c r="I588" i="16" s="1"/>
  <c r="K588" i="16" s="1"/>
  <c r="M588" i="16" s="1"/>
  <c r="B591" i="16"/>
  <c r="L591" i="16"/>
  <c r="A592" i="16"/>
  <c r="N588" i="16" l="1"/>
  <c r="O588" i="16" s="1"/>
  <c r="P588" i="16" s="1"/>
  <c r="H589" i="16"/>
  <c r="I589" i="16" s="1"/>
  <c r="K589" i="16" s="1"/>
  <c r="M589" i="16" s="1"/>
  <c r="E591" i="16"/>
  <c r="F591" i="16"/>
  <c r="D591" i="16"/>
  <c r="B592" i="16"/>
  <c r="A593" i="16"/>
  <c r="L592" i="16"/>
  <c r="G590" i="16"/>
  <c r="N589" i="16" l="1"/>
  <c r="O589" i="16" s="1"/>
  <c r="P589" i="16" s="1"/>
  <c r="B593" i="16"/>
  <c r="A594" i="16"/>
  <c r="L593" i="16"/>
  <c r="G591" i="16"/>
  <c r="F592" i="16"/>
  <c r="E592" i="16"/>
  <c r="D592" i="16"/>
  <c r="H590" i="16"/>
  <c r="I590" i="16" s="1"/>
  <c r="K590" i="16" s="1"/>
  <c r="M590" i="16" s="1"/>
  <c r="N590" i="16" l="1"/>
  <c r="O590" i="16" s="1"/>
  <c r="P590" i="16" s="1"/>
  <c r="G592" i="16"/>
  <c r="H592" i="16" s="1"/>
  <c r="H591" i="16"/>
  <c r="I591" i="16" s="1"/>
  <c r="K591" i="16" s="1"/>
  <c r="M591" i="16" s="1"/>
  <c r="B594" i="16"/>
  <c r="A595" i="16"/>
  <c r="L594" i="16"/>
  <c r="F593" i="16"/>
  <c r="E593" i="16"/>
  <c r="D593" i="16"/>
  <c r="N591" i="16" l="1"/>
  <c r="O591" i="16" s="1"/>
  <c r="P591" i="16" s="1"/>
  <c r="G593" i="16"/>
  <c r="H593" i="16" s="1"/>
  <c r="I593" i="16" s="1"/>
  <c r="K593" i="16" s="1"/>
  <c r="M593" i="16" s="1"/>
  <c r="I592" i="16"/>
  <c r="K592" i="16" s="1"/>
  <c r="M592" i="16" s="1"/>
  <c r="B595" i="16"/>
  <c r="L595" i="16"/>
  <c r="A596" i="16"/>
  <c r="F594" i="16"/>
  <c r="E594" i="16"/>
  <c r="D594" i="16"/>
  <c r="N593" i="16" l="1"/>
  <c r="O593" i="16" s="1"/>
  <c r="P593" i="16" s="1"/>
  <c r="N592" i="16"/>
  <c r="O592" i="16" s="1"/>
  <c r="P592" i="16" s="1"/>
  <c r="B596" i="16"/>
  <c r="L596" i="16"/>
  <c r="A597" i="16"/>
  <c r="G594" i="16"/>
  <c r="F595" i="16"/>
  <c r="E595" i="16"/>
  <c r="D595" i="16"/>
  <c r="B597" i="16" l="1"/>
  <c r="A598" i="16"/>
  <c r="L597" i="16"/>
  <c r="G595" i="16"/>
  <c r="H594" i="16"/>
  <c r="I594" i="16" s="1"/>
  <c r="K594" i="16" s="1"/>
  <c r="M594" i="16" s="1"/>
  <c r="F596" i="16"/>
  <c r="E596" i="16"/>
  <c r="D596" i="16"/>
  <c r="N594" i="16" l="1"/>
  <c r="O594" i="16" s="1"/>
  <c r="P594" i="16" s="1"/>
  <c r="G596" i="16"/>
  <c r="H595" i="16"/>
  <c r="I595" i="16" s="1"/>
  <c r="K595" i="16" s="1"/>
  <c r="M595" i="16" s="1"/>
  <c r="B598" i="16"/>
  <c r="A599" i="16"/>
  <c r="L598" i="16"/>
  <c r="F597" i="16"/>
  <c r="E597" i="16"/>
  <c r="D597" i="16"/>
  <c r="N595" i="16" l="1"/>
  <c r="O595" i="16" s="1"/>
  <c r="P595" i="16" s="1"/>
  <c r="H596" i="16"/>
  <c r="I596" i="16" s="1"/>
  <c r="K596" i="16" s="1"/>
  <c r="M596" i="16" s="1"/>
  <c r="B599" i="16"/>
  <c r="L599" i="16"/>
  <c r="A600" i="16"/>
  <c r="E598" i="16"/>
  <c r="F598" i="16"/>
  <c r="D598" i="16"/>
  <c r="G597" i="16"/>
  <c r="N596" i="16" l="1"/>
  <c r="O596" i="16" s="1"/>
  <c r="P596" i="16" s="1"/>
  <c r="G598" i="16"/>
  <c r="H598" i="16" s="1"/>
  <c r="I598" i="16" s="1"/>
  <c r="K598" i="16" s="1"/>
  <c r="M598" i="16" s="1"/>
  <c r="H597" i="16"/>
  <c r="I597" i="16" s="1"/>
  <c r="K597" i="16" s="1"/>
  <c r="M597" i="16" s="1"/>
  <c r="B600" i="16"/>
  <c r="A601" i="16"/>
  <c r="L600" i="16"/>
  <c r="E599" i="16"/>
  <c r="F599" i="16"/>
  <c r="D599" i="16"/>
  <c r="N598" i="16" l="1"/>
  <c r="O598" i="16" s="1"/>
  <c r="P598" i="16" s="1"/>
  <c r="N597" i="16"/>
  <c r="O597" i="16" s="1"/>
  <c r="P597" i="16" s="1"/>
  <c r="B601" i="16"/>
  <c r="A602" i="16"/>
  <c r="L601" i="16"/>
  <c r="F600" i="16"/>
  <c r="E600" i="16"/>
  <c r="D600" i="16"/>
  <c r="G599" i="16"/>
  <c r="H599" i="16" l="1"/>
  <c r="I599" i="16" s="1"/>
  <c r="K599" i="16" s="1"/>
  <c r="M599" i="16" s="1"/>
  <c r="G600" i="16"/>
  <c r="B602" i="16"/>
  <c r="L602" i="16"/>
  <c r="A603" i="16"/>
  <c r="F601" i="16"/>
  <c r="E601" i="16"/>
  <c r="D601" i="16"/>
  <c r="N599" i="16" l="1"/>
  <c r="O599" i="16" s="1"/>
  <c r="P599" i="16" s="1"/>
  <c r="G601" i="16"/>
  <c r="H601" i="16" s="1"/>
  <c r="I601" i="16" s="1"/>
  <c r="K601" i="16" s="1"/>
  <c r="M601" i="16" s="1"/>
  <c r="E602" i="16"/>
  <c r="F602" i="16"/>
  <c r="D602" i="16"/>
  <c r="H600" i="16"/>
  <c r="I600" i="16" s="1"/>
  <c r="K600" i="16" s="1"/>
  <c r="M600" i="16" s="1"/>
  <c r="B603" i="16"/>
  <c r="L603" i="16"/>
  <c r="A604" i="16"/>
  <c r="N600" i="16" l="1"/>
  <c r="O600" i="16" s="1"/>
  <c r="P600" i="16" s="1"/>
  <c r="N601" i="16"/>
  <c r="O601" i="16" s="1"/>
  <c r="P601" i="16" s="1"/>
  <c r="F603" i="16"/>
  <c r="E603" i="16"/>
  <c r="D603" i="16"/>
  <c r="B604" i="16"/>
  <c r="A605" i="16"/>
  <c r="L604" i="16"/>
  <c r="G602" i="16"/>
  <c r="G603" i="16" l="1"/>
  <c r="H603" i="16" s="1"/>
  <c r="I603" i="16" s="1"/>
  <c r="K603" i="16" s="1"/>
  <c r="M603" i="16" s="1"/>
  <c r="F604" i="16"/>
  <c r="E604" i="16"/>
  <c r="D604" i="16"/>
  <c r="H602" i="16"/>
  <c r="I602" i="16" s="1"/>
  <c r="K602" i="16" s="1"/>
  <c r="M602" i="16" s="1"/>
  <c r="B605" i="16"/>
  <c r="A606" i="16"/>
  <c r="L605" i="16"/>
  <c r="N602" i="16" l="1"/>
  <c r="O602" i="16" s="1"/>
  <c r="P602" i="16" s="1"/>
  <c r="N603" i="16"/>
  <c r="O603" i="16" s="1"/>
  <c r="P603" i="16" s="1"/>
  <c r="G604" i="16"/>
  <c r="H604" i="16" s="1"/>
  <c r="I604" i="16" s="1"/>
  <c r="K604" i="16" s="1"/>
  <c r="M604" i="16" s="1"/>
  <c r="B606" i="16"/>
  <c r="A607" i="16"/>
  <c r="L606" i="16"/>
  <c r="F605" i="16"/>
  <c r="E605" i="16"/>
  <c r="D605" i="16"/>
  <c r="N604" i="16" l="1"/>
  <c r="O604" i="16" s="1"/>
  <c r="P604" i="16" s="1"/>
  <c r="B607" i="16"/>
  <c r="A608" i="16"/>
  <c r="L607" i="16"/>
  <c r="G605" i="16"/>
  <c r="E606" i="16"/>
  <c r="F606" i="16"/>
  <c r="D606" i="16"/>
  <c r="G606" i="16" l="1"/>
  <c r="H606" i="16" s="1"/>
  <c r="I606" i="16" s="1"/>
  <c r="K606" i="16" s="1"/>
  <c r="M606" i="16" s="1"/>
  <c r="H605" i="16"/>
  <c r="I605" i="16" s="1"/>
  <c r="K605" i="16" s="1"/>
  <c r="M605" i="16" s="1"/>
  <c r="B608" i="16"/>
  <c r="L608" i="16"/>
  <c r="A609" i="16"/>
  <c r="E607" i="16"/>
  <c r="F607" i="16"/>
  <c r="D607" i="16"/>
  <c r="N605" i="16" l="1"/>
  <c r="O605" i="16" s="1"/>
  <c r="P605" i="16" s="1"/>
  <c r="N606" i="16"/>
  <c r="O606" i="16" s="1"/>
  <c r="P606" i="16" s="1"/>
  <c r="E608" i="16"/>
  <c r="F608" i="16"/>
  <c r="D608" i="16"/>
  <c r="G607" i="16"/>
  <c r="H607" i="16" s="1"/>
  <c r="I607" i="16" s="1"/>
  <c r="K607" i="16" s="1"/>
  <c r="M607" i="16" s="1"/>
  <c r="B609" i="16"/>
  <c r="A610" i="16"/>
  <c r="L609" i="16"/>
  <c r="N607" i="16" l="1"/>
  <c r="O607" i="16" s="1"/>
  <c r="P607" i="16" s="1"/>
  <c r="B610" i="16"/>
  <c r="L610" i="16"/>
  <c r="A611" i="16"/>
  <c r="F609" i="16"/>
  <c r="E609" i="16"/>
  <c r="D609" i="16"/>
  <c r="G608" i="16"/>
  <c r="H608" i="16" l="1"/>
  <c r="I608" i="16" s="1"/>
  <c r="K608" i="16" s="1"/>
  <c r="M608" i="16" s="1"/>
  <c r="B611" i="16"/>
  <c r="L611" i="16"/>
  <c r="A612" i="16"/>
  <c r="G609" i="16"/>
  <c r="F610" i="16"/>
  <c r="E610" i="16"/>
  <c r="D610" i="16"/>
  <c r="N608" i="16" l="1"/>
  <c r="O608" i="16" s="1"/>
  <c r="P608" i="16" s="1"/>
  <c r="G610" i="16"/>
  <c r="H610" i="16" s="1"/>
  <c r="I610" i="16" s="1"/>
  <c r="K610" i="16" s="1"/>
  <c r="M610" i="16" s="1"/>
  <c r="F611" i="16"/>
  <c r="E611" i="16"/>
  <c r="D611" i="16"/>
  <c r="H609" i="16"/>
  <c r="I609" i="16" s="1"/>
  <c r="K609" i="16" s="1"/>
  <c r="M609" i="16" s="1"/>
  <c r="B612" i="16"/>
  <c r="L612" i="16"/>
  <c r="A613" i="16"/>
  <c r="N610" i="16" l="1"/>
  <c r="O610" i="16" s="1"/>
  <c r="P610" i="16" s="1"/>
  <c r="N609" i="16"/>
  <c r="O609" i="16" s="1"/>
  <c r="P609" i="16" s="1"/>
  <c r="B613" i="16"/>
  <c r="A614" i="16"/>
  <c r="L613" i="16"/>
  <c r="G611" i="16"/>
  <c r="H611" i="16" s="1"/>
  <c r="I611" i="16" s="1"/>
  <c r="K611" i="16" s="1"/>
  <c r="M611" i="16" s="1"/>
  <c r="F612" i="16"/>
  <c r="E612" i="16"/>
  <c r="D612" i="16"/>
  <c r="N611" i="16" l="1"/>
  <c r="O611" i="16" s="1"/>
  <c r="P611" i="16" s="1"/>
  <c r="G612" i="16"/>
  <c r="H612" i="16" s="1"/>
  <c r="I612" i="16" s="1"/>
  <c r="K612" i="16" s="1"/>
  <c r="M612" i="16" s="1"/>
  <c r="B614" i="16"/>
  <c r="L614" i="16"/>
  <c r="A615" i="16"/>
  <c r="F613" i="16"/>
  <c r="E613" i="16"/>
  <c r="D613" i="16"/>
  <c r="N612" i="16" l="1"/>
  <c r="O612" i="16" s="1"/>
  <c r="P612" i="16" s="1"/>
  <c r="G613" i="16"/>
  <c r="H613" i="16" s="1"/>
  <c r="I613" i="16" s="1"/>
  <c r="K613" i="16" s="1"/>
  <c r="M613" i="16" s="1"/>
  <c r="E614" i="16"/>
  <c r="F614" i="16"/>
  <c r="D614" i="16"/>
  <c r="B615" i="16"/>
  <c r="A616" i="16"/>
  <c r="L615" i="16"/>
  <c r="N613" i="16" l="1"/>
  <c r="O613" i="16" s="1"/>
  <c r="P613" i="16" s="1"/>
  <c r="B616" i="16"/>
  <c r="L616" i="16"/>
  <c r="A617" i="16"/>
  <c r="F615" i="16"/>
  <c r="E615" i="16"/>
  <c r="D615" i="16"/>
  <c r="G614" i="16"/>
  <c r="H614" i="16" l="1"/>
  <c r="I614" i="16" s="1"/>
  <c r="K614" i="16" s="1"/>
  <c r="M614" i="16" s="1"/>
  <c r="B617" i="16"/>
  <c r="L617" i="16"/>
  <c r="A618" i="16"/>
  <c r="G615" i="16"/>
  <c r="F616" i="16"/>
  <c r="E616" i="16"/>
  <c r="D616" i="16"/>
  <c r="N614" i="16" l="1"/>
  <c r="O614" i="16" s="1"/>
  <c r="P614" i="16" s="1"/>
  <c r="F617" i="16"/>
  <c r="E617" i="16"/>
  <c r="D617" i="16"/>
  <c r="H615" i="16"/>
  <c r="I615" i="16" s="1"/>
  <c r="K615" i="16" s="1"/>
  <c r="M615" i="16" s="1"/>
  <c r="G616" i="16"/>
  <c r="B618" i="16"/>
  <c r="A619" i="16"/>
  <c r="L618" i="16"/>
  <c r="N615" i="16" l="1"/>
  <c r="O615" i="16" s="1"/>
  <c r="P615" i="16" s="1"/>
  <c r="G617" i="16"/>
  <c r="H617" i="16" s="1"/>
  <c r="B619" i="16"/>
  <c r="A620" i="16"/>
  <c r="L619" i="16"/>
  <c r="E618" i="16"/>
  <c r="F618" i="16"/>
  <c r="D618" i="16"/>
  <c r="H616" i="16"/>
  <c r="I616" i="16" s="1"/>
  <c r="K616" i="16" s="1"/>
  <c r="M616" i="16" s="1"/>
  <c r="N616" i="16" l="1"/>
  <c r="O616" i="16" s="1"/>
  <c r="P616" i="16" s="1"/>
  <c r="I617" i="16"/>
  <c r="K617" i="16" s="1"/>
  <c r="M617" i="16" s="1"/>
  <c r="B620" i="16"/>
  <c r="L620" i="16"/>
  <c r="A621" i="16"/>
  <c r="G618" i="16"/>
  <c r="F619" i="16"/>
  <c r="E619" i="16"/>
  <c r="D619" i="16"/>
  <c r="N617" i="16" l="1"/>
  <c r="O617" i="16" s="1"/>
  <c r="P617" i="16" s="1"/>
  <c r="G619" i="16"/>
  <c r="H619" i="16" s="1"/>
  <c r="I619" i="16" s="1"/>
  <c r="K619" i="16" s="1"/>
  <c r="M619" i="16" s="1"/>
  <c r="H618" i="16"/>
  <c r="I618" i="16" s="1"/>
  <c r="K618" i="16" s="1"/>
  <c r="M618" i="16" s="1"/>
  <c r="B621" i="16"/>
  <c r="A622" i="16"/>
  <c r="L621" i="16"/>
  <c r="F620" i="16"/>
  <c r="E620" i="16"/>
  <c r="D620" i="16"/>
  <c r="N618" i="16" l="1"/>
  <c r="O618" i="16" s="1"/>
  <c r="P618" i="16" s="1"/>
  <c r="N619" i="16"/>
  <c r="O619" i="16" s="1"/>
  <c r="P619" i="16" s="1"/>
  <c r="B622" i="16"/>
  <c r="L622" i="16"/>
  <c r="A623" i="16"/>
  <c r="F621" i="16"/>
  <c r="E621" i="16"/>
  <c r="D621" i="16"/>
  <c r="G620" i="16"/>
  <c r="H620" i="16" l="1"/>
  <c r="I620" i="16" s="1"/>
  <c r="K620" i="16" s="1"/>
  <c r="M620" i="16" s="1"/>
  <c r="B623" i="16"/>
  <c r="A624" i="16"/>
  <c r="L623" i="16"/>
  <c r="G621" i="16"/>
  <c r="E622" i="16"/>
  <c r="F622" i="16"/>
  <c r="D622" i="16"/>
  <c r="N620" i="16" l="1"/>
  <c r="O620" i="16" s="1"/>
  <c r="P620" i="16" s="1"/>
  <c r="B624" i="16"/>
  <c r="L624" i="16"/>
  <c r="A625" i="16"/>
  <c r="E623" i="16"/>
  <c r="F623" i="16"/>
  <c r="D623" i="16"/>
  <c r="H621" i="16"/>
  <c r="I621" i="16" s="1"/>
  <c r="K621" i="16" s="1"/>
  <c r="M621" i="16" s="1"/>
  <c r="G622" i="16"/>
  <c r="N621" i="16" l="1"/>
  <c r="O621" i="16" s="1"/>
  <c r="P621" i="16" s="1"/>
  <c r="B625" i="16"/>
  <c r="L625" i="16"/>
  <c r="A626" i="16"/>
  <c r="G623" i="16"/>
  <c r="H622" i="16"/>
  <c r="I622" i="16" s="1"/>
  <c r="K622" i="16" s="1"/>
  <c r="M622" i="16" s="1"/>
  <c r="F624" i="16"/>
  <c r="E624" i="16"/>
  <c r="D624" i="16"/>
  <c r="N622" i="16" l="1"/>
  <c r="O622" i="16" s="1"/>
  <c r="P622" i="16" s="1"/>
  <c r="B626" i="16"/>
  <c r="L626" i="16"/>
  <c r="A627" i="16"/>
  <c r="G624" i="16"/>
  <c r="H623" i="16"/>
  <c r="I623" i="16" s="1"/>
  <c r="K623" i="16" s="1"/>
  <c r="M623" i="16" s="1"/>
  <c r="F625" i="16"/>
  <c r="E625" i="16"/>
  <c r="D625" i="16"/>
  <c r="N623" i="16" l="1"/>
  <c r="O623" i="16" s="1"/>
  <c r="P623" i="16" s="1"/>
  <c r="G625" i="16"/>
  <c r="H625" i="16" s="1"/>
  <c r="I625" i="16" s="1"/>
  <c r="K625" i="16" s="1"/>
  <c r="M625" i="16" s="1"/>
  <c r="H624" i="16"/>
  <c r="I624" i="16" s="1"/>
  <c r="K624" i="16" s="1"/>
  <c r="M624" i="16" s="1"/>
  <c r="B627" i="16"/>
  <c r="A628" i="16"/>
  <c r="L627" i="16"/>
  <c r="F626" i="16"/>
  <c r="E626" i="16"/>
  <c r="D626" i="16"/>
  <c r="N625" i="16" l="1"/>
  <c r="O625" i="16" s="1"/>
  <c r="P625" i="16" s="1"/>
  <c r="N624" i="16"/>
  <c r="O624" i="16" s="1"/>
  <c r="P624" i="16" s="1"/>
  <c r="B628" i="16"/>
  <c r="L628" i="16"/>
  <c r="A629" i="16"/>
  <c r="G626" i="16"/>
  <c r="F627" i="16"/>
  <c r="E627" i="16"/>
  <c r="D627" i="16"/>
  <c r="H626" i="16" l="1"/>
  <c r="I626" i="16" s="1"/>
  <c r="K626" i="16" s="1"/>
  <c r="M626" i="16" s="1"/>
  <c r="B629" i="16"/>
  <c r="L629" i="16"/>
  <c r="A630" i="16"/>
  <c r="G627" i="16"/>
  <c r="F628" i="16"/>
  <c r="E628" i="16"/>
  <c r="D628" i="16"/>
  <c r="N626" i="16" l="1"/>
  <c r="O626" i="16" s="1"/>
  <c r="P626" i="16" s="1"/>
  <c r="F629" i="16"/>
  <c r="E629" i="16"/>
  <c r="D629" i="16"/>
  <c r="H627" i="16"/>
  <c r="I627" i="16" s="1"/>
  <c r="K627" i="16" s="1"/>
  <c r="M627" i="16" s="1"/>
  <c r="G628" i="16"/>
  <c r="H628" i="16" s="1"/>
  <c r="I628" i="16" s="1"/>
  <c r="K628" i="16" s="1"/>
  <c r="M628" i="16" s="1"/>
  <c r="B630" i="16"/>
  <c r="A631" i="16"/>
  <c r="L630" i="16"/>
  <c r="N628" i="16" l="1"/>
  <c r="O628" i="16" s="1"/>
  <c r="P628" i="16" s="1"/>
  <c r="N627" i="16"/>
  <c r="O627" i="16" s="1"/>
  <c r="P627" i="16" s="1"/>
  <c r="G629" i="16"/>
  <c r="H629" i="16" s="1"/>
  <c r="I629" i="16" s="1"/>
  <c r="K629" i="16" s="1"/>
  <c r="M629" i="16" s="1"/>
  <c r="B631" i="16"/>
  <c r="A632" i="16"/>
  <c r="L631" i="16"/>
  <c r="F630" i="16"/>
  <c r="E630" i="16"/>
  <c r="D630" i="16"/>
  <c r="N629" i="16" l="1"/>
  <c r="O629" i="16" s="1"/>
  <c r="P629" i="16" s="1"/>
  <c r="G630" i="16"/>
  <c r="B632" i="16"/>
  <c r="L632" i="16"/>
  <c r="A633" i="16"/>
  <c r="E631" i="16"/>
  <c r="F631" i="16"/>
  <c r="D631" i="16"/>
  <c r="F632" i="16" l="1"/>
  <c r="E632" i="16"/>
  <c r="D632" i="16"/>
  <c r="B633" i="16"/>
  <c r="A634" i="16"/>
  <c r="L633" i="16"/>
  <c r="G631" i="16"/>
  <c r="H630" i="16"/>
  <c r="I630" i="16" s="1"/>
  <c r="K630" i="16" s="1"/>
  <c r="M630" i="16" s="1"/>
  <c r="N630" i="16" l="1"/>
  <c r="O630" i="16" s="1"/>
  <c r="P630" i="16" s="1"/>
  <c r="F633" i="16"/>
  <c r="E633" i="16"/>
  <c r="D633" i="16"/>
  <c r="H631" i="16"/>
  <c r="I631" i="16" s="1"/>
  <c r="K631" i="16" s="1"/>
  <c r="M631" i="16" s="1"/>
  <c r="G632" i="16"/>
  <c r="B634" i="16"/>
  <c r="A635" i="16"/>
  <c r="L634" i="16"/>
  <c r="N631" i="16" l="1"/>
  <c r="O631" i="16" s="1"/>
  <c r="P631" i="16" s="1"/>
  <c r="G633" i="16"/>
  <c r="H633" i="16" s="1"/>
  <c r="I633" i="16" s="1"/>
  <c r="K633" i="16" s="1"/>
  <c r="M633" i="16" s="1"/>
  <c r="B635" i="16"/>
  <c r="L635" i="16"/>
  <c r="A636" i="16"/>
  <c r="E634" i="16"/>
  <c r="F634" i="16"/>
  <c r="D634" i="16"/>
  <c r="H632" i="16"/>
  <c r="I632" i="16" s="1"/>
  <c r="K632" i="16" s="1"/>
  <c r="M632" i="16" s="1"/>
  <c r="N633" i="16" l="1"/>
  <c r="O633" i="16" s="1"/>
  <c r="P633" i="16" s="1"/>
  <c r="N632" i="16"/>
  <c r="O632" i="16" s="1"/>
  <c r="P632" i="16" s="1"/>
  <c r="G634" i="16"/>
  <c r="H634" i="16" s="1"/>
  <c r="B636" i="16"/>
  <c r="A637" i="16"/>
  <c r="L636" i="16"/>
  <c r="E635" i="16"/>
  <c r="F635" i="16"/>
  <c r="D635" i="16"/>
  <c r="I634" i="16" l="1"/>
  <c r="K634" i="16" s="1"/>
  <c r="M634" i="16" s="1"/>
  <c r="B637" i="16"/>
  <c r="A638" i="16"/>
  <c r="L637" i="16"/>
  <c r="F636" i="16"/>
  <c r="E636" i="16"/>
  <c r="D636" i="16"/>
  <c r="G635" i="16"/>
  <c r="N634" i="16" l="1"/>
  <c r="O634" i="16" s="1"/>
  <c r="P634" i="16" s="1"/>
  <c r="H635" i="16"/>
  <c r="I635" i="16" s="1"/>
  <c r="K635" i="16" s="1"/>
  <c r="M635" i="16" s="1"/>
  <c r="B638" i="16"/>
  <c r="A639" i="16"/>
  <c r="L638" i="16"/>
  <c r="G636" i="16"/>
  <c r="H636" i="16" s="1"/>
  <c r="I636" i="16" s="1"/>
  <c r="K636" i="16" s="1"/>
  <c r="M636" i="16" s="1"/>
  <c r="F637" i="16"/>
  <c r="E637" i="16"/>
  <c r="D637" i="16"/>
  <c r="N635" i="16" l="1"/>
  <c r="O635" i="16" s="1"/>
  <c r="P635" i="16" s="1"/>
  <c r="N636" i="16"/>
  <c r="O636" i="16" s="1"/>
  <c r="P636" i="16" s="1"/>
  <c r="B639" i="16"/>
  <c r="A640" i="16"/>
  <c r="L639" i="16"/>
  <c r="E638" i="16"/>
  <c r="F638" i="16"/>
  <c r="D638" i="16"/>
  <c r="G637" i="16"/>
  <c r="H637" i="16" s="1"/>
  <c r="I637" i="16" s="1"/>
  <c r="K637" i="16" s="1"/>
  <c r="M637" i="16" s="1"/>
  <c r="N637" i="16" l="1"/>
  <c r="O637" i="16" s="1"/>
  <c r="P637" i="16" s="1"/>
  <c r="B640" i="16"/>
  <c r="A641" i="16"/>
  <c r="L640" i="16"/>
  <c r="G638" i="16"/>
  <c r="F639" i="16"/>
  <c r="E639" i="16"/>
  <c r="D639" i="16"/>
  <c r="H638" i="16" l="1"/>
  <c r="I638" i="16" s="1"/>
  <c r="K638" i="16" s="1"/>
  <c r="M638" i="16" s="1"/>
  <c r="G639" i="16"/>
  <c r="B641" i="16"/>
  <c r="L641" i="16"/>
  <c r="E640" i="16"/>
  <c r="F640" i="16"/>
  <c r="D640" i="16"/>
  <c r="N638" i="16" l="1"/>
  <c r="O638" i="16" s="1"/>
  <c r="P638" i="16" s="1"/>
  <c r="F641" i="16"/>
  <c r="E641" i="16"/>
  <c r="D641" i="16"/>
  <c r="H639" i="16"/>
  <c r="I639" i="16" s="1"/>
  <c r="K639" i="16" s="1"/>
  <c r="M639" i="16" s="1"/>
  <c r="G640" i="16"/>
  <c r="N639" i="16" l="1"/>
  <c r="O639" i="16" s="1"/>
  <c r="P639" i="16" s="1"/>
  <c r="H640" i="16"/>
  <c r="I640" i="16" s="1"/>
  <c r="K640" i="16" s="1"/>
  <c r="M640" i="16" s="1"/>
  <c r="G641" i="16"/>
  <c r="N640" i="16" l="1"/>
  <c r="O640" i="16" s="1"/>
  <c r="P640" i="16" s="1"/>
  <c r="H641" i="16"/>
  <c r="I641" i="16" s="1"/>
  <c r="K641" i="16" s="1"/>
  <c r="M641" i="16" s="1"/>
  <c r="N641" i="16" l="1"/>
  <c r="O641" i="16" s="1"/>
  <c r="P641" i="16" s="1"/>
</calcChain>
</file>

<file path=xl/sharedStrings.xml><?xml version="1.0" encoding="utf-8"?>
<sst xmlns="http://schemas.openxmlformats.org/spreadsheetml/2006/main" count="305" uniqueCount="237">
  <si>
    <t>Nominal Input Voltage</t>
  </si>
  <si>
    <t>Output Voltage</t>
  </si>
  <si>
    <t>Output Current</t>
  </si>
  <si>
    <t>Switching Frequency (kHz)</t>
  </si>
  <si>
    <t>RFBT  (kΩ)</t>
  </si>
  <si>
    <t>RFBB   (kΩ)</t>
  </si>
  <si>
    <t>CVCC  (µF)</t>
  </si>
  <si>
    <t>CBOOT  (µF)</t>
  </si>
  <si>
    <t>CIN-HF  (µF)</t>
  </si>
  <si>
    <t>Actual Inductance used  (µH)</t>
  </si>
  <si>
    <t>CIN  (µF)</t>
  </si>
  <si>
    <t>UPDATE BASED ON CALCULATED INDUCTANCE</t>
  </si>
  <si>
    <t>Peak Inductor Current (A)</t>
  </si>
  <si>
    <t>Valley Inductor Current (A)</t>
  </si>
  <si>
    <t>Inductor Current Ripple (A)</t>
  </si>
  <si>
    <t>m</t>
  </si>
  <si>
    <t>Vr</t>
  </si>
  <si>
    <t>L</t>
  </si>
  <si>
    <t>Fx</t>
  </si>
  <si>
    <t>PM</t>
  </si>
  <si>
    <t>&lt;=3.3V</t>
  </si>
  <si>
    <t>&gt;=5V</t>
  </si>
  <si>
    <t>High side Ilimit</t>
  </si>
  <si>
    <t>Low side Ilimit</t>
  </si>
  <si>
    <t>peak</t>
  </si>
  <si>
    <t>delta I</t>
  </si>
  <si>
    <t>valley</t>
  </si>
  <si>
    <t>CoutAL</t>
  </si>
  <si>
    <t>ESR</t>
  </si>
  <si>
    <t>Gm</t>
  </si>
  <si>
    <t>mc</t>
  </si>
  <si>
    <t>A0</t>
  </si>
  <si>
    <t>T0</t>
  </si>
  <si>
    <t>Tz</t>
  </si>
  <si>
    <t>T2</t>
  </si>
  <si>
    <t>A2</t>
  </si>
  <si>
    <t>B2</t>
  </si>
  <si>
    <t>Tpara</t>
  </si>
  <si>
    <t>Tffz</t>
  </si>
  <si>
    <t>external CFF zero</t>
  </si>
  <si>
    <t>***************************************************************</t>
  </si>
  <si>
    <t>alpha</t>
  </si>
  <si>
    <t>D</t>
  </si>
  <si>
    <t>D'</t>
  </si>
  <si>
    <t>m2</t>
  </si>
  <si>
    <t>ro</t>
  </si>
  <si>
    <t>RL</t>
  </si>
  <si>
    <t>R</t>
  </si>
  <si>
    <t>To</t>
  </si>
  <si>
    <t>Cs</t>
  </si>
  <si>
    <t>A</t>
  </si>
  <si>
    <t>B</t>
  </si>
  <si>
    <t>C</t>
  </si>
  <si>
    <t>********************************************************************</t>
  </si>
  <si>
    <t>Crossover frequency</t>
  </si>
  <si>
    <t>Px</t>
  </si>
  <si>
    <t>Phase at crossover</t>
  </si>
  <si>
    <t>Phase Margin</t>
  </si>
  <si>
    <t>Frequency</t>
  </si>
  <si>
    <t>Radians</t>
  </si>
  <si>
    <t>real3</t>
  </si>
  <si>
    <t>imag3</t>
  </si>
  <si>
    <t>3rd</t>
  </si>
  <si>
    <t>Magnitude</t>
  </si>
  <si>
    <t>phase 3rd</t>
  </si>
  <si>
    <t>phase Tz</t>
  </si>
  <si>
    <t>phase Tffz</t>
  </si>
  <si>
    <t>phaseT0</t>
  </si>
  <si>
    <t>phasepT2</t>
  </si>
  <si>
    <t>phasepTpara</t>
  </si>
  <si>
    <t>Phase</t>
  </si>
  <si>
    <t>Intermediate calcs</t>
  </si>
  <si>
    <t>*********************************************************************</t>
  </si>
  <si>
    <t>F1</t>
  </si>
  <si>
    <t>F2</t>
  </si>
  <si>
    <t>T1</t>
  </si>
  <si>
    <t>P1</t>
  </si>
  <si>
    <t>P2</t>
  </si>
  <si>
    <t>mp</t>
  </si>
  <si>
    <t>ADJ</t>
  </si>
  <si>
    <t>*******************************************************************</t>
  </si>
  <si>
    <t>Fsw</t>
  </si>
  <si>
    <t>CoutCerm</t>
  </si>
  <si>
    <t>RFBT</t>
  </si>
  <si>
    <t>RFBB</t>
  </si>
  <si>
    <t>Power stage Gm</t>
  </si>
  <si>
    <t>Corrective ramp slope at inductor</t>
  </si>
  <si>
    <t>Error amp DC gain</t>
  </si>
  <si>
    <t>Type II comp dominant pole</t>
  </si>
  <si>
    <t>Type II comp dominant zero</t>
  </si>
  <si>
    <t>C2</t>
  </si>
  <si>
    <t>Error amp parasitic network pole</t>
  </si>
  <si>
    <t>FB divider pole parameter</t>
  </si>
  <si>
    <t>Cout_total</t>
  </si>
  <si>
    <t>****************************************************************</t>
  </si>
  <si>
    <t>Zero from Al ESR</t>
  </si>
  <si>
    <t>Pole from cerm Co and Al ESR</t>
  </si>
  <si>
    <t>T_CFFe</t>
  </si>
  <si>
    <t>real3_FB</t>
  </si>
  <si>
    <t>imag3_FB</t>
  </si>
  <si>
    <t>3rd_FB</t>
  </si>
  <si>
    <t>Tesrzero</t>
  </si>
  <si>
    <t>Tesrpole</t>
  </si>
  <si>
    <t>phaseESRzero</t>
  </si>
  <si>
    <t>phaseESRpole</t>
  </si>
  <si>
    <t>TESR</t>
  </si>
  <si>
    <t>TCESR</t>
  </si>
  <si>
    <t>UPDATE BASED ON CALCULATED CAPACITANCE</t>
  </si>
  <si>
    <t>Calculated Minimum Inductance  (µH)</t>
  </si>
  <si>
    <t>Calculated Output Capacitance  (µF)</t>
  </si>
  <si>
    <t>Calculated Minimum Output Capacitance  (µF)</t>
  </si>
  <si>
    <t>Actual Output Capacitance used  (µF)</t>
  </si>
  <si>
    <t>calc CFFe</t>
  </si>
  <si>
    <t>CFFe</t>
  </si>
  <si>
    <t>Calculated Feed-forward Capacitance  (pF)</t>
  </si>
  <si>
    <t>Al. Electrolytic Output Capacitance (if used)  (µF)</t>
  </si>
  <si>
    <t>Loop Gain Crossover Frequency (kHz)</t>
  </si>
  <si>
    <t>Loop Gain Phase Margin  (°)</t>
  </si>
  <si>
    <t>Actual Feed-forward capacitance (if used)  (pF)</t>
  </si>
  <si>
    <t>Current rating</t>
  </si>
  <si>
    <t>Device Number</t>
  </si>
  <si>
    <t>R1</t>
  </si>
  <si>
    <t>R2</t>
  </si>
  <si>
    <t>******************************************************************</t>
  </si>
  <si>
    <t>Rated Current Fudge</t>
  </si>
  <si>
    <t>Leave at 1.0</t>
  </si>
  <si>
    <t>DONT TOUCH</t>
  </si>
  <si>
    <t>Enter @ right</t>
  </si>
  <si>
    <t>Vatche'</t>
  </si>
  <si>
    <t>See notes for details of this calculation tab</t>
  </si>
  <si>
    <t>Input Specifications</t>
  </si>
  <si>
    <t>Inductor Calculations</t>
  </si>
  <si>
    <t>Output Capacitor Calculations</t>
  </si>
  <si>
    <t>Feed-forward Capacitor Calculations</t>
  </si>
  <si>
    <t>Feed-back Divider Resistors</t>
  </si>
  <si>
    <t>Auxiliary Components and Connections</t>
  </si>
  <si>
    <t>Current Limit Calculations</t>
  </si>
  <si>
    <t xml:space="preserve">Calculated Inductance  (µH)  </t>
  </si>
  <si>
    <t>Vin min</t>
  </si>
  <si>
    <t>Vin max op</t>
  </si>
  <si>
    <t>Ton min</t>
  </si>
  <si>
    <t>Toff min</t>
  </si>
  <si>
    <t>Ton max</t>
  </si>
  <si>
    <t>Dmin</t>
  </si>
  <si>
    <t>Dmax freq</t>
  </si>
  <si>
    <t>Dmax drop</t>
  </si>
  <si>
    <t>Vin max</t>
  </si>
  <si>
    <t>RHS</t>
  </si>
  <si>
    <t>RLS</t>
  </si>
  <si>
    <t>Vin min freq</t>
  </si>
  <si>
    <t>Vin min drop</t>
  </si>
  <si>
    <t>Input Voltage Range</t>
  </si>
  <si>
    <t>Inductor DC Resistance  (mΩ)</t>
  </si>
  <si>
    <t>Maximum Input for Full Frequency (V)</t>
  </si>
  <si>
    <t>Minimum Input for Full Frequency (V)</t>
  </si>
  <si>
    <t>Minimum Input for Regulation (V)</t>
  </si>
  <si>
    <t>Al. Electrolytic ESR (if used)  (mΩ)</t>
  </si>
  <si>
    <t>Estimated Loop Performance</t>
  </si>
  <si>
    <t>Input Cells</t>
  </si>
  <si>
    <t>Results</t>
  </si>
  <si>
    <t>ADJ 1Vout</t>
  </si>
  <si>
    <t>Inductor Current Ripple Factor</t>
  </si>
  <si>
    <t>This is the maximum input voltage before the switching frequency will drop because of minimum on-time restrictions.</t>
  </si>
  <si>
    <t>This is the minimum input voltage before the switching frequency will drop because of minimum off-time restrictions</t>
  </si>
  <si>
    <t>This is the minimum input voltage before the output voltage falls out of regulation. (drop-out)</t>
  </si>
  <si>
    <t>Inductance calc</t>
  </si>
  <si>
    <t>Min inductance</t>
  </si>
  <si>
    <t>Suggested inductance</t>
  </si>
  <si>
    <t>adj</t>
  </si>
  <si>
    <t>LMR33630</t>
  </si>
  <si>
    <t>LMR33620</t>
  </si>
  <si>
    <t>LMR33640</t>
  </si>
  <si>
    <t>Package</t>
  </si>
  <si>
    <t>DDA</t>
  </si>
  <si>
    <t>C1</t>
  </si>
  <si>
    <t>RP</t>
  </si>
  <si>
    <t>C1||C2</t>
  </si>
  <si>
    <t>Rpara</t>
  </si>
  <si>
    <t>Cpara</t>
  </si>
  <si>
    <t>Not used</t>
  </si>
  <si>
    <t>Tz2</t>
  </si>
  <si>
    <t>phase Tz2</t>
  </si>
  <si>
    <t>*********************   reef *******************************</t>
  </si>
  <si>
    <t>phase 3rd FB</t>
  </si>
  <si>
    <t>gm</t>
  </si>
  <si>
    <t>Reo</t>
  </si>
  <si>
    <t>RC</t>
  </si>
  <si>
    <t>CC</t>
  </si>
  <si>
    <t>Ae</t>
  </si>
  <si>
    <t>Chf</t>
  </si>
  <si>
    <t>Be</t>
  </si>
  <si>
    <t>Approx dominant pole</t>
  </si>
  <si>
    <t>Approx HF pole</t>
  </si>
  <si>
    <t>Power stage</t>
  </si>
  <si>
    <t>Mag</t>
  </si>
  <si>
    <t>FB Div</t>
  </si>
  <si>
    <t>Eamp+para</t>
  </si>
  <si>
    <t>THF</t>
  </si>
  <si>
    <t>Cr</t>
  </si>
  <si>
    <t>Cout:&gt;5V</t>
  </si>
  <si>
    <t>Cout:&lt;3.3V</t>
  </si>
  <si>
    <t>COUT</t>
  </si>
  <si>
    <t>cout_min</t>
  </si>
  <si>
    <t>COUT_MIN</t>
  </si>
  <si>
    <r>
      <rPr>
        <i/>
        <sz val="12"/>
        <color theme="1"/>
        <rFont val="Calibri"/>
        <family val="2"/>
      </rPr>
      <t>µ</t>
    </r>
    <r>
      <rPr>
        <i/>
        <sz val="12"/>
        <color theme="1"/>
        <rFont val="Times New Roman"/>
        <family val="2"/>
      </rPr>
      <t>F</t>
    </r>
  </si>
  <si>
    <t>Values in table are based on data sheet and assumed de-rate with lots of guessing</t>
  </si>
  <si>
    <t>Delta I'</t>
  </si>
  <si>
    <t>K6</t>
  </si>
  <si>
    <t>I1</t>
  </si>
  <si>
    <t>I2</t>
  </si>
  <si>
    <t>I3</t>
  </si>
  <si>
    <t>modeX</t>
  </si>
  <si>
    <t>Flag mode</t>
  </si>
  <si>
    <t>Iout</t>
  </si>
  <si>
    <t>Rload</t>
  </si>
  <si>
    <t>a</t>
  </si>
  <si>
    <t>b</t>
  </si>
  <si>
    <t>c</t>
  </si>
  <si>
    <t>vo3</t>
  </si>
  <si>
    <t>di3</t>
  </si>
  <si>
    <t>i3v</t>
  </si>
  <si>
    <t>MODE</t>
  </si>
  <si>
    <t>Iout'</t>
  </si>
  <si>
    <t>Vout'</t>
  </si>
  <si>
    <t>FSW</t>
  </si>
  <si>
    <t>Inductor Current Calculations</t>
  </si>
  <si>
    <t>Fold-back Current Limit (A)</t>
  </si>
  <si>
    <t>This is the maximum output current before the switching frequency will drop.</t>
  </si>
  <si>
    <t>Current Limit (A)</t>
  </si>
  <si>
    <t>This is the maximum output current before the output voltage falls out of regulation</t>
  </si>
  <si>
    <t>Maximum Output Current (A)</t>
  </si>
  <si>
    <t>Maximum output current in current limit</t>
  </si>
  <si>
    <t>Revision</t>
  </si>
  <si>
    <t>Date</t>
  </si>
  <si>
    <t>Comments</t>
  </si>
  <si>
    <t>Initial release</t>
  </si>
  <si>
    <t>June, 17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</si>
</sst>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00"/>
    <numFmt numFmtId="166" formatCode="0.0000E+00"/>
    <numFmt numFmtId="167" formatCode="0.00000E+00"/>
    <numFmt numFmtId="168" formatCode="#,##0.0"/>
    <numFmt numFmtId="169" formatCode="0.000E+00"/>
    <numFmt numFmtId="170" formatCode="#,##0.0000"/>
    <numFmt numFmtId="171" formatCode="#,##0.000"/>
    <numFmt numFmtId="172" formatCode="0.0000"/>
  </numFmts>
  <fonts count="33"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theme="1"/>
      <name val="Times New Roman"/>
      <family val="2"/>
    </font>
    <font>
      <b/>
      <sz val="12"/>
      <color rgb="FFFF0000"/>
      <name val="Times New Roman"/>
      <family val="1"/>
    </font>
    <font>
      <i/>
      <sz val="12"/>
      <color theme="1"/>
      <name val="Times New Roman"/>
      <family val="1"/>
    </font>
    <font>
      <b/>
      <sz val="11"/>
      <color theme="1"/>
      <name val="Calibri"/>
      <family val="2"/>
      <scheme val="minor"/>
    </font>
    <font>
      <i/>
      <sz val="11"/>
      <color theme="1"/>
      <name val="Calibri"/>
      <family val="2"/>
      <scheme val="minor"/>
    </font>
    <font>
      <b/>
      <sz val="12"/>
      <color theme="1"/>
      <name val="Calibri"/>
      <family val="2"/>
      <scheme val="minor"/>
    </font>
    <font>
      <b/>
      <sz val="14"/>
      <color rgb="FF0070C0"/>
      <name val="Arial"/>
      <family val="2"/>
    </font>
    <font>
      <sz val="12"/>
      <color theme="1"/>
      <name val="Arial"/>
      <family val="2"/>
    </font>
    <font>
      <b/>
      <sz val="12"/>
      <color theme="1"/>
      <name val="Arial"/>
      <family val="2"/>
    </font>
    <font>
      <i/>
      <sz val="12"/>
      <color theme="1"/>
      <name val="Arial"/>
      <family val="2"/>
    </font>
    <font>
      <sz val="12"/>
      <name val="Cambria"/>
      <family val="1"/>
    </font>
    <font>
      <sz val="11"/>
      <name val="Calibri"/>
      <family val="2"/>
      <scheme val="minor"/>
    </font>
    <font>
      <b/>
      <sz val="12"/>
      <color rgb="FFFF0000"/>
      <name val="Arial"/>
      <family val="2"/>
    </font>
    <font>
      <i/>
      <sz val="12"/>
      <color theme="1"/>
      <name val="Times New Roman"/>
      <family val="2"/>
    </font>
    <font>
      <i/>
      <sz val="12"/>
      <color theme="1"/>
      <name val="Calibri"/>
      <family val="2"/>
    </font>
    <font>
      <sz val="12"/>
      <name val="Times New Roman"/>
      <family val="2"/>
    </font>
    <font>
      <sz val="18"/>
      <color theme="1"/>
      <name val="Times New Roman"/>
      <family val="2"/>
    </font>
    <font>
      <sz val="16"/>
      <color theme="1"/>
      <name val="Times New Roman"/>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14996795556505021"/>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5" fillId="0" borderId="0"/>
    <xf numFmtId="0" fontId="12" fillId="0" borderId="0"/>
    <xf numFmtId="0" fontId="11" fillId="0" borderId="0"/>
    <xf numFmtId="0" fontId="5" fillId="0" borderId="0"/>
    <xf numFmtId="0" fontId="5" fillId="0" borderId="0"/>
    <xf numFmtId="0" fontId="3" fillId="0" borderId="0"/>
    <xf numFmtId="0" fontId="2" fillId="0" borderId="0"/>
  </cellStyleXfs>
  <cellXfs count="171">
    <xf numFmtId="0" fontId="0" fillId="0" borderId="0" xfId="0"/>
    <xf numFmtId="0" fontId="0" fillId="0" borderId="0" xfId="0" applyAlignment="1">
      <alignment vertical="center"/>
    </xf>
    <xf numFmtId="166" fontId="0" fillId="0" borderId="0" xfId="0" applyNumberFormat="1" applyAlignment="1">
      <alignment vertical="center"/>
    </xf>
    <xf numFmtId="11" fontId="0" fillId="0" borderId="0" xfId="0" applyNumberFormat="1" applyAlignment="1">
      <alignment vertical="center"/>
    </xf>
    <xf numFmtId="167" fontId="0" fillId="0" borderId="0" xfId="0" applyNumberFormat="1" applyAlignment="1">
      <alignment vertical="center"/>
    </xf>
    <xf numFmtId="0" fontId="15" fillId="0" borderId="0" xfId="1"/>
    <xf numFmtId="0" fontId="16" fillId="0" borderId="0" xfId="1" applyFont="1"/>
    <xf numFmtId="0" fontId="14" fillId="0" borderId="0" xfId="1" applyFont="1"/>
    <xf numFmtId="0" fontId="11" fillId="0" borderId="0" xfId="3"/>
    <xf numFmtId="11" fontId="11" fillId="0" borderId="0" xfId="3" applyNumberFormat="1"/>
    <xf numFmtId="0" fontId="19" fillId="0" borderId="0" xfId="3" applyFont="1"/>
    <xf numFmtId="166" fontId="11" fillId="0" borderId="0" xfId="3" applyNumberFormat="1"/>
    <xf numFmtId="164" fontId="11" fillId="0" borderId="0" xfId="3" applyNumberFormat="1"/>
    <xf numFmtId="0" fontId="11" fillId="0" borderId="1" xfId="3" applyBorder="1"/>
    <xf numFmtId="11" fontId="11" fillId="4" borderId="1" xfId="3" applyNumberFormat="1" applyFill="1" applyBorder="1"/>
    <xf numFmtId="11" fontId="11" fillId="0" borderId="1" xfId="3" applyNumberFormat="1" applyBorder="1"/>
    <xf numFmtId="0" fontId="11" fillId="0" borderId="1" xfId="3" applyFill="1" applyBorder="1"/>
    <xf numFmtId="0" fontId="11" fillId="0" borderId="0" xfId="3" applyFill="1" applyBorder="1"/>
    <xf numFmtId="0" fontId="11" fillId="2" borderId="1" xfId="3" applyFill="1" applyBorder="1"/>
    <xf numFmtId="164" fontId="11" fillId="2" borderId="1" xfId="3" applyNumberFormat="1" applyFill="1" applyBorder="1"/>
    <xf numFmtId="0" fontId="18" fillId="0" borderId="0" xfId="3" applyFont="1"/>
    <xf numFmtId="0" fontId="20" fillId="3" borderId="1" xfId="3" applyFont="1" applyFill="1" applyBorder="1"/>
    <xf numFmtId="168" fontId="11" fillId="0" borderId="0" xfId="3" applyNumberFormat="1"/>
    <xf numFmtId="2" fontId="11" fillId="0" borderId="0" xfId="3" applyNumberFormat="1"/>
    <xf numFmtId="166" fontId="15" fillId="2" borderId="1" xfId="1" applyNumberFormat="1" applyFill="1" applyBorder="1"/>
    <xf numFmtId="11" fontId="15" fillId="0" borderId="0" xfId="1" applyNumberFormat="1"/>
    <xf numFmtId="166" fontId="15" fillId="0" borderId="0" xfId="1" applyNumberFormat="1"/>
    <xf numFmtId="168" fontId="15" fillId="0" borderId="0" xfId="1" applyNumberFormat="1"/>
    <xf numFmtId="0" fontId="10" fillId="0" borderId="0" xfId="3" applyFont="1"/>
    <xf numFmtId="0" fontId="9" fillId="0" borderId="0" xfId="3" applyFont="1"/>
    <xf numFmtId="0" fontId="0" fillId="0" borderId="0" xfId="1" applyFont="1"/>
    <xf numFmtId="166" fontId="15" fillId="6" borderId="1" xfId="1" applyNumberFormat="1" applyFill="1" applyBorder="1"/>
    <xf numFmtId="0" fontId="9" fillId="0" borderId="1" xfId="3" applyFont="1" applyFill="1" applyBorder="1"/>
    <xf numFmtId="0" fontId="8" fillId="0" borderId="0" xfId="3" applyFont="1"/>
    <xf numFmtId="0" fontId="7" fillId="0" borderId="0" xfId="3" applyFont="1"/>
    <xf numFmtId="0" fontId="6" fillId="0" borderId="0" xfId="3" applyFont="1"/>
    <xf numFmtId="0" fontId="7" fillId="0" borderId="1" xfId="3" applyFont="1" applyBorder="1"/>
    <xf numFmtId="0" fontId="4" fillId="0" borderId="0" xfId="3" applyFont="1"/>
    <xf numFmtId="14" fontId="18" fillId="0" borderId="0" xfId="3" applyNumberFormat="1" applyFont="1"/>
    <xf numFmtId="0" fontId="0" fillId="3" borderId="1" xfId="0" applyFill="1" applyBorder="1"/>
    <xf numFmtId="0" fontId="0" fillId="0" borderId="3" xfId="0" applyBorder="1"/>
    <xf numFmtId="0" fontId="0" fillId="0" borderId="5" xfId="0" applyBorder="1"/>
    <xf numFmtId="0" fontId="0" fillId="0" borderId="7" xfId="0" applyBorder="1"/>
    <xf numFmtId="169" fontId="11" fillId="3" borderId="1" xfId="3" applyNumberFormat="1" applyFill="1" applyBorder="1"/>
    <xf numFmtId="11" fontId="11" fillId="2" borderId="1" xfId="3" applyNumberFormat="1" applyFill="1" applyBorder="1"/>
    <xf numFmtId="14" fontId="14" fillId="0" borderId="0" xfId="0" applyNumberFormat="1" applyFont="1" applyAlignment="1">
      <alignment vertical="center"/>
    </xf>
    <xf numFmtId="0" fontId="21" fillId="0" borderId="0" xfId="0" applyFont="1" applyAlignment="1">
      <alignment vertical="center"/>
    </xf>
    <xf numFmtId="0" fontId="22" fillId="0" borderId="0" xfId="0" applyFont="1" applyAlignment="1">
      <alignment vertical="center"/>
    </xf>
    <xf numFmtId="0" fontId="22" fillId="0" borderId="12" xfId="0" applyFont="1" applyBorder="1"/>
    <xf numFmtId="0" fontId="22" fillId="0" borderId="0" xfId="0" applyFont="1"/>
    <xf numFmtId="0" fontId="22" fillId="0" borderId="12" xfId="0" applyFont="1" applyBorder="1" applyAlignment="1">
      <alignment vertical="center"/>
    </xf>
    <xf numFmtId="2" fontId="22" fillId="3" borderId="16" xfId="0" applyNumberFormat="1" applyFont="1" applyFill="1" applyBorder="1" applyAlignment="1">
      <alignment vertical="center"/>
    </xf>
    <xf numFmtId="0" fontId="22" fillId="0" borderId="17" xfId="0" applyFont="1" applyBorder="1" applyAlignment="1">
      <alignment vertical="center"/>
    </xf>
    <xf numFmtId="2" fontId="22" fillId="3" borderId="2" xfId="0" applyNumberFormat="1" applyFont="1" applyFill="1" applyBorder="1" applyAlignment="1">
      <alignment vertical="center"/>
    </xf>
    <xf numFmtId="0" fontId="23" fillId="4" borderId="15" xfId="0" applyFont="1" applyFill="1" applyBorder="1" applyAlignment="1">
      <alignment vertical="center"/>
    </xf>
    <xf numFmtId="2" fontId="22" fillId="0" borderId="0" xfId="0" applyNumberFormat="1" applyFont="1" applyAlignment="1">
      <alignment vertical="center"/>
    </xf>
    <xf numFmtId="164" fontId="22" fillId="3" borderId="16" xfId="0" applyNumberFormat="1" applyFont="1" applyFill="1" applyBorder="1" applyAlignment="1">
      <alignment vertical="center"/>
    </xf>
    <xf numFmtId="0" fontId="22" fillId="0" borderId="0" xfId="0" applyFont="1" applyBorder="1"/>
    <xf numFmtId="0" fontId="22" fillId="0" borderId="20" xfId="0" applyFont="1" applyBorder="1" applyAlignment="1">
      <alignment vertical="center"/>
    </xf>
    <xf numFmtId="0" fontId="22" fillId="0" borderId="0" xfId="0" applyFont="1" applyBorder="1" applyAlignment="1">
      <alignment vertical="center"/>
    </xf>
    <xf numFmtId="164" fontId="22" fillId="6" borderId="16" xfId="0" applyNumberFormat="1" applyFont="1" applyFill="1" applyBorder="1"/>
    <xf numFmtId="0" fontId="22" fillId="0" borderId="17" xfId="0" applyFont="1" applyBorder="1"/>
    <xf numFmtId="0" fontId="22" fillId="3" borderId="16" xfId="0" applyFont="1" applyFill="1" applyBorder="1" applyAlignment="1">
      <alignment vertical="center"/>
    </xf>
    <xf numFmtId="164" fontId="22" fillId="3" borderId="19" xfId="0" applyNumberFormat="1" applyFont="1" applyFill="1" applyBorder="1" applyAlignment="1">
      <alignment vertical="center"/>
    </xf>
    <xf numFmtId="0" fontId="22" fillId="3" borderId="13" xfId="0" applyFont="1" applyFill="1" applyBorder="1" applyAlignment="1">
      <alignment vertical="center"/>
    </xf>
    <xf numFmtId="0" fontId="22" fillId="3" borderId="15" xfId="0" applyFont="1" applyFill="1" applyBorder="1" applyAlignment="1">
      <alignment vertical="center"/>
    </xf>
    <xf numFmtId="2" fontId="22" fillId="3" borderId="1" xfId="0" applyNumberFormat="1" applyFont="1" applyFill="1" applyBorder="1" applyAlignment="1">
      <alignment vertical="center"/>
    </xf>
    <xf numFmtId="165" fontId="22" fillId="3" borderId="19" xfId="0" applyNumberFormat="1" applyFont="1" applyFill="1" applyBorder="1" applyAlignment="1">
      <alignment vertical="center"/>
    </xf>
    <xf numFmtId="0" fontId="23" fillId="0" borderId="9" xfId="0" applyFont="1" applyBorder="1" applyAlignment="1">
      <alignment vertical="center"/>
    </xf>
    <xf numFmtId="0" fontId="23" fillId="0" borderId="11" xfId="0" applyFont="1" applyBorder="1"/>
    <xf numFmtId="0" fontId="23" fillId="0" borderId="11" xfId="0" applyFont="1" applyBorder="1" applyAlignment="1">
      <alignment vertical="center"/>
    </xf>
    <xf numFmtId="0" fontId="23" fillId="0" borderId="14" xfId="0" applyFont="1" applyBorder="1" applyAlignment="1">
      <alignment vertical="center"/>
    </xf>
    <xf numFmtId="0" fontId="23" fillId="4" borderId="18" xfId="0" applyFont="1" applyFill="1" applyBorder="1" applyAlignment="1">
      <alignment vertical="center"/>
    </xf>
    <xf numFmtId="0" fontId="0" fillId="2" borderId="1" xfId="0" applyFill="1" applyBorder="1"/>
    <xf numFmtId="11" fontId="0" fillId="2" borderId="1" xfId="0" applyNumberFormat="1" applyFill="1" applyBorder="1"/>
    <xf numFmtId="166" fontId="0" fillId="3" borderId="1" xfId="0" applyNumberFormat="1" applyFill="1" applyBorder="1"/>
    <xf numFmtId="2" fontId="0" fillId="3" borderId="1" xfId="0" applyNumberFormat="1" applyFill="1" applyBorder="1"/>
    <xf numFmtId="0" fontId="23" fillId="0" borderId="0" xfId="0" applyFont="1" applyBorder="1" applyAlignment="1">
      <alignment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18" xfId="0" applyFont="1" applyBorder="1" applyAlignment="1">
      <alignment vertical="center"/>
    </xf>
    <xf numFmtId="2" fontId="22" fillId="3" borderId="13" xfId="0" applyNumberFormat="1" applyFont="1" applyFill="1" applyBorder="1"/>
    <xf numFmtId="2" fontId="22" fillId="3" borderId="15" xfId="0" applyNumberFormat="1" applyFont="1" applyFill="1" applyBorder="1"/>
    <xf numFmtId="164" fontId="22" fillId="6" borderId="10" xfId="0" applyNumberFormat="1" applyFont="1" applyFill="1" applyBorder="1" applyAlignment="1">
      <alignment vertical="center"/>
    </xf>
    <xf numFmtId="164" fontId="22" fillId="6" borderId="15" xfId="0" applyNumberFormat="1" applyFont="1" applyFill="1" applyBorder="1" applyAlignment="1">
      <alignment vertical="center"/>
    </xf>
    <xf numFmtId="0" fontId="23" fillId="2" borderId="1" xfId="0" applyFont="1" applyFill="1" applyBorder="1" applyAlignment="1">
      <alignment horizontal="center" vertical="center"/>
    </xf>
    <xf numFmtId="0" fontId="23" fillId="3" borderId="1" xfId="0" applyFont="1" applyFill="1" applyBorder="1" applyAlignment="1">
      <alignment horizontal="center" vertical="center"/>
    </xf>
    <xf numFmtId="0" fontId="15" fillId="3" borderId="1" xfId="1" applyFill="1" applyBorder="1"/>
    <xf numFmtId="11" fontId="15" fillId="3" borderId="1" xfId="1" applyNumberFormat="1" applyFill="1" applyBorder="1"/>
    <xf numFmtId="166" fontId="15" fillId="3" borderId="1" xfId="1" applyNumberFormat="1" applyFill="1" applyBorder="1"/>
    <xf numFmtId="164" fontId="22" fillId="3" borderId="2" xfId="0" applyNumberFormat="1" applyFont="1" applyFill="1" applyBorder="1"/>
    <xf numFmtId="0" fontId="23" fillId="4" borderId="1" xfId="0" applyFont="1" applyFill="1" applyBorder="1" applyAlignment="1">
      <alignment vertical="center"/>
    </xf>
    <xf numFmtId="0" fontId="24" fillId="0" borderId="0" xfId="0" applyFont="1" applyBorder="1" applyAlignment="1">
      <alignment vertical="center" wrapText="1"/>
    </xf>
    <xf numFmtId="0" fontId="22" fillId="2" borderId="10" xfId="0" applyFont="1" applyFill="1" applyBorder="1" applyAlignment="1" applyProtection="1">
      <alignment vertical="center"/>
      <protection locked="0"/>
    </xf>
    <xf numFmtId="0" fontId="22" fillId="2" borderId="13" xfId="0" applyFont="1" applyFill="1" applyBorder="1" applyAlignment="1" applyProtection="1">
      <alignment vertical="center"/>
      <protection locked="0"/>
    </xf>
    <xf numFmtId="0" fontId="22" fillId="2" borderId="15" xfId="0" applyFont="1" applyFill="1" applyBorder="1" applyAlignment="1" applyProtection="1">
      <alignment vertical="center"/>
      <protection locked="0"/>
    </xf>
    <xf numFmtId="164" fontId="22" fillId="2" borderId="19" xfId="0" applyNumberFormat="1" applyFont="1" applyFill="1" applyBorder="1" applyAlignment="1" applyProtection="1">
      <alignment vertical="center"/>
      <protection locked="0"/>
    </xf>
    <xf numFmtId="164" fontId="22" fillId="2" borderId="1" xfId="0" applyNumberFormat="1" applyFont="1" applyFill="1" applyBorder="1" applyAlignment="1" applyProtection="1">
      <alignment vertical="center"/>
      <protection locked="0"/>
    </xf>
    <xf numFmtId="1" fontId="22" fillId="2" borderId="1" xfId="0" applyNumberFormat="1" applyFont="1" applyFill="1" applyBorder="1" applyAlignment="1" applyProtection="1">
      <alignment vertical="center"/>
      <protection locked="0"/>
    </xf>
    <xf numFmtId="0" fontId="22" fillId="2" borderId="19" xfId="0" applyFont="1" applyFill="1" applyBorder="1" applyProtection="1">
      <protection locked="0"/>
    </xf>
    <xf numFmtId="0" fontId="22" fillId="2" borderId="10" xfId="0" applyFont="1" applyFill="1" applyBorder="1" applyProtection="1">
      <protection locked="0"/>
    </xf>
    <xf numFmtId="169" fontId="0" fillId="3" borderId="1" xfId="0" applyNumberFormat="1" applyFill="1" applyBorder="1"/>
    <xf numFmtId="0" fontId="25" fillId="0" borderId="0" xfId="0" applyFont="1" applyAlignment="1">
      <alignment vertical="center"/>
    </xf>
    <xf numFmtId="0" fontId="22" fillId="3" borderId="10" xfId="0" applyFont="1" applyFill="1" applyBorder="1" applyAlignment="1">
      <alignment vertical="center"/>
    </xf>
    <xf numFmtId="0" fontId="0" fillId="0" borderId="0" xfId="0" applyBorder="1"/>
    <xf numFmtId="0" fontId="17" fillId="0" borderId="0" xfId="0" applyFont="1" applyBorder="1" applyAlignment="1">
      <alignment horizontal="center" vertical="center"/>
    </xf>
    <xf numFmtId="0" fontId="13" fillId="0" borderId="3" xfId="0" applyFont="1" applyBorder="1"/>
    <xf numFmtId="0" fontId="13" fillId="0" borderId="7" xfId="0" applyFont="1" applyBorder="1"/>
    <xf numFmtId="0" fontId="22" fillId="0" borderId="0" xfId="0" applyFont="1" applyAlignment="1">
      <alignment horizontal="left" vertical="center" indent="2"/>
    </xf>
    <xf numFmtId="0" fontId="22" fillId="0" borderId="0" xfId="0" applyFont="1" applyAlignment="1">
      <alignment horizontal="left" indent="2"/>
    </xf>
    <xf numFmtId="4" fontId="0" fillId="3" borderId="1" xfId="0" applyNumberFormat="1" applyFill="1" applyBorder="1"/>
    <xf numFmtId="11" fontId="0" fillId="3" borderId="1" xfId="0" applyNumberFormat="1" applyFill="1" applyBorder="1"/>
    <xf numFmtId="11" fontId="15" fillId="2" borderId="1" xfId="1" applyNumberFormat="1" applyFill="1" applyBorder="1"/>
    <xf numFmtId="0" fontId="2" fillId="0" borderId="0" xfId="3" applyFont="1"/>
    <xf numFmtId="0" fontId="2" fillId="0" borderId="1" xfId="3" applyFont="1" applyBorder="1"/>
    <xf numFmtId="170" fontId="11" fillId="0" borderId="0" xfId="3" applyNumberFormat="1"/>
    <xf numFmtId="4" fontId="11" fillId="0" borderId="0" xfId="3" applyNumberFormat="1"/>
    <xf numFmtId="171" fontId="11" fillId="0" borderId="0" xfId="3" applyNumberFormat="1"/>
    <xf numFmtId="172" fontId="11" fillId="0" borderId="0" xfId="3" applyNumberFormat="1"/>
    <xf numFmtId="14" fontId="14" fillId="0" borderId="0" xfId="1" applyNumberFormat="1" applyFont="1"/>
    <xf numFmtId="0" fontId="22" fillId="5" borderId="10" xfId="0" applyNumberFormat="1" applyFont="1" applyFill="1" applyBorder="1" applyAlignment="1" applyProtection="1">
      <alignment horizontal="left" vertical="center"/>
      <protection locked="0"/>
    </xf>
    <xf numFmtId="168" fontId="11" fillId="2" borderId="1" xfId="3" applyNumberFormat="1" applyFill="1" applyBorder="1"/>
    <xf numFmtId="0" fontId="1" fillId="0" borderId="0" xfId="3" applyFont="1"/>
    <xf numFmtId="0" fontId="17" fillId="0" borderId="0" xfId="0" applyFont="1"/>
    <xf numFmtId="166" fontId="0" fillId="0" borderId="0" xfId="0" applyNumberFormat="1"/>
    <xf numFmtId="0" fontId="26" fillId="3" borderId="0" xfId="3" applyFont="1" applyFill="1"/>
    <xf numFmtId="0" fontId="14" fillId="0" borderId="0" xfId="0" applyFont="1"/>
    <xf numFmtId="0" fontId="15" fillId="2" borderId="1" xfId="1" applyFill="1" applyBorder="1"/>
    <xf numFmtId="0" fontId="0" fillId="0" borderId="1" xfId="0" applyFill="1" applyBorder="1"/>
    <xf numFmtId="164" fontId="0" fillId="3" borderId="1" xfId="0" applyNumberFormat="1" applyFill="1" applyBorder="1"/>
    <xf numFmtId="0" fontId="27" fillId="0" borderId="0" xfId="0" applyFont="1" applyAlignment="1">
      <alignment horizontal="left" vertical="center" indent="2"/>
    </xf>
    <xf numFmtId="0" fontId="28" fillId="0" borderId="0" xfId="0" applyFont="1"/>
    <xf numFmtId="164" fontId="0" fillId="0" borderId="0" xfId="0" applyNumberFormat="1"/>
    <xf numFmtId="14" fontId="14" fillId="0" borderId="0" xfId="0" applyNumberFormat="1" applyFont="1"/>
    <xf numFmtId="165" fontId="0" fillId="3" borderId="1" xfId="0" applyNumberFormat="1" applyFill="1" applyBorder="1"/>
    <xf numFmtId="0" fontId="30" fillId="3" borderId="1" xfId="0" applyFont="1" applyFill="1" applyBorder="1"/>
    <xf numFmtId="0" fontId="13" fillId="0" borderId="0" xfId="0" applyFont="1"/>
    <xf numFmtId="165" fontId="0" fillId="0" borderId="0" xfId="0" applyNumberFormat="1"/>
    <xf numFmtId="1" fontId="0" fillId="0" borderId="0" xfId="0" applyNumberFormat="1"/>
    <xf numFmtId="0" fontId="0" fillId="0" borderId="0" xfId="0" applyNumberFormat="1"/>
    <xf numFmtId="168" fontId="0" fillId="0" borderId="0" xfId="0" applyNumberFormat="1"/>
    <xf numFmtId="1" fontId="0" fillId="3" borderId="1" xfId="0" applyNumberFormat="1" applyFill="1" applyBorder="1"/>
    <xf numFmtId="0" fontId="0" fillId="3" borderId="1" xfId="0" applyNumberFormat="1" applyFill="1" applyBorder="1"/>
    <xf numFmtId="2" fontId="22" fillId="3" borderId="10" xfId="0" applyNumberFormat="1" applyFont="1" applyFill="1" applyBorder="1" applyAlignment="1">
      <alignment vertical="center"/>
    </xf>
    <xf numFmtId="2" fontId="22" fillId="3" borderId="13" xfId="0" applyNumberFormat="1" applyFont="1" applyFill="1" applyBorder="1" applyAlignment="1">
      <alignment vertical="center"/>
    </xf>
    <xf numFmtId="2" fontId="22" fillId="3" borderId="15" xfId="0" applyNumberFormat="1" applyFont="1" applyFill="1" applyBorder="1" applyAlignment="1">
      <alignment vertical="center"/>
    </xf>
    <xf numFmtId="0" fontId="18" fillId="0" borderId="0" xfId="3" applyFont="1" applyAlignment="1">
      <alignment horizontal="center"/>
    </xf>
    <xf numFmtId="0" fontId="0" fillId="0" borderId="0" xfId="0" applyAlignment="1">
      <alignment horizont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7" fillId="0" borderId="24" xfId="0" applyFont="1" applyBorder="1" applyAlignment="1">
      <alignment horizontal="center" vertical="center"/>
    </xf>
    <xf numFmtId="0" fontId="0" fillId="0" borderId="25" xfId="0" applyBorder="1" applyAlignment="1">
      <alignment horizontal="center" vertical="center"/>
    </xf>
    <xf numFmtId="0" fontId="31" fillId="2" borderId="21"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0" xfId="0" applyFont="1" applyFill="1" applyBorder="1" applyAlignment="1">
      <alignment horizontal="center" vertical="center"/>
    </xf>
    <xf numFmtId="0" fontId="0" fillId="0" borderId="11" xfId="0" applyBorder="1"/>
    <xf numFmtId="0" fontId="0" fillId="0" borderId="12" xfId="0" applyBorder="1"/>
    <xf numFmtId="0" fontId="32" fillId="0" borderId="21" xfId="0" applyFont="1" applyBorder="1"/>
    <xf numFmtId="49" fontId="32" fillId="0" borderId="16" xfId="0" quotePrefix="1" applyNumberFormat="1" applyFont="1" applyBorder="1"/>
    <xf numFmtId="0" fontId="32" fillId="0" borderId="10" xfId="0" applyFont="1" applyBorder="1" applyAlignment="1">
      <alignment vertical="top" wrapText="1"/>
    </xf>
    <xf numFmtId="0" fontId="32" fillId="0" borderId="22" xfId="0" applyFont="1" applyBorder="1"/>
    <xf numFmtId="49" fontId="32" fillId="0" borderId="1" xfId="0" quotePrefix="1" applyNumberFormat="1" applyFont="1" applyBorder="1"/>
    <xf numFmtId="0" fontId="32" fillId="0" borderId="13" xfId="0" applyFont="1" applyBorder="1" applyAlignment="1">
      <alignment vertical="top" wrapText="1"/>
    </xf>
    <xf numFmtId="49" fontId="32" fillId="0" borderId="1" xfId="0" applyNumberFormat="1" applyFont="1" applyBorder="1"/>
    <xf numFmtId="0" fontId="32" fillId="0" borderId="13" xfId="0" applyFont="1" applyBorder="1" applyAlignment="1">
      <alignment wrapText="1"/>
    </xf>
    <xf numFmtId="0" fontId="32" fillId="0" borderId="18" xfId="0" applyFont="1" applyBorder="1"/>
    <xf numFmtId="49" fontId="32" fillId="0" borderId="19" xfId="0" applyNumberFormat="1" applyFont="1" applyBorder="1"/>
    <xf numFmtId="0" fontId="32" fillId="0" borderId="15" xfId="0" applyFont="1" applyBorder="1" applyAlignment="1">
      <alignment wrapText="1"/>
    </xf>
    <xf numFmtId="0" fontId="22" fillId="2" borderId="23" xfId="0" applyFont="1" applyFill="1" applyBorder="1" applyProtection="1">
      <protection locked="0"/>
    </xf>
  </cellXfs>
  <cellStyles count="8">
    <cellStyle name="Normal" xfId="0" builtinId="0"/>
    <cellStyle name="Normal 2" xfId="1"/>
    <cellStyle name="Normal 2 2" xfId="5"/>
    <cellStyle name="Normal 3" xfId="2"/>
    <cellStyle name="Normal 4" xfId="3"/>
    <cellStyle name="Normal 5" xfId="4"/>
    <cellStyle name="Normal 6" xfId="6"/>
    <cellStyle name="Normal 7" xfId="7"/>
  </cellStyles>
  <dxfs count="6">
    <dxf>
      <font>
        <b/>
        <i val="0"/>
        <color rgb="FFFF0000"/>
      </font>
    </dxf>
    <dxf>
      <font>
        <b/>
        <i val="0"/>
        <color rgb="FFFF0000"/>
      </font>
    </dxf>
    <dxf>
      <fill>
        <patternFill>
          <bgColor theme="1"/>
        </patternFill>
      </fill>
    </dxf>
    <dxf>
      <fill>
        <patternFill>
          <bgColor rgb="FFFFFF00"/>
        </patternFill>
      </fill>
    </dxf>
    <dxf>
      <fill>
        <patternFill>
          <bgColor theme="1"/>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Bode Plot</a:t>
            </a:r>
          </a:p>
        </c:rich>
      </c:tx>
      <c:layout/>
      <c:overlay val="0"/>
    </c:title>
    <c:autoTitleDeleted val="0"/>
    <c:plotArea>
      <c:layout/>
      <c:scatterChart>
        <c:scatterStyle val="smoothMarker"/>
        <c:varyColors val="0"/>
        <c:ser>
          <c:idx val="0"/>
          <c:order val="0"/>
          <c:tx>
            <c:v>Loop Gain</c:v>
          </c:tx>
          <c:spPr>
            <a:ln>
              <a:solidFill>
                <a:schemeClr val="tx1"/>
              </a:solidFill>
            </a:ln>
          </c:spPr>
          <c:marker>
            <c:symbol val="none"/>
          </c:marker>
          <c:xVal>
            <c:numRef>
              <c:f>loop_gain!$A$113:$A$203</c:f>
              <c:numCache>
                <c:formatCode>#,##0.0</c:formatCode>
                <c:ptCount val="91"/>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150</c:v>
                </c:pt>
                <c:pt idx="20">
                  <c:v>200</c:v>
                </c:pt>
                <c:pt idx="21">
                  <c:v>250</c:v>
                </c:pt>
                <c:pt idx="22">
                  <c:v>300</c:v>
                </c:pt>
                <c:pt idx="23">
                  <c:v>350</c:v>
                </c:pt>
                <c:pt idx="24">
                  <c:v>400</c:v>
                </c:pt>
                <c:pt idx="25">
                  <c:v>450</c:v>
                </c:pt>
                <c:pt idx="26">
                  <c:v>500</c:v>
                </c:pt>
                <c:pt idx="27">
                  <c:v>550</c:v>
                </c:pt>
                <c:pt idx="28">
                  <c:v>600</c:v>
                </c:pt>
                <c:pt idx="29">
                  <c:v>650</c:v>
                </c:pt>
                <c:pt idx="30">
                  <c:v>700</c:v>
                </c:pt>
                <c:pt idx="31">
                  <c:v>750</c:v>
                </c:pt>
                <c:pt idx="32">
                  <c:v>800</c:v>
                </c:pt>
                <c:pt idx="33">
                  <c:v>850</c:v>
                </c:pt>
                <c:pt idx="34">
                  <c:v>900</c:v>
                </c:pt>
                <c:pt idx="35">
                  <c:v>950</c:v>
                </c:pt>
                <c:pt idx="36">
                  <c:v>1000</c:v>
                </c:pt>
                <c:pt idx="37">
                  <c:v>1500</c:v>
                </c:pt>
                <c:pt idx="38">
                  <c:v>2000</c:v>
                </c:pt>
                <c:pt idx="39">
                  <c:v>2500</c:v>
                </c:pt>
                <c:pt idx="40">
                  <c:v>3000</c:v>
                </c:pt>
                <c:pt idx="41">
                  <c:v>3500</c:v>
                </c:pt>
                <c:pt idx="42">
                  <c:v>4000</c:v>
                </c:pt>
                <c:pt idx="43">
                  <c:v>4500</c:v>
                </c:pt>
                <c:pt idx="44">
                  <c:v>5000</c:v>
                </c:pt>
                <c:pt idx="45">
                  <c:v>5500</c:v>
                </c:pt>
                <c:pt idx="46">
                  <c:v>6000</c:v>
                </c:pt>
                <c:pt idx="47">
                  <c:v>6500</c:v>
                </c:pt>
                <c:pt idx="48">
                  <c:v>7000</c:v>
                </c:pt>
                <c:pt idx="49">
                  <c:v>7500</c:v>
                </c:pt>
                <c:pt idx="50">
                  <c:v>8000</c:v>
                </c:pt>
                <c:pt idx="51">
                  <c:v>8500</c:v>
                </c:pt>
                <c:pt idx="52">
                  <c:v>9000</c:v>
                </c:pt>
                <c:pt idx="53">
                  <c:v>9500</c:v>
                </c:pt>
                <c:pt idx="54">
                  <c:v>10000</c:v>
                </c:pt>
                <c:pt idx="55">
                  <c:v>15000</c:v>
                </c:pt>
                <c:pt idx="56">
                  <c:v>20000</c:v>
                </c:pt>
                <c:pt idx="57">
                  <c:v>25000</c:v>
                </c:pt>
                <c:pt idx="58">
                  <c:v>30000</c:v>
                </c:pt>
                <c:pt idx="59">
                  <c:v>35000</c:v>
                </c:pt>
                <c:pt idx="60">
                  <c:v>40000</c:v>
                </c:pt>
                <c:pt idx="61">
                  <c:v>45000</c:v>
                </c:pt>
                <c:pt idx="62">
                  <c:v>50000</c:v>
                </c:pt>
                <c:pt idx="63">
                  <c:v>55000</c:v>
                </c:pt>
                <c:pt idx="64">
                  <c:v>60000</c:v>
                </c:pt>
                <c:pt idx="65">
                  <c:v>65000</c:v>
                </c:pt>
                <c:pt idx="66">
                  <c:v>70000</c:v>
                </c:pt>
                <c:pt idx="67">
                  <c:v>75000</c:v>
                </c:pt>
                <c:pt idx="68">
                  <c:v>80000</c:v>
                </c:pt>
                <c:pt idx="69">
                  <c:v>85000</c:v>
                </c:pt>
                <c:pt idx="70">
                  <c:v>90000</c:v>
                </c:pt>
                <c:pt idx="71">
                  <c:v>95000</c:v>
                </c:pt>
                <c:pt idx="72">
                  <c:v>100000</c:v>
                </c:pt>
                <c:pt idx="73">
                  <c:v>150000</c:v>
                </c:pt>
                <c:pt idx="74">
                  <c:v>200000</c:v>
                </c:pt>
                <c:pt idx="75">
                  <c:v>250000</c:v>
                </c:pt>
                <c:pt idx="76">
                  <c:v>300000</c:v>
                </c:pt>
                <c:pt idx="77">
                  <c:v>350000</c:v>
                </c:pt>
                <c:pt idx="78">
                  <c:v>400000</c:v>
                </c:pt>
                <c:pt idx="79">
                  <c:v>450000</c:v>
                </c:pt>
                <c:pt idx="80">
                  <c:v>500000</c:v>
                </c:pt>
                <c:pt idx="81">
                  <c:v>550000</c:v>
                </c:pt>
                <c:pt idx="82">
                  <c:v>600000</c:v>
                </c:pt>
                <c:pt idx="83">
                  <c:v>650000</c:v>
                </c:pt>
                <c:pt idx="84">
                  <c:v>700000</c:v>
                </c:pt>
                <c:pt idx="85">
                  <c:v>750000</c:v>
                </c:pt>
                <c:pt idx="86">
                  <c:v>800000</c:v>
                </c:pt>
                <c:pt idx="87">
                  <c:v>850000</c:v>
                </c:pt>
                <c:pt idx="88">
                  <c:v>900000</c:v>
                </c:pt>
                <c:pt idx="89">
                  <c:v>950000</c:v>
                </c:pt>
                <c:pt idx="90">
                  <c:v>1000000</c:v>
                </c:pt>
              </c:numCache>
            </c:numRef>
          </c:xVal>
          <c:yVal>
            <c:numRef>
              <c:f>loop_gain!$R$113:$R$203</c:f>
              <c:numCache>
                <c:formatCode>0.00</c:formatCode>
                <c:ptCount val="91"/>
                <c:pt idx="0">
                  <c:v>40.319699388151896</c:v>
                </c:pt>
                <c:pt idx="1">
                  <c:v>40.318438641613334</c:v>
                </c:pt>
                <c:pt idx="2">
                  <c:v>40.316674166769005</c:v>
                </c:pt>
                <c:pt idx="3">
                  <c:v>40.314406533166633</c:v>
                </c:pt>
                <c:pt idx="4">
                  <c:v>40.311636471995371</c:v>
                </c:pt>
                <c:pt idx="5">
                  <c:v>40.308364875274457</c:v>
                </c:pt>
                <c:pt idx="6">
                  <c:v>40.304592794865378</c:v>
                </c:pt>
                <c:pt idx="7">
                  <c:v>40.300321441309933</c:v>
                </c:pt>
                <c:pt idx="8">
                  <c:v>40.295552182496877</c:v>
                </c:pt>
                <c:pt idx="9">
                  <c:v>40.29028654216016</c:v>
                </c:pt>
                <c:pt idx="10">
                  <c:v>40.284526198212184</c:v>
                </c:pt>
                <c:pt idx="11">
                  <c:v>40.278272980916107</c:v>
                </c:pt>
                <c:pt idx="12">
                  <c:v>40.27152887090103</c:v>
                </c:pt>
                <c:pt idx="13">
                  <c:v>40.264295997024846</c:v>
                </c:pt>
                <c:pt idx="14">
                  <c:v>40.256576634089306</c:v>
                </c:pt>
                <c:pt idx="15">
                  <c:v>40.24837320041258</c:v>
                </c:pt>
                <c:pt idx="16">
                  <c:v>40.239688255264504</c:v>
                </c:pt>
                <c:pt idx="17">
                  <c:v>40.230524496170361</c:v>
                </c:pt>
                <c:pt idx="18">
                  <c:v>40.220884756088694</c:v>
                </c:pt>
                <c:pt idx="19">
                  <c:v>40.099022279001446</c:v>
                </c:pt>
                <c:pt idx="20">
                  <c:v>39.933557959782092</c:v>
                </c:pt>
                <c:pt idx="21">
                  <c:v>39.729019706108168</c:v>
                </c:pt>
                <c:pt idx="22">
                  <c:v>39.490488046913846</c:v>
                </c:pt>
                <c:pt idx="23">
                  <c:v>39.223233275512392</c:v>
                </c:pt>
                <c:pt idx="24">
                  <c:v>38.932413535868321</c:v>
                </c:pt>
                <c:pt idx="25">
                  <c:v>38.622853863649411</c:v>
                </c:pt>
                <c:pt idx="26">
                  <c:v>38.298907384593818</c:v>
                </c:pt>
                <c:pt idx="27">
                  <c:v>37.964387557471632</c:v>
                </c:pt>
                <c:pt idx="28">
                  <c:v>37.622554756041055</c:v>
                </c:pt>
                <c:pt idx="29">
                  <c:v>37.276139939333262</c:v>
                </c:pt>
                <c:pt idx="30">
                  <c:v>36.927390516073523</c:v>
                </c:pt>
                <c:pt idx="31">
                  <c:v>36.578126993928521</c:v>
                </c:pt>
                <c:pt idx="32">
                  <c:v>36.229802487558068</c:v>
                </c:pt>
                <c:pt idx="33">
                  <c:v>35.883560085909309</c:v>
                </c:pt>
                <c:pt idx="34">
                  <c:v>35.540285282369723</c:v>
                </c:pt>
                <c:pt idx="35">
                  <c:v>35.200652195890001</c:v>
                </c:pt>
                <c:pt idx="36">
                  <c:v>34.865163287827258</c:v>
                </c:pt>
                <c:pt idx="37">
                  <c:v>31.778469641964275</c:v>
                </c:pt>
                <c:pt idx="38">
                  <c:v>29.159452528053357</c:v>
                </c:pt>
                <c:pt idx="39">
                  <c:v>26.916969749319431</c:v>
                </c:pt>
                <c:pt idx="40">
                  <c:v>24.973402481701299</c:v>
                </c:pt>
                <c:pt idx="41">
                  <c:v>23.2729156518465</c:v>
                </c:pt>
                <c:pt idx="42">
                  <c:v>21.773621266454033</c:v>
                </c:pt>
                <c:pt idx="43">
                  <c:v>20.442574078096658</c:v>
                </c:pt>
                <c:pt idx="44">
                  <c:v>19.253145877184643</c:v>
                </c:pt>
                <c:pt idx="45">
                  <c:v>18.183536140435489</c:v>
                </c:pt>
                <c:pt idx="46">
                  <c:v>17.215793035943186</c:v>
                </c:pt>
                <c:pt idx="47">
                  <c:v>16.335087220046841</c:v>
                </c:pt>
                <c:pt idx="48">
                  <c:v>15.529136828500162</c:v>
                </c:pt>
                <c:pt idx="49">
                  <c:v>14.787740563129136</c:v>
                </c:pt>
                <c:pt idx="50">
                  <c:v>14.102396391683884</c:v>
                </c:pt>
                <c:pt idx="51">
                  <c:v>13.46599065722598</c:v>
                </c:pt>
                <c:pt idx="52">
                  <c:v>12.872545419905975</c:v>
                </c:pt>
                <c:pt idx="53">
                  <c:v>12.317013684128513</c:v>
                </c:pt>
                <c:pt idx="54">
                  <c:v>11.795113687594785</c:v>
                </c:pt>
                <c:pt idx="55">
                  <c:v>7.8245571906128291</c:v>
                </c:pt>
                <c:pt idx="56">
                  <c:v>5.1311362964102658</c:v>
                </c:pt>
                <c:pt idx="57">
                  <c:v>3.080991334141383</c:v>
                </c:pt>
                <c:pt idx="58">
                  <c:v>1.4167197449353777</c:v>
                </c:pt>
                <c:pt idx="59">
                  <c:v>9.1522901035454018E-3</c:v>
                </c:pt>
                <c:pt idx="60">
                  <c:v>-1.2158374699270285</c:v>
                </c:pt>
                <c:pt idx="61">
                  <c:v>-2.3048532193638063</c:v>
                </c:pt>
                <c:pt idx="62">
                  <c:v>-3.2891909839142475</c:v>
                </c:pt>
                <c:pt idx="63">
                  <c:v>-4.1909422142890138</c:v>
                </c:pt>
                <c:pt idx="64">
                  <c:v>-5.0263238079450909</c:v>
                </c:pt>
                <c:pt idx="65">
                  <c:v>-5.8076224854390359</c:v>
                </c:pt>
                <c:pt idx="66">
                  <c:v>-6.5443925509887055</c:v>
                </c:pt>
                <c:pt idx="67">
                  <c:v>-7.2442262629924006</c:v>
                </c:pt>
                <c:pt idx="68">
                  <c:v>-7.9132671096486833</c:v>
                </c:pt>
                <c:pt idx="69">
                  <c:v>-8.5565619092712311</c:v>
                </c:pt>
                <c:pt idx="70">
                  <c:v>-9.1783082995459679</c:v>
                </c:pt>
                <c:pt idx="71">
                  <c:v>-9.782032316397089</c:v>
                </c:pt>
                <c:pt idx="72">
                  <c:v>-10.370718101038683</c:v>
                </c:pt>
                <c:pt idx="73">
                  <c:v>-15.839211743097694</c:v>
                </c:pt>
                <c:pt idx="74">
                  <c:v>-21.08735042595475</c:v>
                </c:pt>
                <c:pt idx="75">
                  <c:v>-26.16488287785516</c:v>
                </c:pt>
                <c:pt idx="76">
                  <c:v>-30.905699634199937</c:v>
                </c:pt>
                <c:pt idx="77">
                  <c:v>-35.234381640432105</c:v>
                </c:pt>
                <c:pt idx="78">
                  <c:v>-39.158155845354706</c:v>
                </c:pt>
                <c:pt idx="79">
                  <c:v>-42.717944799999792</c:v>
                </c:pt>
                <c:pt idx="80">
                  <c:v>-45.961769494260629</c:v>
                </c:pt>
                <c:pt idx="81">
                  <c:v>-48.934584907015953</c:v>
                </c:pt>
                <c:pt idx="82">
                  <c:v>-51.675365882447338</c:v>
                </c:pt>
                <c:pt idx="83">
                  <c:v>-54.216905696999575</c:v>
                </c:pt>
                <c:pt idx="84">
                  <c:v>-56.586492610404655</c:v>
                </c:pt>
                <c:pt idx="85">
                  <c:v>-58.806777166655564</c:v>
                </c:pt>
                <c:pt idx="86">
                  <c:v>-60.896591619568284</c:v>
                </c:pt>
                <c:pt idx="87">
                  <c:v>-62.871652698085882</c:v>
                </c:pt>
                <c:pt idx="88">
                  <c:v>-64.745140791496127</c:v>
                </c:pt>
                <c:pt idx="89">
                  <c:v>-66.52816904393967</c:v>
                </c:pt>
                <c:pt idx="90">
                  <c:v>-68.230160612889691</c:v>
                </c:pt>
              </c:numCache>
            </c:numRef>
          </c:yVal>
          <c:smooth val="1"/>
        </c:ser>
        <c:dLbls>
          <c:showLegendKey val="0"/>
          <c:showVal val="0"/>
          <c:showCatName val="0"/>
          <c:showSerName val="0"/>
          <c:showPercent val="0"/>
          <c:showBubbleSize val="0"/>
        </c:dLbls>
        <c:axId val="220940544"/>
        <c:axId val="220946816"/>
      </c:scatterChart>
      <c:scatterChart>
        <c:scatterStyle val="smoothMarker"/>
        <c:varyColors val="0"/>
        <c:ser>
          <c:idx val="1"/>
          <c:order val="1"/>
          <c:tx>
            <c:v>Phase</c:v>
          </c:tx>
          <c:spPr>
            <a:ln>
              <a:solidFill>
                <a:schemeClr val="tx1"/>
              </a:solidFill>
              <a:prstDash val="sysDot"/>
            </a:ln>
          </c:spPr>
          <c:marker>
            <c:symbol val="none"/>
          </c:marker>
          <c:xVal>
            <c:numRef>
              <c:f>loop_gain!$A$113:$A$203</c:f>
              <c:numCache>
                <c:formatCode>#,##0.0</c:formatCode>
                <c:ptCount val="91"/>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150</c:v>
                </c:pt>
                <c:pt idx="20">
                  <c:v>200</c:v>
                </c:pt>
                <c:pt idx="21">
                  <c:v>250</c:v>
                </c:pt>
                <c:pt idx="22">
                  <c:v>300</c:v>
                </c:pt>
                <c:pt idx="23">
                  <c:v>350</c:v>
                </c:pt>
                <c:pt idx="24">
                  <c:v>400</c:v>
                </c:pt>
                <c:pt idx="25">
                  <c:v>450</c:v>
                </c:pt>
                <c:pt idx="26">
                  <c:v>500</c:v>
                </c:pt>
                <c:pt idx="27">
                  <c:v>550</c:v>
                </c:pt>
                <c:pt idx="28">
                  <c:v>600</c:v>
                </c:pt>
                <c:pt idx="29">
                  <c:v>650</c:v>
                </c:pt>
                <c:pt idx="30">
                  <c:v>700</c:v>
                </c:pt>
                <c:pt idx="31">
                  <c:v>750</c:v>
                </c:pt>
                <c:pt idx="32">
                  <c:v>800</c:v>
                </c:pt>
                <c:pt idx="33">
                  <c:v>850</c:v>
                </c:pt>
                <c:pt idx="34">
                  <c:v>900</c:v>
                </c:pt>
                <c:pt idx="35">
                  <c:v>950</c:v>
                </c:pt>
                <c:pt idx="36">
                  <c:v>1000</c:v>
                </c:pt>
                <c:pt idx="37">
                  <c:v>1500</c:v>
                </c:pt>
                <c:pt idx="38">
                  <c:v>2000</c:v>
                </c:pt>
                <c:pt idx="39">
                  <c:v>2500</c:v>
                </c:pt>
                <c:pt idx="40">
                  <c:v>3000</c:v>
                </c:pt>
                <c:pt idx="41">
                  <c:v>3500</c:v>
                </c:pt>
                <c:pt idx="42">
                  <c:v>4000</c:v>
                </c:pt>
                <c:pt idx="43">
                  <c:v>4500</c:v>
                </c:pt>
                <c:pt idx="44">
                  <c:v>5000</c:v>
                </c:pt>
                <c:pt idx="45">
                  <c:v>5500</c:v>
                </c:pt>
                <c:pt idx="46">
                  <c:v>6000</c:v>
                </c:pt>
                <c:pt idx="47">
                  <c:v>6500</c:v>
                </c:pt>
                <c:pt idx="48">
                  <c:v>7000</c:v>
                </c:pt>
                <c:pt idx="49">
                  <c:v>7500</c:v>
                </c:pt>
                <c:pt idx="50">
                  <c:v>8000</c:v>
                </c:pt>
                <c:pt idx="51">
                  <c:v>8500</c:v>
                </c:pt>
                <c:pt idx="52">
                  <c:v>9000</c:v>
                </c:pt>
                <c:pt idx="53">
                  <c:v>9500</c:v>
                </c:pt>
                <c:pt idx="54">
                  <c:v>10000</c:v>
                </c:pt>
                <c:pt idx="55">
                  <c:v>15000</c:v>
                </c:pt>
                <c:pt idx="56">
                  <c:v>20000</c:v>
                </c:pt>
                <c:pt idx="57">
                  <c:v>25000</c:v>
                </c:pt>
                <c:pt idx="58">
                  <c:v>30000</c:v>
                </c:pt>
                <c:pt idx="59">
                  <c:v>35000</c:v>
                </c:pt>
                <c:pt idx="60">
                  <c:v>40000</c:v>
                </c:pt>
                <c:pt idx="61">
                  <c:v>45000</c:v>
                </c:pt>
                <c:pt idx="62">
                  <c:v>50000</c:v>
                </c:pt>
                <c:pt idx="63">
                  <c:v>55000</c:v>
                </c:pt>
                <c:pt idx="64">
                  <c:v>60000</c:v>
                </c:pt>
                <c:pt idx="65">
                  <c:v>65000</c:v>
                </c:pt>
                <c:pt idx="66">
                  <c:v>70000</c:v>
                </c:pt>
                <c:pt idx="67">
                  <c:v>75000</c:v>
                </c:pt>
                <c:pt idx="68">
                  <c:v>80000</c:v>
                </c:pt>
                <c:pt idx="69">
                  <c:v>85000</c:v>
                </c:pt>
                <c:pt idx="70">
                  <c:v>90000</c:v>
                </c:pt>
                <c:pt idx="71">
                  <c:v>95000</c:v>
                </c:pt>
                <c:pt idx="72">
                  <c:v>100000</c:v>
                </c:pt>
                <c:pt idx="73">
                  <c:v>150000</c:v>
                </c:pt>
                <c:pt idx="74">
                  <c:v>200000</c:v>
                </c:pt>
                <c:pt idx="75">
                  <c:v>250000</c:v>
                </c:pt>
                <c:pt idx="76">
                  <c:v>300000</c:v>
                </c:pt>
                <c:pt idx="77">
                  <c:v>350000</c:v>
                </c:pt>
                <c:pt idx="78">
                  <c:v>400000</c:v>
                </c:pt>
                <c:pt idx="79">
                  <c:v>450000</c:v>
                </c:pt>
                <c:pt idx="80">
                  <c:v>500000</c:v>
                </c:pt>
                <c:pt idx="81">
                  <c:v>550000</c:v>
                </c:pt>
                <c:pt idx="82">
                  <c:v>600000</c:v>
                </c:pt>
                <c:pt idx="83">
                  <c:v>650000</c:v>
                </c:pt>
                <c:pt idx="84">
                  <c:v>700000</c:v>
                </c:pt>
                <c:pt idx="85">
                  <c:v>750000</c:v>
                </c:pt>
                <c:pt idx="86">
                  <c:v>800000</c:v>
                </c:pt>
                <c:pt idx="87">
                  <c:v>850000</c:v>
                </c:pt>
                <c:pt idx="88">
                  <c:v>900000</c:v>
                </c:pt>
                <c:pt idx="89">
                  <c:v>950000</c:v>
                </c:pt>
                <c:pt idx="90">
                  <c:v>1000000</c:v>
                </c:pt>
              </c:numCache>
            </c:numRef>
          </c:xVal>
          <c:yVal>
            <c:numRef>
              <c:f>loop_gain!$AD$113:$AD$203</c:f>
              <c:numCache>
                <c:formatCode>General</c:formatCode>
                <c:ptCount val="91"/>
                <c:pt idx="0">
                  <c:v>-0.96045611355784333</c:v>
                </c:pt>
                <c:pt idx="1">
                  <c:v>-1.4405633011184251</c:v>
                </c:pt>
                <c:pt idx="2">
                  <c:v>-1.9205255354135915</c:v>
                </c:pt>
                <c:pt idx="3">
                  <c:v>-2.4002946481882108</c:v>
                </c:pt>
                <c:pt idx="4">
                  <c:v>-2.8798225990085871</c:v>
                </c:pt>
                <c:pt idx="5">
                  <c:v>-3.3590615068172136</c:v>
                </c:pt>
                <c:pt idx="6">
                  <c:v>-3.8379636812222899</c:v>
                </c:pt>
                <c:pt idx="7">
                  <c:v>-4.3164816534707775</c:v>
                </c:pt>
                <c:pt idx="8">
                  <c:v>-4.7945682070547413</c:v>
                </c:pt>
                <c:pt idx="9">
                  <c:v>-5.2721764079018607</c:v>
                </c:pt>
                <c:pt idx="10">
                  <c:v>-5.7492596341022582</c:v>
                </c:pt>
                <c:pt idx="11">
                  <c:v>-6.225771605125221</c:v>
                </c:pt>
                <c:pt idx="12">
                  <c:v>-6.7016664104809145</c:v>
                </c:pt>
                <c:pt idx="13">
                  <c:v>-7.176898537783881</c:v>
                </c:pt>
                <c:pt idx="14">
                  <c:v>-7.651422900176863</c:v>
                </c:pt>
                <c:pt idx="15">
                  <c:v>-8.1251948630754462</c:v>
                </c:pt>
                <c:pt idx="16">
                  <c:v>-8.5981702701959435</c:v>
                </c:pt>
                <c:pt idx="17">
                  <c:v>-9.0703054688310552</c:v>
                </c:pt>
                <c:pt idx="18">
                  <c:v>-9.5415573343400126</c:v>
                </c:pt>
                <c:pt idx="19">
                  <c:v>-14.196427586407301</c:v>
                </c:pt>
                <c:pt idx="20">
                  <c:v>-18.720243834919597</c:v>
                </c:pt>
                <c:pt idx="21">
                  <c:v>-23.081425500148214</c:v>
                </c:pt>
                <c:pt idx="22">
                  <c:v>-27.256547469652816</c:v>
                </c:pt>
                <c:pt idx="23">
                  <c:v>-31.230263037054723</c:v>
                </c:pt>
                <c:pt idx="24">
                  <c:v>-34.994559195909275</c:v>
                </c:pt>
                <c:pt idx="25">
                  <c:v>-38.54760762613094</c:v>
                </c:pt>
                <c:pt idx="26">
                  <c:v>-41.892455892650318</c:v>
                </c:pt>
                <c:pt idx="27">
                  <c:v>-45.035744054022246</c:v>
                </c:pt>
                <c:pt idx="28">
                  <c:v>-47.986562054001034</c:v>
                </c:pt>
                <c:pt idx="29">
                  <c:v>-50.755502406869724</c:v>
                </c:pt>
                <c:pt idx="30">
                  <c:v>-53.353918904410143</c:v>
                </c:pt>
                <c:pt idx="31">
                  <c:v>-55.793375592327706</c:v>
                </c:pt>
                <c:pt idx="32">
                  <c:v>-58.085257484748908</c:v>
                </c:pt>
                <c:pt idx="33">
                  <c:v>-60.240510903013707</c:v>
                </c:pt>
                <c:pt idx="34">
                  <c:v>-62.26948304421169</c:v>
                </c:pt>
                <c:pt idx="35">
                  <c:v>-64.181834608682223</c:v>
                </c:pt>
                <c:pt idx="36">
                  <c:v>-65.986504291947838</c:v>
                </c:pt>
                <c:pt idx="37">
                  <c:v>-79.606271015268703</c:v>
                </c:pt>
                <c:pt idx="38">
                  <c:v>-88.140763286724223</c:v>
                </c:pt>
                <c:pt idx="39">
                  <c:v>-93.819210205684143</c:v>
                </c:pt>
                <c:pt idx="40">
                  <c:v>-97.700344664159417</c:v>
                </c:pt>
                <c:pt idx="41">
                  <c:v>-100.38225399739181</c:v>
                </c:pt>
                <c:pt idx="42">
                  <c:v>-102.24234418149095</c:v>
                </c:pt>
                <c:pt idx="43">
                  <c:v>-103.53277154254975</c:v>
                </c:pt>
                <c:pt idx="44">
                  <c:v>-104.42671412383926</c:v>
                </c:pt>
                <c:pt idx="45">
                  <c:v>-105.04474018886815</c:v>
                </c:pt>
                <c:pt idx="46">
                  <c:v>-105.47141637781792</c:v>
                </c:pt>
                <c:pt idx="47">
                  <c:v>-105.76633178050902</c:v>
                </c:pt>
                <c:pt idx="48">
                  <c:v>-105.97160718202531</c:v>
                </c:pt>
                <c:pt idx="49">
                  <c:v>-106.11707821555953</c:v>
                </c:pt>
                <c:pt idx="50">
                  <c:v>-106.22390076869915</c:v>
                </c:pt>
                <c:pt idx="51">
                  <c:v>-106.30707287338747</c:v>
                </c:pt>
                <c:pt idx="52">
                  <c:v>-106.37720715983403</c:v>
                </c:pt>
                <c:pt idx="53">
                  <c:v>-106.44178229207103</c:v>
                </c:pt>
                <c:pt idx="54">
                  <c:v>-106.50603055344931</c:v>
                </c:pt>
                <c:pt idx="55">
                  <c:v>-107.54262681456615</c:v>
                </c:pt>
                <c:pt idx="56">
                  <c:v>-109.38497962241655</c:v>
                </c:pt>
                <c:pt idx="57">
                  <c:v>-111.75227172570361</c:v>
                </c:pt>
                <c:pt idx="58">
                  <c:v>-114.43402321957028</c:v>
                </c:pt>
                <c:pt idx="59">
                  <c:v>-117.31304897309469</c:v>
                </c:pt>
                <c:pt idx="60">
                  <c:v>-120.32280230149799</c:v>
                </c:pt>
                <c:pt idx="61">
                  <c:v>-123.42343592460567</c:v>
                </c:pt>
                <c:pt idx="62">
                  <c:v>-126.58975746823123</c:v>
                </c:pt>
                <c:pt idx="63">
                  <c:v>-129.8049975082522</c:v>
                </c:pt>
                <c:pt idx="64">
                  <c:v>-133.05742311799</c:v>
                </c:pt>
                <c:pt idx="65">
                  <c:v>-136.33840462472585</c:v>
                </c:pt>
                <c:pt idx="66">
                  <c:v>-139.64126147279009</c:v>
                </c:pt>
                <c:pt idx="67">
                  <c:v>-142.96054598110339</c:v>
                </c:pt>
                <c:pt idx="68">
                  <c:v>-146.29158445114251</c:v>
                </c:pt>
                <c:pt idx="69">
                  <c:v>-149.63017612547978</c:v>
                </c:pt>
                <c:pt idx="70">
                  <c:v>-152.97239311870618</c:v>
                </c:pt>
                <c:pt idx="71">
                  <c:v>-156.31444770347079</c:v>
                </c:pt>
                <c:pt idx="72">
                  <c:v>-159.6526064301253</c:v>
                </c:pt>
                <c:pt idx="73">
                  <c:v>-191.99246362180889</c:v>
                </c:pt>
                <c:pt idx="74">
                  <c:v>-220.11776414692972</c:v>
                </c:pt>
                <c:pt idx="75">
                  <c:v>-242.44221651268694</c:v>
                </c:pt>
                <c:pt idx="76">
                  <c:v>-259.54002327037966</c:v>
                </c:pt>
                <c:pt idx="77">
                  <c:v>-272.71106593302494</c:v>
                </c:pt>
                <c:pt idx="78">
                  <c:v>-283.09995617533565</c:v>
                </c:pt>
                <c:pt idx="79">
                  <c:v>-291.52805871033843</c:v>
                </c:pt>
                <c:pt idx="80">
                  <c:v>-298.55395065934061</c:v>
                </c:pt>
                <c:pt idx="81">
                  <c:v>-304.55580857544669</c:v>
                </c:pt>
                <c:pt idx="82">
                  <c:v>-309.79278211493164</c:v>
                </c:pt>
                <c:pt idx="83">
                  <c:v>-314.44549104599531</c:v>
                </c:pt>
                <c:pt idx="84">
                  <c:v>-318.64206789989225</c:v>
                </c:pt>
                <c:pt idx="85">
                  <c:v>-322.47497977348399</c:v>
                </c:pt>
                <c:pt idx="86">
                  <c:v>-326.01205251841492</c:v>
                </c:pt>
                <c:pt idx="87">
                  <c:v>-329.30381996228579</c:v>
                </c:pt>
                <c:pt idx="88">
                  <c:v>-332.3885064314855</c:v>
                </c:pt>
                <c:pt idx="89">
                  <c:v>-335.29545778123253</c:v>
                </c:pt>
                <c:pt idx="90">
                  <c:v>-338.04753757221596</c:v>
                </c:pt>
              </c:numCache>
            </c:numRef>
          </c:yVal>
          <c:smooth val="1"/>
        </c:ser>
        <c:dLbls>
          <c:showLegendKey val="0"/>
          <c:showVal val="0"/>
          <c:showCatName val="0"/>
          <c:showSerName val="0"/>
          <c:showPercent val="0"/>
          <c:showBubbleSize val="0"/>
        </c:dLbls>
        <c:axId val="220950912"/>
        <c:axId val="220948736"/>
      </c:scatterChart>
      <c:valAx>
        <c:axId val="220940544"/>
        <c:scaling>
          <c:logBase val="10"/>
          <c:orientation val="minMax"/>
          <c:min val="10"/>
        </c:scaling>
        <c:delete val="0"/>
        <c:axPos val="b"/>
        <c:majorGridlines/>
        <c:minorGridlines/>
        <c:title>
          <c:tx>
            <c:rich>
              <a:bodyPr/>
              <a:lstStyle/>
              <a:p>
                <a:pPr>
                  <a:defRPr/>
                </a:pPr>
                <a:r>
                  <a:rPr lang="en-US"/>
                  <a:t>Frequency (Hz)</a:t>
                </a:r>
              </a:p>
            </c:rich>
          </c:tx>
          <c:layout/>
          <c:overlay val="0"/>
        </c:title>
        <c:numFmt formatCode="#,##0.0" sourceLinked="1"/>
        <c:majorTickMark val="out"/>
        <c:minorTickMark val="none"/>
        <c:tickLblPos val="nextTo"/>
        <c:crossAx val="220946816"/>
        <c:crossesAt val="-80"/>
        <c:crossBetween val="midCat"/>
      </c:valAx>
      <c:valAx>
        <c:axId val="220946816"/>
        <c:scaling>
          <c:orientation val="minMax"/>
          <c:max val="80"/>
          <c:min val="-80"/>
        </c:scaling>
        <c:delete val="0"/>
        <c:axPos val="l"/>
        <c:majorGridlines/>
        <c:title>
          <c:tx>
            <c:rich>
              <a:bodyPr rot="-5400000" vert="horz"/>
              <a:lstStyle/>
              <a:p>
                <a:pPr>
                  <a:defRPr/>
                </a:pPr>
                <a:r>
                  <a:rPr lang="en-US"/>
                  <a:t>Loop Gain (dB)</a:t>
                </a:r>
              </a:p>
            </c:rich>
          </c:tx>
          <c:layout/>
          <c:overlay val="0"/>
        </c:title>
        <c:numFmt formatCode="0.00" sourceLinked="1"/>
        <c:majorTickMark val="out"/>
        <c:minorTickMark val="none"/>
        <c:tickLblPos val="nextTo"/>
        <c:crossAx val="220940544"/>
        <c:crosses val="autoZero"/>
        <c:crossBetween val="midCat"/>
      </c:valAx>
      <c:valAx>
        <c:axId val="220948736"/>
        <c:scaling>
          <c:orientation val="minMax"/>
          <c:max val="180"/>
          <c:min val="-180"/>
        </c:scaling>
        <c:delete val="0"/>
        <c:axPos val="r"/>
        <c:majorGridlines/>
        <c:title>
          <c:tx>
            <c:rich>
              <a:bodyPr rot="-5400000" vert="horz"/>
              <a:lstStyle/>
              <a:p>
                <a:pPr>
                  <a:defRPr/>
                </a:pPr>
                <a:r>
                  <a:rPr lang="en-US"/>
                  <a:t>Loop Phase (°)</a:t>
                </a:r>
              </a:p>
            </c:rich>
          </c:tx>
          <c:layout/>
          <c:overlay val="0"/>
        </c:title>
        <c:numFmt formatCode="General" sourceLinked="1"/>
        <c:majorTickMark val="out"/>
        <c:minorTickMark val="none"/>
        <c:tickLblPos val="nextTo"/>
        <c:crossAx val="220950912"/>
        <c:crosses val="max"/>
        <c:crossBetween val="midCat"/>
        <c:majorUnit val="45"/>
      </c:valAx>
      <c:valAx>
        <c:axId val="220950912"/>
        <c:scaling>
          <c:logBase val="10"/>
          <c:orientation val="minMax"/>
        </c:scaling>
        <c:delete val="1"/>
        <c:axPos val="b"/>
        <c:numFmt formatCode="#,##0.0" sourceLinked="1"/>
        <c:majorTickMark val="out"/>
        <c:minorTickMark val="none"/>
        <c:tickLblPos val="nextTo"/>
        <c:crossAx val="220948736"/>
        <c:crosses val="autoZero"/>
        <c:crossBetween val="midCat"/>
      </c:valAx>
    </c:plotArea>
    <c:legend>
      <c:legendPos val="r"/>
      <c:layout/>
      <c:overlay val="0"/>
    </c:legend>
    <c:plotVisOnly val="1"/>
    <c:dispBlanksAs val="gap"/>
    <c:showDLblsOverMax val="0"/>
  </c:chart>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Loop Gain</c:v>
          </c:tx>
          <c:spPr>
            <a:ln>
              <a:solidFill>
                <a:schemeClr val="tx1"/>
              </a:solidFill>
            </a:ln>
          </c:spPr>
          <c:marker>
            <c:symbol val="none"/>
          </c:marker>
          <c:xVal>
            <c:numRef>
              <c:f>loop_gain!$A$113:$A$203</c:f>
              <c:numCache>
                <c:formatCode>#,##0.0</c:formatCode>
                <c:ptCount val="91"/>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150</c:v>
                </c:pt>
                <c:pt idx="20">
                  <c:v>200</c:v>
                </c:pt>
                <c:pt idx="21">
                  <c:v>250</c:v>
                </c:pt>
                <c:pt idx="22">
                  <c:v>300</c:v>
                </c:pt>
                <c:pt idx="23">
                  <c:v>350</c:v>
                </c:pt>
                <c:pt idx="24">
                  <c:v>400</c:v>
                </c:pt>
                <c:pt idx="25">
                  <c:v>450</c:v>
                </c:pt>
                <c:pt idx="26">
                  <c:v>500</c:v>
                </c:pt>
                <c:pt idx="27">
                  <c:v>550</c:v>
                </c:pt>
                <c:pt idx="28">
                  <c:v>600</c:v>
                </c:pt>
                <c:pt idx="29">
                  <c:v>650</c:v>
                </c:pt>
                <c:pt idx="30">
                  <c:v>700</c:v>
                </c:pt>
                <c:pt idx="31">
                  <c:v>750</c:v>
                </c:pt>
                <c:pt idx="32">
                  <c:v>800</c:v>
                </c:pt>
                <c:pt idx="33">
                  <c:v>850</c:v>
                </c:pt>
                <c:pt idx="34">
                  <c:v>900</c:v>
                </c:pt>
                <c:pt idx="35">
                  <c:v>950</c:v>
                </c:pt>
                <c:pt idx="36">
                  <c:v>1000</c:v>
                </c:pt>
                <c:pt idx="37">
                  <c:v>1500</c:v>
                </c:pt>
                <c:pt idx="38">
                  <c:v>2000</c:v>
                </c:pt>
                <c:pt idx="39">
                  <c:v>2500</c:v>
                </c:pt>
                <c:pt idx="40">
                  <c:v>3000</c:v>
                </c:pt>
                <c:pt idx="41">
                  <c:v>3500</c:v>
                </c:pt>
                <c:pt idx="42">
                  <c:v>4000</c:v>
                </c:pt>
                <c:pt idx="43">
                  <c:v>4500</c:v>
                </c:pt>
                <c:pt idx="44">
                  <c:v>5000</c:v>
                </c:pt>
                <c:pt idx="45">
                  <c:v>5500</c:v>
                </c:pt>
                <c:pt idx="46">
                  <c:v>6000</c:v>
                </c:pt>
                <c:pt idx="47">
                  <c:v>6500</c:v>
                </c:pt>
                <c:pt idx="48">
                  <c:v>7000</c:v>
                </c:pt>
                <c:pt idx="49">
                  <c:v>7500</c:v>
                </c:pt>
                <c:pt idx="50">
                  <c:v>8000</c:v>
                </c:pt>
                <c:pt idx="51">
                  <c:v>8500</c:v>
                </c:pt>
                <c:pt idx="52">
                  <c:v>9000</c:v>
                </c:pt>
                <c:pt idx="53">
                  <c:v>9500</c:v>
                </c:pt>
                <c:pt idx="54">
                  <c:v>10000</c:v>
                </c:pt>
                <c:pt idx="55">
                  <c:v>15000</c:v>
                </c:pt>
                <c:pt idx="56">
                  <c:v>20000</c:v>
                </c:pt>
                <c:pt idx="57">
                  <c:v>25000</c:v>
                </c:pt>
                <c:pt idx="58">
                  <c:v>30000</c:v>
                </c:pt>
                <c:pt idx="59">
                  <c:v>35000</c:v>
                </c:pt>
                <c:pt idx="60">
                  <c:v>40000</c:v>
                </c:pt>
                <c:pt idx="61">
                  <c:v>45000</c:v>
                </c:pt>
                <c:pt idx="62">
                  <c:v>50000</c:v>
                </c:pt>
                <c:pt idx="63">
                  <c:v>55000</c:v>
                </c:pt>
                <c:pt idx="64">
                  <c:v>60000</c:v>
                </c:pt>
                <c:pt idx="65">
                  <c:v>65000</c:v>
                </c:pt>
                <c:pt idx="66">
                  <c:v>70000</c:v>
                </c:pt>
                <c:pt idx="67">
                  <c:v>75000</c:v>
                </c:pt>
                <c:pt idx="68">
                  <c:v>80000</c:v>
                </c:pt>
                <c:pt idx="69">
                  <c:v>85000</c:v>
                </c:pt>
                <c:pt idx="70">
                  <c:v>90000</c:v>
                </c:pt>
                <c:pt idx="71">
                  <c:v>95000</c:v>
                </c:pt>
                <c:pt idx="72">
                  <c:v>100000</c:v>
                </c:pt>
                <c:pt idx="73">
                  <c:v>150000</c:v>
                </c:pt>
                <c:pt idx="74">
                  <c:v>200000</c:v>
                </c:pt>
                <c:pt idx="75">
                  <c:v>250000</c:v>
                </c:pt>
                <c:pt idx="76">
                  <c:v>300000</c:v>
                </c:pt>
                <c:pt idx="77">
                  <c:v>350000</c:v>
                </c:pt>
                <c:pt idx="78">
                  <c:v>400000</c:v>
                </c:pt>
                <c:pt idx="79">
                  <c:v>450000</c:v>
                </c:pt>
                <c:pt idx="80">
                  <c:v>500000</c:v>
                </c:pt>
                <c:pt idx="81">
                  <c:v>550000</c:v>
                </c:pt>
                <c:pt idx="82">
                  <c:v>600000</c:v>
                </c:pt>
                <c:pt idx="83">
                  <c:v>650000</c:v>
                </c:pt>
                <c:pt idx="84">
                  <c:v>700000</c:v>
                </c:pt>
                <c:pt idx="85">
                  <c:v>750000</c:v>
                </c:pt>
                <c:pt idx="86">
                  <c:v>800000</c:v>
                </c:pt>
                <c:pt idx="87">
                  <c:v>850000</c:v>
                </c:pt>
                <c:pt idx="88">
                  <c:v>900000</c:v>
                </c:pt>
                <c:pt idx="89">
                  <c:v>950000</c:v>
                </c:pt>
                <c:pt idx="90">
                  <c:v>1000000</c:v>
                </c:pt>
              </c:numCache>
            </c:numRef>
          </c:xVal>
          <c:yVal>
            <c:numRef>
              <c:f>loop_gain!$R$113:$R$203</c:f>
              <c:numCache>
                <c:formatCode>0.00</c:formatCode>
                <c:ptCount val="91"/>
                <c:pt idx="0">
                  <c:v>40.319699388151896</c:v>
                </c:pt>
                <c:pt idx="1">
                  <c:v>40.318438641613334</c:v>
                </c:pt>
                <c:pt idx="2">
                  <c:v>40.316674166769005</c:v>
                </c:pt>
                <c:pt idx="3">
                  <c:v>40.314406533166633</c:v>
                </c:pt>
                <c:pt idx="4">
                  <c:v>40.311636471995371</c:v>
                </c:pt>
                <c:pt idx="5">
                  <c:v>40.308364875274457</c:v>
                </c:pt>
                <c:pt idx="6">
                  <c:v>40.304592794865378</c:v>
                </c:pt>
                <c:pt idx="7">
                  <c:v>40.300321441309933</c:v>
                </c:pt>
                <c:pt idx="8">
                  <c:v>40.295552182496877</c:v>
                </c:pt>
                <c:pt idx="9">
                  <c:v>40.29028654216016</c:v>
                </c:pt>
                <c:pt idx="10">
                  <c:v>40.284526198212184</c:v>
                </c:pt>
                <c:pt idx="11">
                  <c:v>40.278272980916107</c:v>
                </c:pt>
                <c:pt idx="12">
                  <c:v>40.27152887090103</c:v>
                </c:pt>
                <c:pt idx="13">
                  <c:v>40.264295997024846</c:v>
                </c:pt>
                <c:pt idx="14">
                  <c:v>40.256576634089306</c:v>
                </c:pt>
                <c:pt idx="15">
                  <c:v>40.24837320041258</c:v>
                </c:pt>
                <c:pt idx="16">
                  <c:v>40.239688255264504</c:v>
                </c:pt>
                <c:pt idx="17">
                  <c:v>40.230524496170361</c:v>
                </c:pt>
                <c:pt idx="18">
                  <c:v>40.220884756088694</c:v>
                </c:pt>
                <c:pt idx="19">
                  <c:v>40.099022279001446</c:v>
                </c:pt>
                <c:pt idx="20">
                  <c:v>39.933557959782092</c:v>
                </c:pt>
                <c:pt idx="21">
                  <c:v>39.729019706108168</c:v>
                </c:pt>
                <c:pt idx="22">
                  <c:v>39.490488046913846</c:v>
                </c:pt>
                <c:pt idx="23">
                  <c:v>39.223233275512392</c:v>
                </c:pt>
                <c:pt idx="24">
                  <c:v>38.932413535868321</c:v>
                </c:pt>
                <c:pt idx="25">
                  <c:v>38.622853863649411</c:v>
                </c:pt>
                <c:pt idx="26">
                  <c:v>38.298907384593818</c:v>
                </c:pt>
                <c:pt idx="27">
                  <c:v>37.964387557471632</c:v>
                </c:pt>
                <c:pt idx="28">
                  <c:v>37.622554756041055</c:v>
                </c:pt>
                <c:pt idx="29">
                  <c:v>37.276139939333262</c:v>
                </c:pt>
                <c:pt idx="30">
                  <c:v>36.927390516073523</c:v>
                </c:pt>
                <c:pt idx="31">
                  <c:v>36.578126993928521</c:v>
                </c:pt>
                <c:pt idx="32">
                  <c:v>36.229802487558068</c:v>
                </c:pt>
                <c:pt idx="33">
                  <c:v>35.883560085909309</c:v>
                </c:pt>
                <c:pt idx="34">
                  <c:v>35.540285282369723</c:v>
                </c:pt>
                <c:pt idx="35">
                  <c:v>35.200652195890001</c:v>
                </c:pt>
                <c:pt idx="36">
                  <c:v>34.865163287827258</c:v>
                </c:pt>
                <c:pt idx="37">
                  <c:v>31.778469641964275</c:v>
                </c:pt>
                <c:pt idx="38">
                  <c:v>29.159452528053357</c:v>
                </c:pt>
                <c:pt idx="39">
                  <c:v>26.916969749319431</c:v>
                </c:pt>
                <c:pt idx="40">
                  <c:v>24.973402481701299</c:v>
                </c:pt>
                <c:pt idx="41">
                  <c:v>23.2729156518465</c:v>
                </c:pt>
                <c:pt idx="42">
                  <c:v>21.773621266454033</c:v>
                </c:pt>
                <c:pt idx="43">
                  <c:v>20.442574078096658</c:v>
                </c:pt>
                <c:pt idx="44">
                  <c:v>19.253145877184643</c:v>
                </c:pt>
                <c:pt idx="45">
                  <c:v>18.183536140435489</c:v>
                </c:pt>
                <c:pt idx="46">
                  <c:v>17.215793035943186</c:v>
                </c:pt>
                <c:pt idx="47">
                  <c:v>16.335087220046841</c:v>
                </c:pt>
                <c:pt idx="48">
                  <c:v>15.529136828500162</c:v>
                </c:pt>
                <c:pt idx="49">
                  <c:v>14.787740563129136</c:v>
                </c:pt>
                <c:pt idx="50">
                  <c:v>14.102396391683884</c:v>
                </c:pt>
                <c:pt idx="51">
                  <c:v>13.46599065722598</c:v>
                </c:pt>
                <c:pt idx="52">
                  <c:v>12.872545419905975</c:v>
                </c:pt>
                <c:pt idx="53">
                  <c:v>12.317013684128513</c:v>
                </c:pt>
                <c:pt idx="54">
                  <c:v>11.795113687594785</c:v>
                </c:pt>
                <c:pt idx="55">
                  <c:v>7.8245571906128291</c:v>
                </c:pt>
                <c:pt idx="56">
                  <c:v>5.1311362964102658</c:v>
                </c:pt>
                <c:pt idx="57">
                  <c:v>3.080991334141383</c:v>
                </c:pt>
                <c:pt idx="58">
                  <c:v>1.4167197449353777</c:v>
                </c:pt>
                <c:pt idx="59">
                  <c:v>9.1522901035454018E-3</c:v>
                </c:pt>
                <c:pt idx="60">
                  <c:v>-1.2158374699270285</c:v>
                </c:pt>
                <c:pt idx="61">
                  <c:v>-2.3048532193638063</c:v>
                </c:pt>
                <c:pt idx="62">
                  <c:v>-3.2891909839142475</c:v>
                </c:pt>
                <c:pt idx="63">
                  <c:v>-4.1909422142890138</c:v>
                </c:pt>
                <c:pt idx="64">
                  <c:v>-5.0263238079450909</c:v>
                </c:pt>
                <c:pt idx="65">
                  <c:v>-5.8076224854390359</c:v>
                </c:pt>
                <c:pt idx="66">
                  <c:v>-6.5443925509887055</c:v>
                </c:pt>
                <c:pt idx="67">
                  <c:v>-7.2442262629924006</c:v>
                </c:pt>
                <c:pt idx="68">
                  <c:v>-7.9132671096486833</c:v>
                </c:pt>
                <c:pt idx="69">
                  <c:v>-8.5565619092712311</c:v>
                </c:pt>
                <c:pt idx="70">
                  <c:v>-9.1783082995459679</c:v>
                </c:pt>
                <c:pt idx="71">
                  <c:v>-9.782032316397089</c:v>
                </c:pt>
                <c:pt idx="72">
                  <c:v>-10.370718101038683</c:v>
                </c:pt>
                <c:pt idx="73">
                  <c:v>-15.839211743097694</c:v>
                </c:pt>
                <c:pt idx="74">
                  <c:v>-21.08735042595475</c:v>
                </c:pt>
                <c:pt idx="75">
                  <c:v>-26.16488287785516</c:v>
                </c:pt>
                <c:pt idx="76">
                  <c:v>-30.905699634199937</c:v>
                </c:pt>
                <c:pt idx="77">
                  <c:v>-35.234381640432105</c:v>
                </c:pt>
                <c:pt idx="78">
                  <c:v>-39.158155845354706</c:v>
                </c:pt>
                <c:pt idx="79">
                  <c:v>-42.717944799999792</c:v>
                </c:pt>
                <c:pt idx="80">
                  <c:v>-45.961769494260629</c:v>
                </c:pt>
                <c:pt idx="81">
                  <c:v>-48.934584907015953</c:v>
                </c:pt>
                <c:pt idx="82">
                  <c:v>-51.675365882447338</c:v>
                </c:pt>
                <c:pt idx="83">
                  <c:v>-54.216905696999575</c:v>
                </c:pt>
                <c:pt idx="84">
                  <c:v>-56.586492610404655</c:v>
                </c:pt>
                <c:pt idx="85">
                  <c:v>-58.806777166655564</c:v>
                </c:pt>
                <c:pt idx="86">
                  <c:v>-60.896591619568284</c:v>
                </c:pt>
                <c:pt idx="87">
                  <c:v>-62.871652698085882</c:v>
                </c:pt>
                <c:pt idx="88">
                  <c:v>-64.745140791496127</c:v>
                </c:pt>
                <c:pt idx="89">
                  <c:v>-66.52816904393967</c:v>
                </c:pt>
                <c:pt idx="90">
                  <c:v>-68.230160612889691</c:v>
                </c:pt>
              </c:numCache>
            </c:numRef>
          </c:yVal>
          <c:smooth val="1"/>
        </c:ser>
        <c:dLbls>
          <c:showLegendKey val="0"/>
          <c:showVal val="0"/>
          <c:showCatName val="0"/>
          <c:showSerName val="0"/>
          <c:showPercent val="0"/>
          <c:showBubbleSize val="0"/>
        </c:dLbls>
        <c:axId val="221447296"/>
        <c:axId val="221449216"/>
      </c:scatterChart>
      <c:scatterChart>
        <c:scatterStyle val="smoothMarker"/>
        <c:varyColors val="0"/>
        <c:ser>
          <c:idx val="1"/>
          <c:order val="1"/>
          <c:tx>
            <c:v>Phase</c:v>
          </c:tx>
          <c:spPr>
            <a:ln>
              <a:solidFill>
                <a:schemeClr val="tx1"/>
              </a:solidFill>
              <a:prstDash val="sysDot"/>
            </a:ln>
          </c:spPr>
          <c:marker>
            <c:symbol val="none"/>
          </c:marker>
          <c:xVal>
            <c:numRef>
              <c:f>loop_gain!$A$113:$A$203</c:f>
              <c:numCache>
                <c:formatCode>#,##0.0</c:formatCode>
                <c:ptCount val="91"/>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150</c:v>
                </c:pt>
                <c:pt idx="20">
                  <c:v>200</c:v>
                </c:pt>
                <c:pt idx="21">
                  <c:v>250</c:v>
                </c:pt>
                <c:pt idx="22">
                  <c:v>300</c:v>
                </c:pt>
                <c:pt idx="23">
                  <c:v>350</c:v>
                </c:pt>
                <c:pt idx="24">
                  <c:v>400</c:v>
                </c:pt>
                <c:pt idx="25">
                  <c:v>450</c:v>
                </c:pt>
                <c:pt idx="26">
                  <c:v>500</c:v>
                </c:pt>
                <c:pt idx="27">
                  <c:v>550</c:v>
                </c:pt>
                <c:pt idx="28">
                  <c:v>600</c:v>
                </c:pt>
                <c:pt idx="29">
                  <c:v>650</c:v>
                </c:pt>
                <c:pt idx="30">
                  <c:v>700</c:v>
                </c:pt>
                <c:pt idx="31">
                  <c:v>750</c:v>
                </c:pt>
                <c:pt idx="32">
                  <c:v>800</c:v>
                </c:pt>
                <c:pt idx="33">
                  <c:v>850</c:v>
                </c:pt>
                <c:pt idx="34">
                  <c:v>900</c:v>
                </c:pt>
                <c:pt idx="35">
                  <c:v>950</c:v>
                </c:pt>
                <c:pt idx="36">
                  <c:v>1000</c:v>
                </c:pt>
                <c:pt idx="37">
                  <c:v>1500</c:v>
                </c:pt>
                <c:pt idx="38">
                  <c:v>2000</c:v>
                </c:pt>
                <c:pt idx="39">
                  <c:v>2500</c:v>
                </c:pt>
                <c:pt idx="40">
                  <c:v>3000</c:v>
                </c:pt>
                <c:pt idx="41">
                  <c:v>3500</c:v>
                </c:pt>
                <c:pt idx="42">
                  <c:v>4000</c:v>
                </c:pt>
                <c:pt idx="43">
                  <c:v>4500</c:v>
                </c:pt>
                <c:pt idx="44">
                  <c:v>5000</c:v>
                </c:pt>
                <c:pt idx="45">
                  <c:v>5500</c:v>
                </c:pt>
                <c:pt idx="46">
                  <c:v>6000</c:v>
                </c:pt>
                <c:pt idx="47">
                  <c:v>6500</c:v>
                </c:pt>
                <c:pt idx="48">
                  <c:v>7000</c:v>
                </c:pt>
                <c:pt idx="49">
                  <c:v>7500</c:v>
                </c:pt>
                <c:pt idx="50">
                  <c:v>8000</c:v>
                </c:pt>
                <c:pt idx="51">
                  <c:v>8500</c:v>
                </c:pt>
                <c:pt idx="52">
                  <c:v>9000</c:v>
                </c:pt>
                <c:pt idx="53">
                  <c:v>9500</c:v>
                </c:pt>
                <c:pt idx="54">
                  <c:v>10000</c:v>
                </c:pt>
                <c:pt idx="55">
                  <c:v>15000</c:v>
                </c:pt>
                <c:pt idx="56">
                  <c:v>20000</c:v>
                </c:pt>
                <c:pt idx="57">
                  <c:v>25000</c:v>
                </c:pt>
                <c:pt idx="58">
                  <c:v>30000</c:v>
                </c:pt>
                <c:pt idx="59">
                  <c:v>35000</c:v>
                </c:pt>
                <c:pt idx="60">
                  <c:v>40000</c:v>
                </c:pt>
                <c:pt idx="61">
                  <c:v>45000</c:v>
                </c:pt>
                <c:pt idx="62">
                  <c:v>50000</c:v>
                </c:pt>
                <c:pt idx="63">
                  <c:v>55000</c:v>
                </c:pt>
                <c:pt idx="64">
                  <c:v>60000</c:v>
                </c:pt>
                <c:pt idx="65">
                  <c:v>65000</c:v>
                </c:pt>
                <c:pt idx="66">
                  <c:v>70000</c:v>
                </c:pt>
                <c:pt idx="67">
                  <c:v>75000</c:v>
                </c:pt>
                <c:pt idx="68">
                  <c:v>80000</c:v>
                </c:pt>
                <c:pt idx="69">
                  <c:v>85000</c:v>
                </c:pt>
                <c:pt idx="70">
                  <c:v>90000</c:v>
                </c:pt>
                <c:pt idx="71">
                  <c:v>95000</c:v>
                </c:pt>
                <c:pt idx="72">
                  <c:v>100000</c:v>
                </c:pt>
                <c:pt idx="73">
                  <c:v>150000</c:v>
                </c:pt>
                <c:pt idx="74">
                  <c:v>200000</c:v>
                </c:pt>
                <c:pt idx="75">
                  <c:v>250000</c:v>
                </c:pt>
                <c:pt idx="76">
                  <c:v>300000</c:v>
                </c:pt>
                <c:pt idx="77">
                  <c:v>350000</c:v>
                </c:pt>
                <c:pt idx="78">
                  <c:v>400000</c:v>
                </c:pt>
                <c:pt idx="79">
                  <c:v>450000</c:v>
                </c:pt>
                <c:pt idx="80">
                  <c:v>500000</c:v>
                </c:pt>
                <c:pt idx="81">
                  <c:v>550000</c:v>
                </c:pt>
                <c:pt idx="82">
                  <c:v>600000</c:v>
                </c:pt>
                <c:pt idx="83">
                  <c:v>650000</c:v>
                </c:pt>
                <c:pt idx="84">
                  <c:v>700000</c:v>
                </c:pt>
                <c:pt idx="85">
                  <c:v>750000</c:v>
                </c:pt>
                <c:pt idx="86">
                  <c:v>800000</c:v>
                </c:pt>
                <c:pt idx="87">
                  <c:v>850000</c:v>
                </c:pt>
                <c:pt idx="88">
                  <c:v>900000</c:v>
                </c:pt>
                <c:pt idx="89">
                  <c:v>950000</c:v>
                </c:pt>
                <c:pt idx="90">
                  <c:v>1000000</c:v>
                </c:pt>
              </c:numCache>
            </c:numRef>
          </c:xVal>
          <c:yVal>
            <c:numRef>
              <c:f>loop_gain!$AD$113:$AD$203</c:f>
              <c:numCache>
                <c:formatCode>General</c:formatCode>
                <c:ptCount val="91"/>
                <c:pt idx="0">
                  <c:v>-0.96045611355784333</c:v>
                </c:pt>
                <c:pt idx="1">
                  <c:v>-1.4405633011184251</c:v>
                </c:pt>
                <c:pt idx="2">
                  <c:v>-1.9205255354135915</c:v>
                </c:pt>
                <c:pt idx="3">
                  <c:v>-2.4002946481882108</c:v>
                </c:pt>
                <c:pt idx="4">
                  <c:v>-2.8798225990085871</c:v>
                </c:pt>
                <c:pt idx="5">
                  <c:v>-3.3590615068172136</c:v>
                </c:pt>
                <c:pt idx="6">
                  <c:v>-3.8379636812222899</c:v>
                </c:pt>
                <c:pt idx="7">
                  <c:v>-4.3164816534707775</c:v>
                </c:pt>
                <c:pt idx="8">
                  <c:v>-4.7945682070547413</c:v>
                </c:pt>
                <c:pt idx="9">
                  <c:v>-5.2721764079018607</c:v>
                </c:pt>
                <c:pt idx="10">
                  <c:v>-5.7492596341022582</c:v>
                </c:pt>
                <c:pt idx="11">
                  <c:v>-6.225771605125221</c:v>
                </c:pt>
                <c:pt idx="12">
                  <c:v>-6.7016664104809145</c:v>
                </c:pt>
                <c:pt idx="13">
                  <c:v>-7.176898537783881</c:v>
                </c:pt>
                <c:pt idx="14">
                  <c:v>-7.651422900176863</c:v>
                </c:pt>
                <c:pt idx="15">
                  <c:v>-8.1251948630754462</c:v>
                </c:pt>
                <c:pt idx="16">
                  <c:v>-8.5981702701959435</c:v>
                </c:pt>
                <c:pt idx="17">
                  <c:v>-9.0703054688310552</c:v>
                </c:pt>
                <c:pt idx="18">
                  <c:v>-9.5415573343400126</c:v>
                </c:pt>
                <c:pt idx="19">
                  <c:v>-14.196427586407301</c:v>
                </c:pt>
                <c:pt idx="20">
                  <c:v>-18.720243834919597</c:v>
                </c:pt>
                <c:pt idx="21">
                  <c:v>-23.081425500148214</c:v>
                </c:pt>
                <c:pt idx="22">
                  <c:v>-27.256547469652816</c:v>
                </c:pt>
                <c:pt idx="23">
                  <c:v>-31.230263037054723</c:v>
                </c:pt>
                <c:pt idx="24">
                  <c:v>-34.994559195909275</c:v>
                </c:pt>
                <c:pt idx="25">
                  <c:v>-38.54760762613094</c:v>
                </c:pt>
                <c:pt idx="26">
                  <c:v>-41.892455892650318</c:v>
                </c:pt>
                <c:pt idx="27">
                  <c:v>-45.035744054022246</c:v>
                </c:pt>
                <c:pt idx="28">
                  <c:v>-47.986562054001034</c:v>
                </c:pt>
                <c:pt idx="29">
                  <c:v>-50.755502406869724</c:v>
                </c:pt>
                <c:pt idx="30">
                  <c:v>-53.353918904410143</c:v>
                </c:pt>
                <c:pt idx="31">
                  <c:v>-55.793375592327706</c:v>
                </c:pt>
                <c:pt idx="32">
                  <c:v>-58.085257484748908</c:v>
                </c:pt>
                <c:pt idx="33">
                  <c:v>-60.240510903013707</c:v>
                </c:pt>
                <c:pt idx="34">
                  <c:v>-62.26948304421169</c:v>
                </c:pt>
                <c:pt idx="35">
                  <c:v>-64.181834608682223</c:v>
                </c:pt>
                <c:pt idx="36">
                  <c:v>-65.986504291947838</c:v>
                </c:pt>
                <c:pt idx="37">
                  <c:v>-79.606271015268703</c:v>
                </c:pt>
                <c:pt idx="38">
                  <c:v>-88.140763286724223</c:v>
                </c:pt>
                <c:pt idx="39">
                  <c:v>-93.819210205684143</c:v>
                </c:pt>
                <c:pt idx="40">
                  <c:v>-97.700344664159417</c:v>
                </c:pt>
                <c:pt idx="41">
                  <c:v>-100.38225399739181</c:v>
                </c:pt>
                <c:pt idx="42">
                  <c:v>-102.24234418149095</c:v>
                </c:pt>
                <c:pt idx="43">
                  <c:v>-103.53277154254975</c:v>
                </c:pt>
                <c:pt idx="44">
                  <c:v>-104.42671412383926</c:v>
                </c:pt>
                <c:pt idx="45">
                  <c:v>-105.04474018886815</c:v>
                </c:pt>
                <c:pt idx="46">
                  <c:v>-105.47141637781792</c:v>
                </c:pt>
                <c:pt idx="47">
                  <c:v>-105.76633178050902</c:v>
                </c:pt>
                <c:pt idx="48">
                  <c:v>-105.97160718202531</c:v>
                </c:pt>
                <c:pt idx="49">
                  <c:v>-106.11707821555953</c:v>
                </c:pt>
                <c:pt idx="50">
                  <c:v>-106.22390076869915</c:v>
                </c:pt>
                <c:pt idx="51">
                  <c:v>-106.30707287338747</c:v>
                </c:pt>
                <c:pt idx="52">
                  <c:v>-106.37720715983403</c:v>
                </c:pt>
                <c:pt idx="53">
                  <c:v>-106.44178229207103</c:v>
                </c:pt>
                <c:pt idx="54">
                  <c:v>-106.50603055344931</c:v>
                </c:pt>
                <c:pt idx="55">
                  <c:v>-107.54262681456615</c:v>
                </c:pt>
                <c:pt idx="56">
                  <c:v>-109.38497962241655</c:v>
                </c:pt>
                <c:pt idx="57">
                  <c:v>-111.75227172570361</c:v>
                </c:pt>
                <c:pt idx="58">
                  <c:v>-114.43402321957028</c:v>
                </c:pt>
                <c:pt idx="59">
                  <c:v>-117.31304897309469</c:v>
                </c:pt>
                <c:pt idx="60">
                  <c:v>-120.32280230149799</c:v>
                </c:pt>
                <c:pt idx="61">
                  <c:v>-123.42343592460567</c:v>
                </c:pt>
                <c:pt idx="62">
                  <c:v>-126.58975746823123</c:v>
                </c:pt>
                <c:pt idx="63">
                  <c:v>-129.8049975082522</c:v>
                </c:pt>
                <c:pt idx="64">
                  <c:v>-133.05742311799</c:v>
                </c:pt>
                <c:pt idx="65">
                  <c:v>-136.33840462472585</c:v>
                </c:pt>
                <c:pt idx="66">
                  <c:v>-139.64126147279009</c:v>
                </c:pt>
                <c:pt idx="67">
                  <c:v>-142.96054598110339</c:v>
                </c:pt>
                <c:pt idx="68">
                  <c:v>-146.29158445114251</c:v>
                </c:pt>
                <c:pt idx="69">
                  <c:v>-149.63017612547978</c:v>
                </c:pt>
                <c:pt idx="70">
                  <c:v>-152.97239311870618</c:v>
                </c:pt>
                <c:pt idx="71">
                  <c:v>-156.31444770347079</c:v>
                </c:pt>
                <c:pt idx="72">
                  <c:v>-159.6526064301253</c:v>
                </c:pt>
                <c:pt idx="73">
                  <c:v>-191.99246362180889</c:v>
                </c:pt>
                <c:pt idx="74">
                  <c:v>-220.11776414692972</c:v>
                </c:pt>
                <c:pt idx="75">
                  <c:v>-242.44221651268694</c:v>
                </c:pt>
                <c:pt idx="76">
                  <c:v>-259.54002327037966</c:v>
                </c:pt>
                <c:pt idx="77">
                  <c:v>-272.71106593302494</c:v>
                </c:pt>
                <c:pt idx="78">
                  <c:v>-283.09995617533565</c:v>
                </c:pt>
                <c:pt idx="79">
                  <c:v>-291.52805871033843</c:v>
                </c:pt>
                <c:pt idx="80">
                  <c:v>-298.55395065934061</c:v>
                </c:pt>
                <c:pt idx="81">
                  <c:v>-304.55580857544669</c:v>
                </c:pt>
                <c:pt idx="82">
                  <c:v>-309.79278211493164</c:v>
                </c:pt>
                <c:pt idx="83">
                  <c:v>-314.44549104599531</c:v>
                </c:pt>
                <c:pt idx="84">
                  <c:v>-318.64206789989225</c:v>
                </c:pt>
                <c:pt idx="85">
                  <c:v>-322.47497977348399</c:v>
                </c:pt>
                <c:pt idx="86">
                  <c:v>-326.01205251841492</c:v>
                </c:pt>
                <c:pt idx="87">
                  <c:v>-329.30381996228579</c:v>
                </c:pt>
                <c:pt idx="88">
                  <c:v>-332.3885064314855</c:v>
                </c:pt>
                <c:pt idx="89">
                  <c:v>-335.29545778123253</c:v>
                </c:pt>
                <c:pt idx="90">
                  <c:v>-338.04753757221596</c:v>
                </c:pt>
              </c:numCache>
            </c:numRef>
          </c:yVal>
          <c:smooth val="1"/>
        </c:ser>
        <c:dLbls>
          <c:showLegendKey val="0"/>
          <c:showVal val="0"/>
          <c:showCatName val="0"/>
          <c:showSerName val="0"/>
          <c:showPercent val="0"/>
          <c:showBubbleSize val="0"/>
        </c:dLbls>
        <c:axId val="221453312"/>
        <c:axId val="221451392"/>
      </c:scatterChart>
      <c:valAx>
        <c:axId val="221447296"/>
        <c:scaling>
          <c:logBase val="10"/>
          <c:orientation val="minMax"/>
        </c:scaling>
        <c:delete val="0"/>
        <c:axPos val="b"/>
        <c:majorGridlines/>
        <c:minorGridlines/>
        <c:title>
          <c:tx>
            <c:rich>
              <a:bodyPr/>
              <a:lstStyle/>
              <a:p>
                <a:pPr>
                  <a:defRPr/>
                </a:pPr>
                <a:r>
                  <a:rPr lang="en-US"/>
                  <a:t>Frequency (Hz)</a:t>
                </a:r>
              </a:p>
            </c:rich>
          </c:tx>
          <c:overlay val="0"/>
        </c:title>
        <c:numFmt formatCode="#,##0.0" sourceLinked="1"/>
        <c:majorTickMark val="out"/>
        <c:minorTickMark val="none"/>
        <c:tickLblPos val="nextTo"/>
        <c:crossAx val="221449216"/>
        <c:crossesAt val="-80"/>
        <c:crossBetween val="midCat"/>
      </c:valAx>
      <c:valAx>
        <c:axId val="221449216"/>
        <c:scaling>
          <c:orientation val="minMax"/>
          <c:max val="80"/>
          <c:min val="-80"/>
        </c:scaling>
        <c:delete val="0"/>
        <c:axPos val="l"/>
        <c:majorGridlines/>
        <c:title>
          <c:tx>
            <c:rich>
              <a:bodyPr rot="-5400000" vert="horz"/>
              <a:lstStyle/>
              <a:p>
                <a:pPr>
                  <a:defRPr/>
                </a:pPr>
                <a:r>
                  <a:rPr lang="en-US"/>
                  <a:t>Loop Gain (dB)</a:t>
                </a:r>
              </a:p>
            </c:rich>
          </c:tx>
          <c:overlay val="0"/>
        </c:title>
        <c:numFmt formatCode="0.00" sourceLinked="1"/>
        <c:majorTickMark val="out"/>
        <c:minorTickMark val="none"/>
        <c:tickLblPos val="nextTo"/>
        <c:crossAx val="221447296"/>
        <c:crosses val="autoZero"/>
        <c:crossBetween val="midCat"/>
      </c:valAx>
      <c:valAx>
        <c:axId val="221451392"/>
        <c:scaling>
          <c:orientation val="minMax"/>
          <c:max val="180"/>
          <c:min val="-180"/>
        </c:scaling>
        <c:delete val="0"/>
        <c:axPos val="r"/>
        <c:majorGridlines/>
        <c:title>
          <c:tx>
            <c:rich>
              <a:bodyPr rot="-5400000" vert="horz"/>
              <a:lstStyle/>
              <a:p>
                <a:pPr>
                  <a:defRPr/>
                </a:pPr>
                <a:r>
                  <a:rPr lang="en-US"/>
                  <a:t>Loop Phase (°)</a:t>
                </a:r>
              </a:p>
            </c:rich>
          </c:tx>
          <c:overlay val="0"/>
        </c:title>
        <c:numFmt formatCode="General" sourceLinked="1"/>
        <c:majorTickMark val="out"/>
        <c:minorTickMark val="none"/>
        <c:tickLblPos val="nextTo"/>
        <c:crossAx val="221453312"/>
        <c:crosses val="max"/>
        <c:crossBetween val="midCat"/>
        <c:majorUnit val="45"/>
      </c:valAx>
      <c:valAx>
        <c:axId val="221453312"/>
        <c:scaling>
          <c:logBase val="10"/>
          <c:orientation val="minMax"/>
        </c:scaling>
        <c:delete val="1"/>
        <c:axPos val="b"/>
        <c:numFmt formatCode="#,##0.0" sourceLinked="1"/>
        <c:majorTickMark val="out"/>
        <c:minorTickMark val="none"/>
        <c:tickLblPos val="nextTo"/>
        <c:crossAx val="221451392"/>
        <c:crosses val="autoZero"/>
        <c:crossBetween val="midCat"/>
      </c:valAx>
    </c:plotArea>
    <c:legend>
      <c:legendPos val="r"/>
      <c:overlay val="0"/>
    </c:legend>
    <c:plotVisOnly val="1"/>
    <c:dispBlanksAs val="gap"/>
    <c:showDLblsOverMax val="0"/>
  </c:chart>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xVal>
            <c:numRef>
              <c:f>Current_limit!$N$23:$N$641</c:f>
              <c:numCache>
                <c:formatCode>0.000</c:formatCode>
                <c:ptCount val="619"/>
                <c:pt idx="0">
                  <c:v>0.1</c:v>
                </c:pt>
                <c:pt idx="1">
                  <c:v>0.2</c:v>
                </c:pt>
                <c:pt idx="2">
                  <c:v>0.30000000000000004</c:v>
                </c:pt>
                <c:pt idx="3">
                  <c:v>0.4</c:v>
                </c:pt>
                <c:pt idx="4">
                  <c:v>0.5</c:v>
                </c:pt>
                <c:pt idx="5">
                  <c:v>0.6</c:v>
                </c:pt>
                <c:pt idx="6">
                  <c:v>0.7</c:v>
                </c:pt>
                <c:pt idx="7">
                  <c:v>0.79999999999999993</c:v>
                </c:pt>
                <c:pt idx="8">
                  <c:v>0.89999999999999991</c:v>
                </c:pt>
                <c:pt idx="9">
                  <c:v>0.90999999999999992</c:v>
                </c:pt>
                <c:pt idx="10">
                  <c:v>0.91999999999999993</c:v>
                </c:pt>
                <c:pt idx="11">
                  <c:v>0.92999999999999994</c:v>
                </c:pt>
                <c:pt idx="12">
                  <c:v>0.94</c:v>
                </c:pt>
                <c:pt idx="13">
                  <c:v>0.95</c:v>
                </c:pt>
                <c:pt idx="14">
                  <c:v>0.96</c:v>
                </c:pt>
                <c:pt idx="15">
                  <c:v>0.97</c:v>
                </c:pt>
                <c:pt idx="16">
                  <c:v>0.98</c:v>
                </c:pt>
                <c:pt idx="17">
                  <c:v>0.99</c:v>
                </c:pt>
                <c:pt idx="18">
                  <c:v>1</c:v>
                </c:pt>
                <c:pt idx="19">
                  <c:v>1.01</c:v>
                </c:pt>
                <c:pt idx="20">
                  <c:v>1.02</c:v>
                </c:pt>
                <c:pt idx="21">
                  <c:v>1.03</c:v>
                </c:pt>
                <c:pt idx="22">
                  <c:v>1.04</c:v>
                </c:pt>
                <c:pt idx="23">
                  <c:v>1.05</c:v>
                </c:pt>
                <c:pt idx="24">
                  <c:v>1.06</c:v>
                </c:pt>
                <c:pt idx="25">
                  <c:v>1.07</c:v>
                </c:pt>
                <c:pt idx="26">
                  <c:v>1.08</c:v>
                </c:pt>
                <c:pt idx="27">
                  <c:v>1.0900000000000001</c:v>
                </c:pt>
                <c:pt idx="28">
                  <c:v>1.1000000000000001</c:v>
                </c:pt>
                <c:pt idx="29">
                  <c:v>1.1100000000000001</c:v>
                </c:pt>
                <c:pt idx="30">
                  <c:v>1.1200000000000001</c:v>
                </c:pt>
                <c:pt idx="31">
                  <c:v>1.1300000000000001</c:v>
                </c:pt>
                <c:pt idx="32">
                  <c:v>1.1400000000000001</c:v>
                </c:pt>
                <c:pt idx="33">
                  <c:v>1.1500000000000001</c:v>
                </c:pt>
                <c:pt idx="34">
                  <c:v>1.1600000000000001</c:v>
                </c:pt>
                <c:pt idx="35">
                  <c:v>1.1700000000000002</c:v>
                </c:pt>
                <c:pt idx="36">
                  <c:v>1.1800000000000002</c:v>
                </c:pt>
                <c:pt idx="37">
                  <c:v>1.1900000000000002</c:v>
                </c:pt>
                <c:pt idx="38">
                  <c:v>1.2000000000000002</c:v>
                </c:pt>
                <c:pt idx="39">
                  <c:v>1.2100000000000002</c:v>
                </c:pt>
                <c:pt idx="40">
                  <c:v>1.2200000000000002</c:v>
                </c:pt>
                <c:pt idx="41">
                  <c:v>1.2300000000000002</c:v>
                </c:pt>
                <c:pt idx="42">
                  <c:v>1.2400000000000002</c:v>
                </c:pt>
                <c:pt idx="43">
                  <c:v>1.2500000000000002</c:v>
                </c:pt>
                <c:pt idx="44">
                  <c:v>1.2600000000000002</c:v>
                </c:pt>
                <c:pt idx="45">
                  <c:v>1.2700000000000002</c:v>
                </c:pt>
                <c:pt idx="46">
                  <c:v>1.2800000000000002</c:v>
                </c:pt>
                <c:pt idx="47">
                  <c:v>1.2900000000000003</c:v>
                </c:pt>
                <c:pt idx="48">
                  <c:v>1.3000000000000003</c:v>
                </c:pt>
                <c:pt idx="49">
                  <c:v>1.3100000000000003</c:v>
                </c:pt>
                <c:pt idx="50">
                  <c:v>1.3200000000000003</c:v>
                </c:pt>
                <c:pt idx="51">
                  <c:v>1.3300000000000003</c:v>
                </c:pt>
                <c:pt idx="52">
                  <c:v>1.3400000000000003</c:v>
                </c:pt>
                <c:pt idx="53">
                  <c:v>1.3500000000000003</c:v>
                </c:pt>
                <c:pt idx="54">
                  <c:v>1.3600000000000003</c:v>
                </c:pt>
                <c:pt idx="55">
                  <c:v>1.3700000000000003</c:v>
                </c:pt>
                <c:pt idx="56">
                  <c:v>1.3800000000000003</c:v>
                </c:pt>
                <c:pt idx="57">
                  <c:v>1.3900000000000003</c:v>
                </c:pt>
                <c:pt idx="58">
                  <c:v>1.4000000000000004</c:v>
                </c:pt>
                <c:pt idx="59">
                  <c:v>1.4100000000000004</c:v>
                </c:pt>
                <c:pt idx="60">
                  <c:v>1.4200000000000004</c:v>
                </c:pt>
                <c:pt idx="61">
                  <c:v>1.4300000000000004</c:v>
                </c:pt>
                <c:pt idx="62">
                  <c:v>1.4400000000000004</c:v>
                </c:pt>
                <c:pt idx="63">
                  <c:v>1.4500000000000004</c:v>
                </c:pt>
                <c:pt idx="64">
                  <c:v>1.4600000000000004</c:v>
                </c:pt>
                <c:pt idx="65">
                  <c:v>1.4700000000000004</c:v>
                </c:pt>
                <c:pt idx="66">
                  <c:v>1.4800000000000004</c:v>
                </c:pt>
                <c:pt idx="67">
                  <c:v>1.4900000000000004</c:v>
                </c:pt>
                <c:pt idx="68">
                  <c:v>1.5000000000000004</c:v>
                </c:pt>
                <c:pt idx="69">
                  <c:v>1.5100000000000005</c:v>
                </c:pt>
                <c:pt idx="70">
                  <c:v>1.5200000000000005</c:v>
                </c:pt>
                <c:pt idx="71">
                  <c:v>1.5300000000000005</c:v>
                </c:pt>
                <c:pt idx="72">
                  <c:v>1.5400000000000005</c:v>
                </c:pt>
                <c:pt idx="73">
                  <c:v>1.5500000000000005</c:v>
                </c:pt>
                <c:pt idx="74">
                  <c:v>1.5600000000000005</c:v>
                </c:pt>
                <c:pt idx="75">
                  <c:v>1.5700000000000005</c:v>
                </c:pt>
                <c:pt idx="76">
                  <c:v>1.5800000000000005</c:v>
                </c:pt>
                <c:pt idx="77">
                  <c:v>1.5900000000000005</c:v>
                </c:pt>
                <c:pt idx="78">
                  <c:v>1.6000000000000005</c:v>
                </c:pt>
                <c:pt idx="79">
                  <c:v>1.6100000000000005</c:v>
                </c:pt>
                <c:pt idx="80">
                  <c:v>1.6200000000000006</c:v>
                </c:pt>
                <c:pt idx="81">
                  <c:v>1.6300000000000006</c:v>
                </c:pt>
                <c:pt idx="82">
                  <c:v>1.6400000000000006</c:v>
                </c:pt>
                <c:pt idx="83">
                  <c:v>1.6500000000000006</c:v>
                </c:pt>
                <c:pt idx="84">
                  <c:v>1.6600000000000006</c:v>
                </c:pt>
                <c:pt idx="85">
                  <c:v>1.6700000000000006</c:v>
                </c:pt>
                <c:pt idx="86">
                  <c:v>1.6800000000000006</c:v>
                </c:pt>
                <c:pt idx="87">
                  <c:v>1.6900000000000006</c:v>
                </c:pt>
                <c:pt idx="88">
                  <c:v>1.7000000000000006</c:v>
                </c:pt>
                <c:pt idx="89">
                  <c:v>1.7100000000000006</c:v>
                </c:pt>
                <c:pt idx="90">
                  <c:v>1.7200000000000006</c:v>
                </c:pt>
                <c:pt idx="91">
                  <c:v>1.7300000000000006</c:v>
                </c:pt>
                <c:pt idx="92">
                  <c:v>1.7400000000000007</c:v>
                </c:pt>
                <c:pt idx="93">
                  <c:v>1.7500000000000007</c:v>
                </c:pt>
                <c:pt idx="94">
                  <c:v>1.7600000000000007</c:v>
                </c:pt>
                <c:pt idx="95">
                  <c:v>1.7700000000000007</c:v>
                </c:pt>
                <c:pt idx="96">
                  <c:v>1.7800000000000007</c:v>
                </c:pt>
                <c:pt idx="97">
                  <c:v>1.7900000000000007</c:v>
                </c:pt>
                <c:pt idx="98">
                  <c:v>1.8000000000000007</c:v>
                </c:pt>
                <c:pt idx="99">
                  <c:v>1.8100000000000007</c:v>
                </c:pt>
                <c:pt idx="100">
                  <c:v>1.8200000000000007</c:v>
                </c:pt>
                <c:pt idx="101">
                  <c:v>1.8300000000000007</c:v>
                </c:pt>
                <c:pt idx="102">
                  <c:v>1.8400000000000007</c:v>
                </c:pt>
                <c:pt idx="103">
                  <c:v>1.8500000000000008</c:v>
                </c:pt>
                <c:pt idx="104">
                  <c:v>1.8600000000000008</c:v>
                </c:pt>
                <c:pt idx="105">
                  <c:v>1.8700000000000008</c:v>
                </c:pt>
                <c:pt idx="106">
                  <c:v>1.8800000000000008</c:v>
                </c:pt>
                <c:pt idx="107">
                  <c:v>1.8900000000000008</c:v>
                </c:pt>
                <c:pt idx="108">
                  <c:v>1.9000000000000008</c:v>
                </c:pt>
                <c:pt idx="109">
                  <c:v>1.9100000000000008</c:v>
                </c:pt>
                <c:pt idx="110">
                  <c:v>1.9200000000000008</c:v>
                </c:pt>
                <c:pt idx="111">
                  <c:v>1.9300000000000008</c:v>
                </c:pt>
                <c:pt idx="112">
                  <c:v>1.9400000000000008</c:v>
                </c:pt>
                <c:pt idx="113">
                  <c:v>1.9500000000000008</c:v>
                </c:pt>
                <c:pt idx="114">
                  <c:v>1.9600000000000009</c:v>
                </c:pt>
                <c:pt idx="115">
                  <c:v>1.9700000000000009</c:v>
                </c:pt>
                <c:pt idx="116">
                  <c:v>1.9800000000000009</c:v>
                </c:pt>
                <c:pt idx="117">
                  <c:v>1.9900000000000009</c:v>
                </c:pt>
                <c:pt idx="118">
                  <c:v>2.0000000000000009</c:v>
                </c:pt>
                <c:pt idx="119">
                  <c:v>2.0100000000000007</c:v>
                </c:pt>
                <c:pt idx="120">
                  <c:v>2.0200000000000005</c:v>
                </c:pt>
                <c:pt idx="121">
                  <c:v>2.0300000000000002</c:v>
                </c:pt>
                <c:pt idx="122">
                  <c:v>2.04</c:v>
                </c:pt>
                <c:pt idx="123">
                  <c:v>2.0499999999999998</c:v>
                </c:pt>
                <c:pt idx="124">
                  <c:v>2.0599999999999996</c:v>
                </c:pt>
                <c:pt idx="125">
                  <c:v>2.0699999999999994</c:v>
                </c:pt>
                <c:pt idx="126">
                  <c:v>2.0799999999999992</c:v>
                </c:pt>
                <c:pt idx="127">
                  <c:v>2.089999999999999</c:v>
                </c:pt>
                <c:pt idx="128">
                  <c:v>2.0999999999999988</c:v>
                </c:pt>
                <c:pt idx="129">
                  <c:v>2.1099999999999985</c:v>
                </c:pt>
                <c:pt idx="130">
                  <c:v>2.1199999999999983</c:v>
                </c:pt>
                <c:pt idx="131">
                  <c:v>2.1299999999999981</c:v>
                </c:pt>
                <c:pt idx="132">
                  <c:v>2.1399999999999979</c:v>
                </c:pt>
                <c:pt idx="133">
                  <c:v>2.1499999999999977</c:v>
                </c:pt>
                <c:pt idx="134">
                  <c:v>2.1599999999999975</c:v>
                </c:pt>
                <c:pt idx="135">
                  <c:v>2.1699999999999973</c:v>
                </c:pt>
                <c:pt idx="136">
                  <c:v>2.1799999999999971</c:v>
                </c:pt>
                <c:pt idx="137">
                  <c:v>2.1899999999999968</c:v>
                </c:pt>
                <c:pt idx="138">
                  <c:v>2.1999999999999966</c:v>
                </c:pt>
                <c:pt idx="139">
                  <c:v>2.2099999999999964</c:v>
                </c:pt>
                <c:pt idx="140">
                  <c:v>2.2199999999999962</c:v>
                </c:pt>
                <c:pt idx="141">
                  <c:v>2.229999999999996</c:v>
                </c:pt>
                <c:pt idx="142">
                  <c:v>2.2399999999999958</c:v>
                </c:pt>
                <c:pt idx="143">
                  <c:v>2.2499999999999956</c:v>
                </c:pt>
                <c:pt idx="144">
                  <c:v>2.2599999999999953</c:v>
                </c:pt>
                <c:pt idx="145">
                  <c:v>2.2699999999999951</c:v>
                </c:pt>
                <c:pt idx="146">
                  <c:v>2.2799999999999949</c:v>
                </c:pt>
                <c:pt idx="147">
                  <c:v>2.2899999999999947</c:v>
                </c:pt>
                <c:pt idx="148">
                  <c:v>2.2999999999999945</c:v>
                </c:pt>
                <c:pt idx="149">
                  <c:v>2.3099999999999943</c:v>
                </c:pt>
                <c:pt idx="150">
                  <c:v>2.3199999999999941</c:v>
                </c:pt>
                <c:pt idx="151">
                  <c:v>2.3299999999999939</c:v>
                </c:pt>
                <c:pt idx="152">
                  <c:v>2.3399999999999936</c:v>
                </c:pt>
                <c:pt idx="153">
                  <c:v>2.3499999999999934</c:v>
                </c:pt>
                <c:pt idx="154">
                  <c:v>2.3599999999999932</c:v>
                </c:pt>
                <c:pt idx="155">
                  <c:v>2.369999999999993</c:v>
                </c:pt>
                <c:pt idx="156">
                  <c:v>2.3799999999999928</c:v>
                </c:pt>
                <c:pt idx="157">
                  <c:v>2.3899999999999926</c:v>
                </c:pt>
                <c:pt idx="158">
                  <c:v>2.3999999999999924</c:v>
                </c:pt>
                <c:pt idx="159">
                  <c:v>2.4099999999999921</c:v>
                </c:pt>
                <c:pt idx="160">
                  <c:v>2.4199999999999919</c:v>
                </c:pt>
                <c:pt idx="161">
                  <c:v>2.4299999999999917</c:v>
                </c:pt>
                <c:pt idx="162">
                  <c:v>2.4399999999999915</c:v>
                </c:pt>
                <c:pt idx="163">
                  <c:v>2.4499999999999913</c:v>
                </c:pt>
                <c:pt idx="164">
                  <c:v>2.4599999999999911</c:v>
                </c:pt>
                <c:pt idx="165">
                  <c:v>2.4699999999999909</c:v>
                </c:pt>
                <c:pt idx="166">
                  <c:v>2.4799999999999907</c:v>
                </c:pt>
                <c:pt idx="167">
                  <c:v>2.4899999999999904</c:v>
                </c:pt>
                <c:pt idx="168">
                  <c:v>2.4999999999999902</c:v>
                </c:pt>
                <c:pt idx="169">
                  <c:v>2.50999999999999</c:v>
                </c:pt>
                <c:pt idx="170">
                  <c:v>2.5199999999999898</c:v>
                </c:pt>
                <c:pt idx="171">
                  <c:v>2.5299999999999896</c:v>
                </c:pt>
                <c:pt idx="172">
                  <c:v>2.5399999999999894</c:v>
                </c:pt>
                <c:pt idx="173">
                  <c:v>2.5499999999999892</c:v>
                </c:pt>
                <c:pt idx="174">
                  <c:v>2.559999999999989</c:v>
                </c:pt>
                <c:pt idx="175">
                  <c:v>2.5699999999999887</c:v>
                </c:pt>
                <c:pt idx="176">
                  <c:v>2.5799999999999885</c:v>
                </c:pt>
                <c:pt idx="177">
                  <c:v>2.5899999999999883</c:v>
                </c:pt>
                <c:pt idx="178">
                  <c:v>2.5999999999999881</c:v>
                </c:pt>
                <c:pt idx="179">
                  <c:v>2.6099999999999879</c:v>
                </c:pt>
                <c:pt idx="180">
                  <c:v>2.6199999999999877</c:v>
                </c:pt>
                <c:pt idx="181">
                  <c:v>2.6299999999999875</c:v>
                </c:pt>
                <c:pt idx="182">
                  <c:v>2.6399999999999872</c:v>
                </c:pt>
                <c:pt idx="183">
                  <c:v>2.649999999999987</c:v>
                </c:pt>
                <c:pt idx="184">
                  <c:v>2.6599999999999868</c:v>
                </c:pt>
                <c:pt idx="185">
                  <c:v>2.6699999999999866</c:v>
                </c:pt>
                <c:pt idx="186">
                  <c:v>2.6799999999999864</c:v>
                </c:pt>
                <c:pt idx="187">
                  <c:v>2.6899999999999862</c:v>
                </c:pt>
                <c:pt idx="188">
                  <c:v>2.699999999999986</c:v>
                </c:pt>
                <c:pt idx="189">
                  <c:v>2.7099999999999858</c:v>
                </c:pt>
                <c:pt idx="190">
                  <c:v>2.7199999999999855</c:v>
                </c:pt>
                <c:pt idx="191">
                  <c:v>2.7299999999999853</c:v>
                </c:pt>
                <c:pt idx="192">
                  <c:v>2.7399999999999851</c:v>
                </c:pt>
                <c:pt idx="193">
                  <c:v>2.7499999999999849</c:v>
                </c:pt>
                <c:pt idx="194">
                  <c:v>2.7599999999999847</c:v>
                </c:pt>
                <c:pt idx="195">
                  <c:v>2.7699999999999845</c:v>
                </c:pt>
                <c:pt idx="196">
                  <c:v>2.7799999999999843</c:v>
                </c:pt>
                <c:pt idx="197">
                  <c:v>2.789999999999984</c:v>
                </c:pt>
                <c:pt idx="198">
                  <c:v>2.7999999999999838</c:v>
                </c:pt>
                <c:pt idx="199">
                  <c:v>2.8099999999999836</c:v>
                </c:pt>
                <c:pt idx="200">
                  <c:v>2.8199999999999834</c:v>
                </c:pt>
                <c:pt idx="201">
                  <c:v>2.8299999999999832</c:v>
                </c:pt>
                <c:pt idx="202">
                  <c:v>2.839999999999983</c:v>
                </c:pt>
                <c:pt idx="203">
                  <c:v>2.8499999999999828</c:v>
                </c:pt>
                <c:pt idx="204">
                  <c:v>2.8599999999999826</c:v>
                </c:pt>
                <c:pt idx="205">
                  <c:v>2.8699999999999823</c:v>
                </c:pt>
                <c:pt idx="206">
                  <c:v>2.8799999999999821</c:v>
                </c:pt>
                <c:pt idx="207">
                  <c:v>2.8899999999999819</c:v>
                </c:pt>
                <c:pt idx="208">
                  <c:v>2.8999999999999817</c:v>
                </c:pt>
                <c:pt idx="209">
                  <c:v>2.9099999999999815</c:v>
                </c:pt>
                <c:pt idx="210">
                  <c:v>2.9199999999999813</c:v>
                </c:pt>
                <c:pt idx="211">
                  <c:v>2.9299999999999811</c:v>
                </c:pt>
                <c:pt idx="212">
                  <c:v>2.9399999999999809</c:v>
                </c:pt>
                <c:pt idx="213">
                  <c:v>2.9499999999999806</c:v>
                </c:pt>
                <c:pt idx="214">
                  <c:v>2.9599999999999804</c:v>
                </c:pt>
                <c:pt idx="215">
                  <c:v>2.9699999999999802</c:v>
                </c:pt>
                <c:pt idx="216">
                  <c:v>2.97999999999998</c:v>
                </c:pt>
                <c:pt idx="217">
                  <c:v>2.9899999999999798</c:v>
                </c:pt>
                <c:pt idx="218">
                  <c:v>2.9999999999999796</c:v>
                </c:pt>
                <c:pt idx="219">
                  <c:v>3.0099999999999794</c:v>
                </c:pt>
                <c:pt idx="220">
                  <c:v>3.0199999999999791</c:v>
                </c:pt>
                <c:pt idx="221">
                  <c:v>3.0299999999999789</c:v>
                </c:pt>
                <c:pt idx="222">
                  <c:v>3.0399999999999787</c:v>
                </c:pt>
                <c:pt idx="223">
                  <c:v>3.0499999999999785</c:v>
                </c:pt>
                <c:pt idx="224">
                  <c:v>3.0599999999999783</c:v>
                </c:pt>
                <c:pt idx="225">
                  <c:v>3.0699999999999781</c:v>
                </c:pt>
                <c:pt idx="226">
                  <c:v>3.0799999999999779</c:v>
                </c:pt>
                <c:pt idx="227">
                  <c:v>3.0899999999999777</c:v>
                </c:pt>
                <c:pt idx="228">
                  <c:v>3.0999999999999774</c:v>
                </c:pt>
                <c:pt idx="229">
                  <c:v>3.1099999999999772</c:v>
                </c:pt>
                <c:pt idx="230">
                  <c:v>3.119999999999977</c:v>
                </c:pt>
                <c:pt idx="231">
                  <c:v>3.1299999999999768</c:v>
                </c:pt>
                <c:pt idx="232">
                  <c:v>3.1399999999999766</c:v>
                </c:pt>
                <c:pt idx="233">
                  <c:v>3.1499999999999764</c:v>
                </c:pt>
                <c:pt idx="234">
                  <c:v>3.1599999999999762</c:v>
                </c:pt>
                <c:pt idx="235">
                  <c:v>3.1699999999999759</c:v>
                </c:pt>
                <c:pt idx="236">
                  <c:v>3.1799999999999757</c:v>
                </c:pt>
                <c:pt idx="237">
                  <c:v>3.1899999999999755</c:v>
                </c:pt>
                <c:pt idx="238">
                  <c:v>3.1999999999999753</c:v>
                </c:pt>
                <c:pt idx="239">
                  <c:v>3.2099999999999751</c:v>
                </c:pt>
                <c:pt idx="240">
                  <c:v>3.2199999999999749</c:v>
                </c:pt>
                <c:pt idx="241">
                  <c:v>3.2299999999999747</c:v>
                </c:pt>
                <c:pt idx="242">
                  <c:v>3.2399999999999745</c:v>
                </c:pt>
                <c:pt idx="243">
                  <c:v>3.2499999999999742</c:v>
                </c:pt>
                <c:pt idx="244">
                  <c:v>3.259999999999974</c:v>
                </c:pt>
                <c:pt idx="245">
                  <c:v>3.2699999999999738</c:v>
                </c:pt>
                <c:pt idx="246">
                  <c:v>3.2799999999999736</c:v>
                </c:pt>
                <c:pt idx="247">
                  <c:v>3.2899999999999734</c:v>
                </c:pt>
                <c:pt idx="248">
                  <c:v>3.2999999999999732</c:v>
                </c:pt>
                <c:pt idx="249">
                  <c:v>3.309999999999973</c:v>
                </c:pt>
                <c:pt idx="250">
                  <c:v>3.3141205219926047</c:v>
                </c:pt>
                <c:pt idx="251">
                  <c:v>3.3145662474038802</c:v>
                </c:pt>
                <c:pt idx="252">
                  <c:v>3.3150153677768461</c:v>
                </c:pt>
                <c:pt idx="253">
                  <c:v>3.3154677947846354</c:v>
                </c:pt>
                <c:pt idx="254">
                  <c:v>3.3159234420249657</c:v>
                </c:pt>
                <c:pt idx="255">
                  <c:v>3.316382224973291</c:v>
                </c:pt>
                <c:pt idx="256">
                  <c:v>3.3168440609372589</c:v>
                </c:pt>
                <c:pt idx="257">
                  <c:v>3.3173088690124657</c:v>
                </c:pt>
                <c:pt idx="258">
                  <c:v>3.317776570039416</c:v>
                </c:pt>
                <c:pt idx="259">
                  <c:v>3.3182470865616991</c:v>
                </c:pt>
                <c:pt idx="260">
                  <c:v>3.3187203427853151</c:v>
                </c:pt>
                <c:pt idx="261">
                  <c:v>3.3191962645391206</c:v>
                </c:pt>
                <c:pt idx="262">
                  <c:v>3.3196747792363643</c:v>
                </c:pt>
                <c:pt idx="263">
                  <c:v>3.3201558158372619</c:v>
                </c:pt>
                <c:pt idx="264">
                  <c:v>3.3206393048125977</c:v>
                </c:pt>
                <c:pt idx="265">
                  <c:v>3.3211251781083169</c:v>
                </c:pt>
                <c:pt idx="266">
                  <c:v>3.3216133691110543</c:v>
                </c:pt>
                <c:pt idx="267">
                  <c:v>3.3221038126146043</c:v>
                </c:pt>
                <c:pt idx="268">
                  <c:v>3.3225964447872847</c:v>
                </c:pt>
                <c:pt idx="269">
                  <c:v>3.3230912031401605</c:v>
                </c:pt>
                <c:pt idx="270">
                  <c:v>3.3235880264961319</c:v>
                </c:pt>
                <c:pt idx="271">
                  <c:v>3.3240868549597966</c:v>
                </c:pt>
                <c:pt idx="272">
                  <c:v>3.3245876298881725</c:v>
                </c:pt>
                <c:pt idx="273">
                  <c:v>3.3250902938621087</c:v>
                </c:pt>
                <c:pt idx="274">
                  <c:v>3.3255947906585082</c:v>
                </c:pt>
                <c:pt idx="275">
                  <c:v>3.3261010652232357</c:v>
                </c:pt>
                <c:pt idx="276">
                  <c:v>3.3266090636447396</c:v>
                </c:pt>
                <c:pt idx="277">
                  <c:v>3.3271187331283567</c:v>
                </c:pt>
                <c:pt idx="278">
                  <c:v>3.3276300219712591</c:v>
                </c:pt>
                <c:pt idx="279">
                  <c:v>3.3281428795380754</c:v>
                </c:pt>
                <c:pt idx="280">
                  <c:v>3.3286572562371068</c:v>
                </c:pt>
                <c:pt idx="281">
                  <c:v>3.3291731034971437</c:v>
                </c:pt>
                <c:pt idx="282">
                  <c:v>3.3296903737449006</c:v>
                </c:pt>
                <c:pt idx="283">
                  <c:v>3.3302090203829771</c:v>
                </c:pt>
                <c:pt idx="284">
                  <c:v>3.330728997768424</c:v>
                </c:pt>
                <c:pt idx="285">
                  <c:v>3.3312502611917894</c:v>
                </c:pt>
                <c:pt idx="286">
                  <c:v>3.331772766856723</c:v>
                </c:pt>
                <c:pt idx="287">
                  <c:v>3.3322964718600847</c:v>
                </c:pt>
                <c:pt idx="288">
                  <c:v>3.3328213341725403</c:v>
                </c:pt>
                <c:pt idx="289">
                  <c:v>3.3333473126196265</c:v>
                </c:pt>
                <c:pt idx="290">
                  <c:v>3.3338743668632906</c:v>
                </c:pt>
                <c:pt idx="291">
                  <c:v>3.3344024573838924</c:v>
                </c:pt>
                <c:pt idx="292">
                  <c:v>3.3349315454626196</c:v>
                </c:pt>
                <c:pt idx="293">
                  <c:v>3.3354615931643599</c:v>
                </c:pt>
                <c:pt idx="294">
                  <c:v>3.3359925633209531</c:v>
                </c:pt>
                <c:pt idx="295">
                  <c:v>3.3365244195148995</c:v>
                </c:pt>
                <c:pt idx="296">
                  <c:v>3.3370571260633914</c:v>
                </c:pt>
                <c:pt idx="297">
                  <c:v>3.3375906480027933</c:v>
                </c:pt>
                <c:pt idx="298">
                  <c:v>3.3381249510734587</c:v>
                </c:pt>
                <c:pt idx="299">
                  <c:v>3.3386600017048997</c:v>
                </c:pt>
                <c:pt idx="300">
                  <c:v>3.3391957670013386</c:v>
                </c:pt>
                <c:pt idx="301">
                  <c:v>3.3397322147275861</c:v>
                </c:pt>
                <c:pt idx="302">
                  <c:v>3.3402693132952357</c:v>
                </c:pt>
                <c:pt idx="303">
                  <c:v>3.3408070317492236</c:v>
                </c:pt>
                <c:pt idx="304">
                  <c:v>3.3413453397546511</c:v>
                </c:pt>
                <c:pt idx="305">
                  <c:v>3.3418842075839703</c:v>
                </c:pt>
                <c:pt idx="306">
                  <c:v>3.3424236061044099</c:v>
                </c:pt>
                <c:pt idx="307">
                  <c:v>3.3429635067657562</c:v>
                </c:pt>
                <c:pt idx="308">
                  <c:v>3.3435038815883518</c:v>
                </c:pt>
                <c:pt idx="309">
                  <c:v>3.3440447031514222</c:v>
                </c:pt>
                <c:pt idx="310">
                  <c:v>3.3445859445816395</c:v>
                </c:pt>
                <c:pt idx="311">
                  <c:v>3.3451275795419617</c:v>
                </c:pt>
                <c:pt idx="312">
                  <c:v>3.3456695822207259</c:v>
                </c:pt>
                <c:pt idx="313">
                  <c:v>3.3462119273209798</c:v>
                </c:pt>
                <c:pt idx="314">
                  <c:v>3.3467545900500899</c:v>
                </c:pt>
                <c:pt idx="315">
                  <c:v>3.3472975461095098</c:v>
                </c:pt>
                <c:pt idx="316">
                  <c:v>3.347840771684861</c:v>
                </c:pt>
                <c:pt idx="317">
                  <c:v>3.3483842434362034</c:v>
                </c:pt>
                <c:pt idx="318">
                  <c:v>3.3489279384885076</c:v>
                </c:pt>
                <c:pt idx="319">
                  <c:v>3.3494718344223648</c:v>
                </c:pt>
                <c:pt idx="320">
                  <c:v>3.3500159092648891</c:v>
                </c:pt>
                <c:pt idx="321">
                  <c:v>3.350560141480829</c:v>
                </c:pt>
                <c:pt idx="322">
                  <c:v>3.3511045099638683</c:v>
                </c:pt>
                <c:pt idx="323">
                  <c:v>3.3516489940281429</c:v>
                </c:pt>
                <c:pt idx="324">
                  <c:v>3.3521935733999038</c:v>
                </c:pt>
                <c:pt idx="325">
                  <c:v>3.3527382282093887</c:v>
                </c:pt>
                <c:pt idx="326">
                  <c:v>3.353282938982876</c:v>
                </c:pt>
                <c:pt idx="327">
                  <c:v>3.3538276866348964</c:v>
                </c:pt>
                <c:pt idx="328">
                  <c:v>3.3543724524606304</c:v>
                </c:pt>
                <c:pt idx="329">
                  <c:v>3.3549172181284481</c:v>
                </c:pt>
                <c:pt idx="330">
                  <c:v>3.3554619656726326</c:v>
                </c:pt>
                <c:pt idx="331">
                  <c:v>3.3560066774862483</c:v>
                </c:pt>
                <c:pt idx="332">
                  <c:v>3.3565513363141766</c:v>
                </c:pt>
                <c:pt idx="333">
                  <c:v>3.3570959252462558</c:v>
                </c:pt>
                <c:pt idx="334">
                  <c:v>3.3576404277106566</c:v>
                </c:pt>
                <c:pt idx="335">
                  <c:v>3.3581848274672961</c:v>
                </c:pt>
                <c:pt idx="336">
                  <c:v>3.3587291086014575</c:v>
                </c:pt>
                <c:pt idx="337">
                  <c:v>3.3592732555175342</c:v>
                </c:pt>
                <c:pt idx="338">
                  <c:v>3.3598172529328987</c:v>
                </c:pt>
                <c:pt idx="339">
                  <c:v>3.3603610858718849</c:v>
                </c:pt>
                <c:pt idx="340">
                  <c:v>3.3609047396599401</c:v>
                </c:pt>
                <c:pt idx="341">
                  <c:v>3.3614481999178443</c:v>
                </c:pt>
                <c:pt idx="342">
                  <c:v>3.3619914525561212</c:v>
                </c:pt>
                <c:pt idx="343">
                  <c:v>3.3625344837694673</c:v>
                </c:pt>
                <c:pt idx="344">
                  <c:v>3.363077280031407</c:v>
                </c:pt>
                <c:pt idx="345">
                  <c:v>3.3636198280889844</c:v>
                </c:pt>
                <c:pt idx="346">
                  <c:v>3.3641621149575784</c:v>
                </c:pt>
                <c:pt idx="347">
                  <c:v>3.3647041279158501</c:v>
                </c:pt>
                <c:pt idx="348">
                  <c:v>3.3652458545007633</c:v>
                </c:pt>
                <c:pt idx="349">
                  <c:v>3.3657872825027311</c:v>
                </c:pt>
                <c:pt idx="350">
                  <c:v>3.3663283999608558</c:v>
                </c:pt>
                <c:pt idx="351">
                  <c:v>3.3668691951582446</c:v>
                </c:pt>
                <c:pt idx="352">
                  <c:v>3.3674096566174434</c:v>
                </c:pt>
                <c:pt idx="353">
                  <c:v>3.3679497730959946</c:v>
                </c:pt>
                <c:pt idx="354">
                  <c:v>3.368489533581986</c:v>
                </c:pt>
                <c:pt idx="355">
                  <c:v>3.3690289272898171</c:v>
                </c:pt>
                <c:pt idx="356">
                  <c:v>3.3695679436559369</c:v>
                </c:pt>
                <c:pt idx="357">
                  <c:v>3.3701065723347465</c:v>
                </c:pt>
                <c:pt idx="358">
                  <c:v>3.3706448031945659</c:v>
                </c:pt>
                <c:pt idx="359">
                  <c:v>3.3711826263136104</c:v>
                </c:pt>
                <c:pt idx="360">
                  <c:v>3.3717200319761993</c:v>
                </c:pt>
                <c:pt idx="361">
                  <c:v>3.3722570106688718</c:v>
                </c:pt>
                <c:pt idx="362">
                  <c:v>3.3727935530767028</c:v>
                </c:pt>
                <c:pt idx="363">
                  <c:v>3.3733296500796142</c:v>
                </c:pt>
                <c:pt idx="364">
                  <c:v>3.3738652927488197</c:v>
                </c:pt>
                <c:pt idx="365">
                  <c:v>3.3744004723433103</c:v>
                </c:pt>
                <c:pt idx="366">
                  <c:v>3.3749351803063923</c:v>
                </c:pt>
                <c:pt idx="367">
                  <c:v>3.375</c:v>
                </c:pt>
                <c:pt idx="368">
                  <c:v>3.375</c:v>
                </c:pt>
                <c:pt idx="369">
                  <c:v>3.375</c:v>
                </c:pt>
                <c:pt idx="370">
                  <c:v>3.375</c:v>
                </c:pt>
                <c:pt idx="371">
                  <c:v>3.375</c:v>
                </c:pt>
                <c:pt idx="372">
                  <c:v>3.375</c:v>
                </c:pt>
                <c:pt idx="373">
                  <c:v>3.375</c:v>
                </c:pt>
                <c:pt idx="374">
                  <c:v>3.375</c:v>
                </c:pt>
                <c:pt idx="375">
                  <c:v>3.375</c:v>
                </c:pt>
                <c:pt idx="376">
                  <c:v>3.375</c:v>
                </c:pt>
                <c:pt idx="377">
                  <c:v>3.375</c:v>
                </c:pt>
                <c:pt idx="378">
                  <c:v>3.375</c:v>
                </c:pt>
                <c:pt idx="379">
                  <c:v>3.375</c:v>
                </c:pt>
                <c:pt idx="380">
                  <c:v>3.375</c:v>
                </c:pt>
                <c:pt idx="381">
                  <c:v>3.375</c:v>
                </c:pt>
                <c:pt idx="382">
                  <c:v>3.375</c:v>
                </c:pt>
                <c:pt idx="383">
                  <c:v>3.375</c:v>
                </c:pt>
                <c:pt idx="384">
                  <c:v>3.375</c:v>
                </c:pt>
                <c:pt idx="385">
                  <c:v>3.375</c:v>
                </c:pt>
                <c:pt idx="386">
                  <c:v>3.375</c:v>
                </c:pt>
                <c:pt idx="387">
                  <c:v>3.375</c:v>
                </c:pt>
                <c:pt idx="388">
                  <c:v>3.375</c:v>
                </c:pt>
                <c:pt idx="389">
                  <c:v>3.375</c:v>
                </c:pt>
                <c:pt idx="390">
                  <c:v>3.375</c:v>
                </c:pt>
                <c:pt idx="391">
                  <c:v>3.375</c:v>
                </c:pt>
                <c:pt idx="392">
                  <c:v>3.375</c:v>
                </c:pt>
                <c:pt idx="393">
                  <c:v>3.375</c:v>
                </c:pt>
                <c:pt idx="394">
                  <c:v>3.375</c:v>
                </c:pt>
                <c:pt idx="395">
                  <c:v>3.375</c:v>
                </c:pt>
                <c:pt idx="396">
                  <c:v>3.375</c:v>
                </c:pt>
                <c:pt idx="397">
                  <c:v>3.375</c:v>
                </c:pt>
                <c:pt idx="398">
                  <c:v>3.375</c:v>
                </c:pt>
                <c:pt idx="399">
                  <c:v>3.375</c:v>
                </c:pt>
                <c:pt idx="400">
                  <c:v>3.375</c:v>
                </c:pt>
                <c:pt idx="401">
                  <c:v>3.375</c:v>
                </c:pt>
                <c:pt idx="402">
                  <c:v>3.375</c:v>
                </c:pt>
                <c:pt idx="403">
                  <c:v>3.375</c:v>
                </c:pt>
                <c:pt idx="404">
                  <c:v>3.375</c:v>
                </c:pt>
                <c:pt idx="405">
                  <c:v>3.375</c:v>
                </c:pt>
                <c:pt idx="406">
                  <c:v>3.375</c:v>
                </c:pt>
                <c:pt idx="407">
                  <c:v>3.375</c:v>
                </c:pt>
                <c:pt idx="408">
                  <c:v>3.375</c:v>
                </c:pt>
                <c:pt idx="409">
                  <c:v>3.375</c:v>
                </c:pt>
                <c:pt idx="410">
                  <c:v>3.375</c:v>
                </c:pt>
                <c:pt idx="411">
                  <c:v>3.375</c:v>
                </c:pt>
                <c:pt idx="412">
                  <c:v>3.375</c:v>
                </c:pt>
                <c:pt idx="413">
                  <c:v>3.375</c:v>
                </c:pt>
                <c:pt idx="414">
                  <c:v>3.375</c:v>
                </c:pt>
                <c:pt idx="415">
                  <c:v>3.375</c:v>
                </c:pt>
                <c:pt idx="416">
                  <c:v>3.375</c:v>
                </c:pt>
                <c:pt idx="417">
                  <c:v>3.375</c:v>
                </c:pt>
                <c:pt idx="418">
                  <c:v>3.375</c:v>
                </c:pt>
                <c:pt idx="419">
                  <c:v>3.375</c:v>
                </c:pt>
                <c:pt idx="420">
                  <c:v>3.375</c:v>
                </c:pt>
                <c:pt idx="421">
                  <c:v>3.375</c:v>
                </c:pt>
                <c:pt idx="422">
                  <c:v>3.375</c:v>
                </c:pt>
                <c:pt idx="423">
                  <c:v>3.375</c:v>
                </c:pt>
                <c:pt idx="424">
                  <c:v>3.375</c:v>
                </c:pt>
                <c:pt idx="425">
                  <c:v>3.375</c:v>
                </c:pt>
                <c:pt idx="426">
                  <c:v>3.375</c:v>
                </c:pt>
                <c:pt idx="427">
                  <c:v>3.375</c:v>
                </c:pt>
                <c:pt idx="428">
                  <c:v>3.375</c:v>
                </c:pt>
                <c:pt idx="429">
                  <c:v>3.375</c:v>
                </c:pt>
                <c:pt idx="430">
                  <c:v>3.375</c:v>
                </c:pt>
                <c:pt idx="431">
                  <c:v>3.375</c:v>
                </c:pt>
                <c:pt idx="432">
                  <c:v>3.375</c:v>
                </c:pt>
                <c:pt idx="433">
                  <c:v>3.375</c:v>
                </c:pt>
                <c:pt idx="434">
                  <c:v>3.375</c:v>
                </c:pt>
                <c:pt idx="435">
                  <c:v>3.375</c:v>
                </c:pt>
                <c:pt idx="436">
                  <c:v>3.375</c:v>
                </c:pt>
                <c:pt idx="437">
                  <c:v>3.375</c:v>
                </c:pt>
                <c:pt idx="438">
                  <c:v>3.375</c:v>
                </c:pt>
                <c:pt idx="439">
                  <c:v>3.375</c:v>
                </c:pt>
                <c:pt idx="440">
                  <c:v>3.375</c:v>
                </c:pt>
                <c:pt idx="441">
                  <c:v>3.375</c:v>
                </c:pt>
                <c:pt idx="442">
                  <c:v>3.375</c:v>
                </c:pt>
                <c:pt idx="443">
                  <c:v>3.375</c:v>
                </c:pt>
                <c:pt idx="444">
                  <c:v>3.375</c:v>
                </c:pt>
                <c:pt idx="445">
                  <c:v>3.375</c:v>
                </c:pt>
                <c:pt idx="446">
                  <c:v>3.375</c:v>
                </c:pt>
                <c:pt idx="447">
                  <c:v>3.375</c:v>
                </c:pt>
                <c:pt idx="448">
                  <c:v>3.375</c:v>
                </c:pt>
                <c:pt idx="449">
                  <c:v>3.375</c:v>
                </c:pt>
                <c:pt idx="450">
                  <c:v>3.375</c:v>
                </c:pt>
                <c:pt idx="451">
                  <c:v>3.375</c:v>
                </c:pt>
                <c:pt idx="452">
                  <c:v>3.375</c:v>
                </c:pt>
                <c:pt idx="453">
                  <c:v>3.375</c:v>
                </c:pt>
                <c:pt idx="454">
                  <c:v>3.375</c:v>
                </c:pt>
                <c:pt idx="455">
                  <c:v>3.375</c:v>
                </c:pt>
                <c:pt idx="456">
                  <c:v>3.375</c:v>
                </c:pt>
                <c:pt idx="457">
                  <c:v>3.375</c:v>
                </c:pt>
                <c:pt idx="458">
                  <c:v>3.375</c:v>
                </c:pt>
                <c:pt idx="459">
                  <c:v>3.375</c:v>
                </c:pt>
                <c:pt idx="460">
                  <c:v>3.375</c:v>
                </c:pt>
                <c:pt idx="461">
                  <c:v>3.375</c:v>
                </c:pt>
                <c:pt idx="462">
                  <c:v>3.375</c:v>
                </c:pt>
                <c:pt idx="463">
                  <c:v>3.375</c:v>
                </c:pt>
                <c:pt idx="464">
                  <c:v>3.375</c:v>
                </c:pt>
                <c:pt idx="465">
                  <c:v>3.375</c:v>
                </c:pt>
                <c:pt idx="466">
                  <c:v>3.375</c:v>
                </c:pt>
                <c:pt idx="467">
                  <c:v>3.375</c:v>
                </c:pt>
                <c:pt idx="468">
                  <c:v>3.375</c:v>
                </c:pt>
                <c:pt idx="469">
                  <c:v>3.375</c:v>
                </c:pt>
                <c:pt idx="470">
                  <c:v>3.375</c:v>
                </c:pt>
                <c:pt idx="471">
                  <c:v>3.375</c:v>
                </c:pt>
                <c:pt idx="472">
                  <c:v>3.375</c:v>
                </c:pt>
                <c:pt idx="473">
                  <c:v>3.375</c:v>
                </c:pt>
                <c:pt idx="474">
                  <c:v>3.375</c:v>
                </c:pt>
                <c:pt idx="475">
                  <c:v>3.375</c:v>
                </c:pt>
                <c:pt idx="476">
                  <c:v>3.375</c:v>
                </c:pt>
                <c:pt idx="477">
                  <c:v>3.375</c:v>
                </c:pt>
                <c:pt idx="478">
                  <c:v>3.375</c:v>
                </c:pt>
                <c:pt idx="479">
                  <c:v>3.375</c:v>
                </c:pt>
                <c:pt idx="480">
                  <c:v>3.375</c:v>
                </c:pt>
                <c:pt idx="481">
                  <c:v>3.375</c:v>
                </c:pt>
                <c:pt idx="482">
                  <c:v>3.375</c:v>
                </c:pt>
                <c:pt idx="483">
                  <c:v>3.375</c:v>
                </c:pt>
                <c:pt idx="484">
                  <c:v>3.375</c:v>
                </c:pt>
                <c:pt idx="485">
                  <c:v>3.375</c:v>
                </c:pt>
                <c:pt idx="486">
                  <c:v>3.375</c:v>
                </c:pt>
                <c:pt idx="487">
                  <c:v>3.375</c:v>
                </c:pt>
                <c:pt idx="488">
                  <c:v>3.375</c:v>
                </c:pt>
                <c:pt idx="489">
                  <c:v>3.375</c:v>
                </c:pt>
                <c:pt idx="490">
                  <c:v>3.375</c:v>
                </c:pt>
                <c:pt idx="491">
                  <c:v>3.375</c:v>
                </c:pt>
                <c:pt idx="492">
                  <c:v>3.375</c:v>
                </c:pt>
                <c:pt idx="493">
                  <c:v>3.375</c:v>
                </c:pt>
                <c:pt idx="494">
                  <c:v>3.375</c:v>
                </c:pt>
                <c:pt idx="495">
                  <c:v>3.375</c:v>
                </c:pt>
                <c:pt idx="496">
                  <c:v>3.375</c:v>
                </c:pt>
                <c:pt idx="497">
                  <c:v>3.375</c:v>
                </c:pt>
                <c:pt idx="498">
                  <c:v>3.375</c:v>
                </c:pt>
                <c:pt idx="499">
                  <c:v>3.375</c:v>
                </c:pt>
                <c:pt idx="500">
                  <c:v>3.375</c:v>
                </c:pt>
                <c:pt idx="501">
                  <c:v>3.375</c:v>
                </c:pt>
                <c:pt idx="502">
                  <c:v>3.375</c:v>
                </c:pt>
                <c:pt idx="503">
                  <c:v>3.375</c:v>
                </c:pt>
                <c:pt idx="504">
                  <c:v>3.375</c:v>
                </c:pt>
                <c:pt idx="505">
                  <c:v>3.375</c:v>
                </c:pt>
                <c:pt idx="506">
                  <c:v>3.375</c:v>
                </c:pt>
                <c:pt idx="507">
                  <c:v>3.375</c:v>
                </c:pt>
                <c:pt idx="508">
                  <c:v>3.375</c:v>
                </c:pt>
                <c:pt idx="509">
                  <c:v>3.375</c:v>
                </c:pt>
                <c:pt idx="510">
                  <c:v>3.375</c:v>
                </c:pt>
                <c:pt idx="511">
                  <c:v>3.375</c:v>
                </c:pt>
                <c:pt idx="512">
                  <c:v>3.375</c:v>
                </c:pt>
                <c:pt idx="513">
                  <c:v>3.375</c:v>
                </c:pt>
                <c:pt idx="514">
                  <c:v>3.375</c:v>
                </c:pt>
                <c:pt idx="515">
                  <c:v>3.375</c:v>
                </c:pt>
                <c:pt idx="516">
                  <c:v>3.375</c:v>
                </c:pt>
                <c:pt idx="517">
                  <c:v>3.375</c:v>
                </c:pt>
                <c:pt idx="518">
                  <c:v>3.375</c:v>
                </c:pt>
                <c:pt idx="519">
                  <c:v>3.375</c:v>
                </c:pt>
                <c:pt idx="520">
                  <c:v>3.375</c:v>
                </c:pt>
                <c:pt idx="521">
                  <c:v>3.375</c:v>
                </c:pt>
                <c:pt idx="522">
                  <c:v>3.375</c:v>
                </c:pt>
                <c:pt idx="523">
                  <c:v>3.375</c:v>
                </c:pt>
                <c:pt idx="524">
                  <c:v>3.375</c:v>
                </c:pt>
                <c:pt idx="525">
                  <c:v>3.375</c:v>
                </c:pt>
                <c:pt idx="526">
                  <c:v>3.375</c:v>
                </c:pt>
                <c:pt idx="527">
                  <c:v>3.375</c:v>
                </c:pt>
                <c:pt idx="528">
                  <c:v>3.375</c:v>
                </c:pt>
                <c:pt idx="529">
                  <c:v>3.375</c:v>
                </c:pt>
                <c:pt idx="530">
                  <c:v>3.375</c:v>
                </c:pt>
                <c:pt idx="531">
                  <c:v>3.375</c:v>
                </c:pt>
                <c:pt idx="532">
                  <c:v>3.375</c:v>
                </c:pt>
                <c:pt idx="533">
                  <c:v>3.375</c:v>
                </c:pt>
                <c:pt idx="534">
                  <c:v>3.375</c:v>
                </c:pt>
                <c:pt idx="535">
                  <c:v>3.375</c:v>
                </c:pt>
                <c:pt idx="536">
                  <c:v>3.375</c:v>
                </c:pt>
                <c:pt idx="537">
                  <c:v>3.375</c:v>
                </c:pt>
                <c:pt idx="538">
                  <c:v>3.375</c:v>
                </c:pt>
                <c:pt idx="539">
                  <c:v>3.375</c:v>
                </c:pt>
                <c:pt idx="540">
                  <c:v>3.375</c:v>
                </c:pt>
                <c:pt idx="541">
                  <c:v>3.375</c:v>
                </c:pt>
                <c:pt idx="542">
                  <c:v>3.375</c:v>
                </c:pt>
                <c:pt idx="543">
                  <c:v>3.375</c:v>
                </c:pt>
                <c:pt idx="544">
                  <c:v>3.375</c:v>
                </c:pt>
                <c:pt idx="545">
                  <c:v>3.375</c:v>
                </c:pt>
                <c:pt idx="546">
                  <c:v>3.375</c:v>
                </c:pt>
                <c:pt idx="547">
                  <c:v>3.375</c:v>
                </c:pt>
                <c:pt idx="548">
                  <c:v>3.375</c:v>
                </c:pt>
                <c:pt idx="549">
                  <c:v>3.375</c:v>
                </c:pt>
                <c:pt idx="550">
                  <c:v>3.375</c:v>
                </c:pt>
                <c:pt idx="551">
                  <c:v>3.375</c:v>
                </c:pt>
                <c:pt idx="552">
                  <c:v>3.375</c:v>
                </c:pt>
                <c:pt idx="553">
                  <c:v>3.375</c:v>
                </c:pt>
                <c:pt idx="554">
                  <c:v>3.375</c:v>
                </c:pt>
                <c:pt idx="555">
                  <c:v>3.375</c:v>
                </c:pt>
                <c:pt idx="556">
                  <c:v>3.375</c:v>
                </c:pt>
                <c:pt idx="557">
                  <c:v>3.375</c:v>
                </c:pt>
                <c:pt idx="558">
                  <c:v>3.375</c:v>
                </c:pt>
                <c:pt idx="559">
                  <c:v>3.375</c:v>
                </c:pt>
                <c:pt idx="560">
                  <c:v>3.375</c:v>
                </c:pt>
                <c:pt idx="561">
                  <c:v>3.375</c:v>
                </c:pt>
                <c:pt idx="562">
                  <c:v>3.375</c:v>
                </c:pt>
                <c:pt idx="563">
                  <c:v>3.375</c:v>
                </c:pt>
                <c:pt idx="564">
                  <c:v>3.375</c:v>
                </c:pt>
                <c:pt idx="565">
                  <c:v>3.375</c:v>
                </c:pt>
                <c:pt idx="566">
                  <c:v>3.375</c:v>
                </c:pt>
                <c:pt idx="567">
                  <c:v>3.375</c:v>
                </c:pt>
                <c:pt idx="568">
                  <c:v>3.375</c:v>
                </c:pt>
                <c:pt idx="569">
                  <c:v>3.375</c:v>
                </c:pt>
                <c:pt idx="570">
                  <c:v>3.375</c:v>
                </c:pt>
                <c:pt idx="571">
                  <c:v>3.375</c:v>
                </c:pt>
                <c:pt idx="572">
                  <c:v>3.375</c:v>
                </c:pt>
                <c:pt idx="573">
                  <c:v>3.375</c:v>
                </c:pt>
                <c:pt idx="574">
                  <c:v>3.375</c:v>
                </c:pt>
                <c:pt idx="575">
                  <c:v>3.375</c:v>
                </c:pt>
                <c:pt idx="576">
                  <c:v>3.375</c:v>
                </c:pt>
                <c:pt idx="577">
                  <c:v>3.375</c:v>
                </c:pt>
                <c:pt idx="578">
                  <c:v>3.375</c:v>
                </c:pt>
                <c:pt idx="579">
                  <c:v>3.375</c:v>
                </c:pt>
                <c:pt idx="580">
                  <c:v>3.375</c:v>
                </c:pt>
                <c:pt idx="581">
                  <c:v>3.375</c:v>
                </c:pt>
                <c:pt idx="582">
                  <c:v>3.375</c:v>
                </c:pt>
                <c:pt idx="583">
                  <c:v>3.375</c:v>
                </c:pt>
                <c:pt idx="584">
                  <c:v>3.375</c:v>
                </c:pt>
                <c:pt idx="585">
                  <c:v>3.375</c:v>
                </c:pt>
                <c:pt idx="586">
                  <c:v>3.375</c:v>
                </c:pt>
                <c:pt idx="587">
                  <c:v>3.375</c:v>
                </c:pt>
                <c:pt idx="588">
                  <c:v>3.375</c:v>
                </c:pt>
                <c:pt idx="589">
                  <c:v>3.375</c:v>
                </c:pt>
                <c:pt idx="590">
                  <c:v>3.375</c:v>
                </c:pt>
                <c:pt idx="591">
                  <c:v>3.375</c:v>
                </c:pt>
                <c:pt idx="592">
                  <c:v>3.375</c:v>
                </c:pt>
                <c:pt idx="593">
                  <c:v>3.375</c:v>
                </c:pt>
                <c:pt idx="594">
                  <c:v>3.375</c:v>
                </c:pt>
                <c:pt idx="595">
                  <c:v>3.375</c:v>
                </c:pt>
                <c:pt idx="596">
                  <c:v>3.375</c:v>
                </c:pt>
                <c:pt idx="597">
                  <c:v>3.375</c:v>
                </c:pt>
                <c:pt idx="598">
                  <c:v>3.375</c:v>
                </c:pt>
                <c:pt idx="599">
                  <c:v>3.375</c:v>
                </c:pt>
                <c:pt idx="600">
                  <c:v>3.375</c:v>
                </c:pt>
                <c:pt idx="601">
                  <c:v>3.375</c:v>
                </c:pt>
                <c:pt idx="602">
                  <c:v>3.375</c:v>
                </c:pt>
                <c:pt idx="603">
                  <c:v>3.375</c:v>
                </c:pt>
                <c:pt idx="604">
                  <c:v>3.375</c:v>
                </c:pt>
                <c:pt idx="605">
                  <c:v>3.375</c:v>
                </c:pt>
                <c:pt idx="606">
                  <c:v>3.375</c:v>
                </c:pt>
                <c:pt idx="607">
                  <c:v>3.375</c:v>
                </c:pt>
                <c:pt idx="608">
                  <c:v>3.375</c:v>
                </c:pt>
                <c:pt idx="609">
                  <c:v>3.375</c:v>
                </c:pt>
                <c:pt idx="610">
                  <c:v>3.375</c:v>
                </c:pt>
                <c:pt idx="611">
                  <c:v>3.375</c:v>
                </c:pt>
                <c:pt idx="612">
                  <c:v>3.375</c:v>
                </c:pt>
                <c:pt idx="613">
                  <c:v>3.375</c:v>
                </c:pt>
                <c:pt idx="614">
                  <c:v>3.375</c:v>
                </c:pt>
                <c:pt idx="615">
                  <c:v>3.375</c:v>
                </c:pt>
                <c:pt idx="616">
                  <c:v>3.375</c:v>
                </c:pt>
                <c:pt idx="617">
                  <c:v>3.375</c:v>
                </c:pt>
                <c:pt idx="618">
                  <c:v>3.375</c:v>
                </c:pt>
              </c:numCache>
            </c:numRef>
          </c:xVal>
          <c:yVal>
            <c:numRef>
              <c:f>Current_limit!$P$23:$P$641</c:f>
              <c:numCache>
                <c:formatCode>#,##0.0</c:formatCode>
                <c:ptCount val="619"/>
                <c:pt idx="0">
                  <c:v>400000</c:v>
                </c:pt>
                <c:pt idx="1">
                  <c:v>400000</c:v>
                </c:pt>
                <c:pt idx="2">
                  <c:v>400000</c:v>
                </c:pt>
                <c:pt idx="3">
                  <c:v>400000</c:v>
                </c:pt>
                <c:pt idx="4">
                  <c:v>400000</c:v>
                </c:pt>
                <c:pt idx="5">
                  <c:v>400000</c:v>
                </c:pt>
                <c:pt idx="6">
                  <c:v>400000</c:v>
                </c:pt>
                <c:pt idx="7">
                  <c:v>400000</c:v>
                </c:pt>
                <c:pt idx="8">
                  <c:v>400000</c:v>
                </c:pt>
                <c:pt idx="9">
                  <c:v>400000</c:v>
                </c:pt>
                <c:pt idx="10">
                  <c:v>400000</c:v>
                </c:pt>
                <c:pt idx="11">
                  <c:v>400000</c:v>
                </c:pt>
                <c:pt idx="12">
                  <c:v>400000</c:v>
                </c:pt>
                <c:pt idx="13">
                  <c:v>400000</c:v>
                </c:pt>
                <c:pt idx="14">
                  <c:v>400000</c:v>
                </c:pt>
                <c:pt idx="15">
                  <c:v>400000</c:v>
                </c:pt>
                <c:pt idx="16">
                  <c:v>400000</c:v>
                </c:pt>
                <c:pt idx="17">
                  <c:v>400000</c:v>
                </c:pt>
                <c:pt idx="18">
                  <c:v>400000</c:v>
                </c:pt>
                <c:pt idx="19">
                  <c:v>400000</c:v>
                </c:pt>
                <c:pt idx="20">
                  <c:v>400000</c:v>
                </c:pt>
                <c:pt idx="21">
                  <c:v>400000</c:v>
                </c:pt>
                <c:pt idx="22">
                  <c:v>400000</c:v>
                </c:pt>
                <c:pt idx="23">
                  <c:v>400000</c:v>
                </c:pt>
                <c:pt idx="24">
                  <c:v>400000</c:v>
                </c:pt>
                <c:pt idx="25">
                  <c:v>400000</c:v>
                </c:pt>
                <c:pt idx="26">
                  <c:v>400000</c:v>
                </c:pt>
                <c:pt idx="27">
                  <c:v>400000</c:v>
                </c:pt>
                <c:pt idx="28">
                  <c:v>400000</c:v>
                </c:pt>
                <c:pt idx="29">
                  <c:v>400000</c:v>
                </c:pt>
                <c:pt idx="30">
                  <c:v>400000</c:v>
                </c:pt>
                <c:pt idx="31">
                  <c:v>400000</c:v>
                </c:pt>
                <c:pt idx="32">
                  <c:v>400000</c:v>
                </c:pt>
                <c:pt idx="33">
                  <c:v>400000</c:v>
                </c:pt>
                <c:pt idx="34">
                  <c:v>400000</c:v>
                </c:pt>
                <c:pt idx="35">
                  <c:v>400000</c:v>
                </c:pt>
                <c:pt idx="36">
                  <c:v>400000</c:v>
                </c:pt>
                <c:pt idx="37">
                  <c:v>400000</c:v>
                </c:pt>
                <c:pt idx="38">
                  <c:v>400000</c:v>
                </c:pt>
                <c:pt idx="39">
                  <c:v>400000</c:v>
                </c:pt>
                <c:pt idx="40">
                  <c:v>400000</c:v>
                </c:pt>
                <c:pt idx="41">
                  <c:v>400000</c:v>
                </c:pt>
                <c:pt idx="42">
                  <c:v>400000</c:v>
                </c:pt>
                <c:pt idx="43">
                  <c:v>400000</c:v>
                </c:pt>
                <c:pt idx="44">
                  <c:v>400000</c:v>
                </c:pt>
                <c:pt idx="45">
                  <c:v>400000</c:v>
                </c:pt>
                <c:pt idx="46">
                  <c:v>400000</c:v>
                </c:pt>
                <c:pt idx="47">
                  <c:v>400000</c:v>
                </c:pt>
                <c:pt idx="48">
                  <c:v>400000</c:v>
                </c:pt>
                <c:pt idx="49">
                  <c:v>400000</c:v>
                </c:pt>
                <c:pt idx="50">
                  <c:v>400000</c:v>
                </c:pt>
                <c:pt idx="51">
                  <c:v>400000</c:v>
                </c:pt>
                <c:pt idx="52">
                  <c:v>400000</c:v>
                </c:pt>
                <c:pt idx="53">
                  <c:v>400000</c:v>
                </c:pt>
                <c:pt idx="54">
                  <c:v>400000</c:v>
                </c:pt>
                <c:pt idx="55">
                  <c:v>400000</c:v>
                </c:pt>
                <c:pt idx="56">
                  <c:v>400000</c:v>
                </c:pt>
                <c:pt idx="57">
                  <c:v>400000</c:v>
                </c:pt>
                <c:pt idx="58">
                  <c:v>400000</c:v>
                </c:pt>
                <c:pt idx="59">
                  <c:v>400000</c:v>
                </c:pt>
                <c:pt idx="60">
                  <c:v>400000</c:v>
                </c:pt>
                <c:pt idx="61">
                  <c:v>400000</c:v>
                </c:pt>
                <c:pt idx="62">
                  <c:v>400000</c:v>
                </c:pt>
                <c:pt idx="63">
                  <c:v>400000</c:v>
                </c:pt>
                <c:pt idx="64">
                  <c:v>400000</c:v>
                </c:pt>
                <c:pt idx="65">
                  <c:v>400000</c:v>
                </c:pt>
                <c:pt idx="66">
                  <c:v>400000</c:v>
                </c:pt>
                <c:pt idx="67">
                  <c:v>400000</c:v>
                </c:pt>
                <c:pt idx="68">
                  <c:v>400000</c:v>
                </c:pt>
                <c:pt idx="69">
                  <c:v>400000</c:v>
                </c:pt>
                <c:pt idx="70">
                  <c:v>400000</c:v>
                </c:pt>
                <c:pt idx="71">
                  <c:v>400000</c:v>
                </c:pt>
                <c:pt idx="72">
                  <c:v>400000</c:v>
                </c:pt>
                <c:pt idx="73">
                  <c:v>400000</c:v>
                </c:pt>
                <c:pt idx="74">
                  <c:v>400000</c:v>
                </c:pt>
                <c:pt idx="75">
                  <c:v>400000</c:v>
                </c:pt>
                <c:pt idx="76">
                  <c:v>400000</c:v>
                </c:pt>
                <c:pt idx="77">
                  <c:v>400000</c:v>
                </c:pt>
                <c:pt idx="78">
                  <c:v>400000</c:v>
                </c:pt>
                <c:pt idx="79">
                  <c:v>400000</c:v>
                </c:pt>
                <c:pt idx="80">
                  <c:v>400000</c:v>
                </c:pt>
                <c:pt idx="81">
                  <c:v>400000</c:v>
                </c:pt>
                <c:pt idx="82">
                  <c:v>400000</c:v>
                </c:pt>
                <c:pt idx="83">
                  <c:v>400000</c:v>
                </c:pt>
                <c:pt idx="84">
                  <c:v>400000</c:v>
                </c:pt>
                <c:pt idx="85">
                  <c:v>400000</c:v>
                </c:pt>
                <c:pt idx="86">
                  <c:v>400000</c:v>
                </c:pt>
                <c:pt idx="87">
                  <c:v>400000</c:v>
                </c:pt>
                <c:pt idx="88">
                  <c:v>400000</c:v>
                </c:pt>
                <c:pt idx="89">
                  <c:v>400000</c:v>
                </c:pt>
                <c:pt idx="90">
                  <c:v>400000</c:v>
                </c:pt>
                <c:pt idx="91">
                  <c:v>400000</c:v>
                </c:pt>
                <c:pt idx="92">
                  <c:v>400000</c:v>
                </c:pt>
                <c:pt idx="93">
                  <c:v>400000</c:v>
                </c:pt>
                <c:pt idx="94">
                  <c:v>400000</c:v>
                </c:pt>
                <c:pt idx="95">
                  <c:v>400000</c:v>
                </c:pt>
                <c:pt idx="96">
                  <c:v>400000</c:v>
                </c:pt>
                <c:pt idx="97">
                  <c:v>400000</c:v>
                </c:pt>
                <c:pt idx="98">
                  <c:v>400000</c:v>
                </c:pt>
                <c:pt idx="99">
                  <c:v>400000</c:v>
                </c:pt>
                <c:pt idx="100">
                  <c:v>400000</c:v>
                </c:pt>
                <c:pt idx="101">
                  <c:v>400000</c:v>
                </c:pt>
                <c:pt idx="102">
                  <c:v>400000</c:v>
                </c:pt>
                <c:pt idx="103">
                  <c:v>400000</c:v>
                </c:pt>
                <c:pt idx="104">
                  <c:v>400000</c:v>
                </c:pt>
                <c:pt idx="105">
                  <c:v>400000</c:v>
                </c:pt>
                <c:pt idx="106">
                  <c:v>400000</c:v>
                </c:pt>
                <c:pt idx="107">
                  <c:v>400000</c:v>
                </c:pt>
                <c:pt idx="108">
                  <c:v>400000</c:v>
                </c:pt>
                <c:pt idx="109">
                  <c:v>400000</c:v>
                </c:pt>
                <c:pt idx="110">
                  <c:v>400000</c:v>
                </c:pt>
                <c:pt idx="111">
                  <c:v>400000</c:v>
                </c:pt>
                <c:pt idx="112">
                  <c:v>400000</c:v>
                </c:pt>
                <c:pt idx="113">
                  <c:v>400000</c:v>
                </c:pt>
                <c:pt idx="114">
                  <c:v>400000</c:v>
                </c:pt>
                <c:pt idx="115">
                  <c:v>400000</c:v>
                </c:pt>
                <c:pt idx="116">
                  <c:v>400000</c:v>
                </c:pt>
                <c:pt idx="117">
                  <c:v>400000</c:v>
                </c:pt>
                <c:pt idx="118">
                  <c:v>400000</c:v>
                </c:pt>
                <c:pt idx="119">
                  <c:v>400000</c:v>
                </c:pt>
                <c:pt idx="120">
                  <c:v>400000</c:v>
                </c:pt>
                <c:pt idx="121">
                  <c:v>400000</c:v>
                </c:pt>
                <c:pt idx="122">
                  <c:v>400000</c:v>
                </c:pt>
                <c:pt idx="123">
                  <c:v>400000</c:v>
                </c:pt>
                <c:pt idx="124">
                  <c:v>400000</c:v>
                </c:pt>
                <c:pt idx="125">
                  <c:v>400000</c:v>
                </c:pt>
                <c:pt idx="126">
                  <c:v>400000</c:v>
                </c:pt>
                <c:pt idx="127">
                  <c:v>400000</c:v>
                </c:pt>
                <c:pt idx="128">
                  <c:v>400000</c:v>
                </c:pt>
                <c:pt idx="129">
                  <c:v>400000</c:v>
                </c:pt>
                <c:pt idx="130">
                  <c:v>400000</c:v>
                </c:pt>
                <c:pt idx="131">
                  <c:v>400000</c:v>
                </c:pt>
                <c:pt idx="132">
                  <c:v>400000</c:v>
                </c:pt>
                <c:pt idx="133">
                  <c:v>400000</c:v>
                </c:pt>
                <c:pt idx="134">
                  <c:v>400000</c:v>
                </c:pt>
                <c:pt idx="135">
                  <c:v>400000</c:v>
                </c:pt>
                <c:pt idx="136">
                  <c:v>400000</c:v>
                </c:pt>
                <c:pt idx="137">
                  <c:v>400000</c:v>
                </c:pt>
                <c:pt idx="138">
                  <c:v>400000</c:v>
                </c:pt>
                <c:pt idx="139">
                  <c:v>400000</c:v>
                </c:pt>
                <c:pt idx="140">
                  <c:v>400000</c:v>
                </c:pt>
                <c:pt idx="141">
                  <c:v>400000</c:v>
                </c:pt>
                <c:pt idx="142">
                  <c:v>400000</c:v>
                </c:pt>
                <c:pt idx="143">
                  <c:v>400000</c:v>
                </c:pt>
                <c:pt idx="144">
                  <c:v>400000</c:v>
                </c:pt>
                <c:pt idx="145">
                  <c:v>400000</c:v>
                </c:pt>
                <c:pt idx="146">
                  <c:v>400000</c:v>
                </c:pt>
                <c:pt idx="147">
                  <c:v>400000</c:v>
                </c:pt>
                <c:pt idx="148">
                  <c:v>400000</c:v>
                </c:pt>
                <c:pt idx="149">
                  <c:v>400000</c:v>
                </c:pt>
                <c:pt idx="150">
                  <c:v>400000</c:v>
                </c:pt>
                <c:pt idx="151">
                  <c:v>400000</c:v>
                </c:pt>
                <c:pt idx="152">
                  <c:v>400000</c:v>
                </c:pt>
                <c:pt idx="153">
                  <c:v>400000</c:v>
                </c:pt>
                <c:pt idx="154">
                  <c:v>400000</c:v>
                </c:pt>
                <c:pt idx="155">
                  <c:v>400000</c:v>
                </c:pt>
                <c:pt idx="156">
                  <c:v>400000</c:v>
                </c:pt>
                <c:pt idx="157">
                  <c:v>400000</c:v>
                </c:pt>
                <c:pt idx="158">
                  <c:v>400000</c:v>
                </c:pt>
                <c:pt idx="159">
                  <c:v>400000</c:v>
                </c:pt>
                <c:pt idx="160">
                  <c:v>400000</c:v>
                </c:pt>
                <c:pt idx="161">
                  <c:v>400000</c:v>
                </c:pt>
                <c:pt idx="162">
                  <c:v>400000</c:v>
                </c:pt>
                <c:pt idx="163">
                  <c:v>400000</c:v>
                </c:pt>
                <c:pt idx="164">
                  <c:v>400000</c:v>
                </c:pt>
                <c:pt idx="165">
                  <c:v>400000</c:v>
                </c:pt>
                <c:pt idx="166">
                  <c:v>400000</c:v>
                </c:pt>
                <c:pt idx="167">
                  <c:v>400000</c:v>
                </c:pt>
                <c:pt idx="168">
                  <c:v>400000</c:v>
                </c:pt>
                <c:pt idx="169">
                  <c:v>400000</c:v>
                </c:pt>
                <c:pt idx="170">
                  <c:v>400000</c:v>
                </c:pt>
                <c:pt idx="171">
                  <c:v>400000</c:v>
                </c:pt>
                <c:pt idx="172">
                  <c:v>400000</c:v>
                </c:pt>
                <c:pt idx="173">
                  <c:v>400000</c:v>
                </c:pt>
                <c:pt idx="174">
                  <c:v>400000</c:v>
                </c:pt>
                <c:pt idx="175">
                  <c:v>400000</c:v>
                </c:pt>
                <c:pt idx="176">
                  <c:v>400000</c:v>
                </c:pt>
                <c:pt idx="177">
                  <c:v>400000</c:v>
                </c:pt>
                <c:pt idx="178">
                  <c:v>400000</c:v>
                </c:pt>
                <c:pt idx="179">
                  <c:v>400000</c:v>
                </c:pt>
                <c:pt idx="180">
                  <c:v>400000</c:v>
                </c:pt>
                <c:pt idx="181">
                  <c:v>400000</c:v>
                </c:pt>
                <c:pt idx="182">
                  <c:v>400000</c:v>
                </c:pt>
                <c:pt idx="183">
                  <c:v>400000</c:v>
                </c:pt>
                <c:pt idx="184">
                  <c:v>400000</c:v>
                </c:pt>
                <c:pt idx="185">
                  <c:v>400000</c:v>
                </c:pt>
                <c:pt idx="186">
                  <c:v>400000</c:v>
                </c:pt>
                <c:pt idx="187">
                  <c:v>400000</c:v>
                </c:pt>
                <c:pt idx="188">
                  <c:v>400000</c:v>
                </c:pt>
                <c:pt idx="189">
                  <c:v>400000</c:v>
                </c:pt>
                <c:pt idx="190">
                  <c:v>400000</c:v>
                </c:pt>
                <c:pt idx="191">
                  <c:v>400000</c:v>
                </c:pt>
                <c:pt idx="192">
                  <c:v>400000</c:v>
                </c:pt>
                <c:pt idx="193">
                  <c:v>400000</c:v>
                </c:pt>
                <c:pt idx="194">
                  <c:v>400000</c:v>
                </c:pt>
                <c:pt idx="195">
                  <c:v>400000</c:v>
                </c:pt>
                <c:pt idx="196">
                  <c:v>400000</c:v>
                </c:pt>
                <c:pt idx="197">
                  <c:v>400000</c:v>
                </c:pt>
                <c:pt idx="198">
                  <c:v>400000</c:v>
                </c:pt>
                <c:pt idx="199">
                  <c:v>400000</c:v>
                </c:pt>
                <c:pt idx="200">
                  <c:v>400000</c:v>
                </c:pt>
                <c:pt idx="201">
                  <c:v>400000</c:v>
                </c:pt>
                <c:pt idx="202">
                  <c:v>400000</c:v>
                </c:pt>
                <c:pt idx="203">
                  <c:v>400000</c:v>
                </c:pt>
                <c:pt idx="204">
                  <c:v>400000</c:v>
                </c:pt>
                <c:pt idx="205">
                  <c:v>400000</c:v>
                </c:pt>
                <c:pt idx="206">
                  <c:v>400000</c:v>
                </c:pt>
                <c:pt idx="207">
                  <c:v>400000</c:v>
                </c:pt>
                <c:pt idx="208">
                  <c:v>400000</c:v>
                </c:pt>
                <c:pt idx="209">
                  <c:v>400000</c:v>
                </c:pt>
                <c:pt idx="210">
                  <c:v>400000</c:v>
                </c:pt>
                <c:pt idx="211">
                  <c:v>400000</c:v>
                </c:pt>
                <c:pt idx="212">
                  <c:v>400000</c:v>
                </c:pt>
                <c:pt idx="213">
                  <c:v>400000</c:v>
                </c:pt>
                <c:pt idx="214">
                  <c:v>400000</c:v>
                </c:pt>
                <c:pt idx="215">
                  <c:v>400000</c:v>
                </c:pt>
                <c:pt idx="216">
                  <c:v>400000</c:v>
                </c:pt>
                <c:pt idx="217">
                  <c:v>400000</c:v>
                </c:pt>
                <c:pt idx="218">
                  <c:v>400000</c:v>
                </c:pt>
                <c:pt idx="219">
                  <c:v>400000</c:v>
                </c:pt>
                <c:pt idx="220">
                  <c:v>400000</c:v>
                </c:pt>
                <c:pt idx="221">
                  <c:v>400000</c:v>
                </c:pt>
                <c:pt idx="222">
                  <c:v>400000</c:v>
                </c:pt>
                <c:pt idx="223">
                  <c:v>400000</c:v>
                </c:pt>
                <c:pt idx="224">
                  <c:v>400000</c:v>
                </c:pt>
                <c:pt idx="225">
                  <c:v>400000</c:v>
                </c:pt>
                <c:pt idx="226">
                  <c:v>400000</c:v>
                </c:pt>
                <c:pt idx="227">
                  <c:v>400000</c:v>
                </c:pt>
                <c:pt idx="228">
                  <c:v>400000</c:v>
                </c:pt>
                <c:pt idx="229">
                  <c:v>400000</c:v>
                </c:pt>
                <c:pt idx="230">
                  <c:v>400000</c:v>
                </c:pt>
                <c:pt idx="231">
                  <c:v>400000</c:v>
                </c:pt>
                <c:pt idx="232">
                  <c:v>400000</c:v>
                </c:pt>
                <c:pt idx="233">
                  <c:v>400000</c:v>
                </c:pt>
                <c:pt idx="234">
                  <c:v>400000</c:v>
                </c:pt>
                <c:pt idx="235">
                  <c:v>400000</c:v>
                </c:pt>
                <c:pt idx="236">
                  <c:v>400000</c:v>
                </c:pt>
                <c:pt idx="237">
                  <c:v>400000</c:v>
                </c:pt>
                <c:pt idx="238">
                  <c:v>400000</c:v>
                </c:pt>
                <c:pt idx="239">
                  <c:v>400000</c:v>
                </c:pt>
                <c:pt idx="240">
                  <c:v>400000</c:v>
                </c:pt>
                <c:pt idx="241">
                  <c:v>400000</c:v>
                </c:pt>
                <c:pt idx="242">
                  <c:v>400000</c:v>
                </c:pt>
                <c:pt idx="243">
                  <c:v>400000</c:v>
                </c:pt>
                <c:pt idx="244">
                  <c:v>400000</c:v>
                </c:pt>
                <c:pt idx="245">
                  <c:v>400000</c:v>
                </c:pt>
                <c:pt idx="246">
                  <c:v>400000</c:v>
                </c:pt>
                <c:pt idx="247">
                  <c:v>400000</c:v>
                </c:pt>
                <c:pt idx="248">
                  <c:v>400000</c:v>
                </c:pt>
                <c:pt idx="249">
                  <c:v>400000</c:v>
                </c:pt>
                <c:pt idx="250">
                  <c:v>400000</c:v>
                </c:pt>
                <c:pt idx="251">
                  <c:v>400000</c:v>
                </c:pt>
                <c:pt idx="252">
                  <c:v>400000</c:v>
                </c:pt>
                <c:pt idx="253">
                  <c:v>400000</c:v>
                </c:pt>
                <c:pt idx="254">
                  <c:v>400000</c:v>
                </c:pt>
                <c:pt idx="255">
                  <c:v>400000</c:v>
                </c:pt>
                <c:pt idx="256">
                  <c:v>400000</c:v>
                </c:pt>
                <c:pt idx="257">
                  <c:v>400000</c:v>
                </c:pt>
                <c:pt idx="258">
                  <c:v>400000</c:v>
                </c:pt>
                <c:pt idx="259">
                  <c:v>400000</c:v>
                </c:pt>
                <c:pt idx="260">
                  <c:v>400000</c:v>
                </c:pt>
                <c:pt idx="261">
                  <c:v>400000</c:v>
                </c:pt>
                <c:pt idx="262">
                  <c:v>400000</c:v>
                </c:pt>
                <c:pt idx="263">
                  <c:v>400000</c:v>
                </c:pt>
                <c:pt idx="264">
                  <c:v>400000</c:v>
                </c:pt>
                <c:pt idx="265">
                  <c:v>400000</c:v>
                </c:pt>
                <c:pt idx="266">
                  <c:v>400000</c:v>
                </c:pt>
                <c:pt idx="267">
                  <c:v>400000</c:v>
                </c:pt>
                <c:pt idx="268">
                  <c:v>400000</c:v>
                </c:pt>
                <c:pt idx="269">
                  <c:v>400000</c:v>
                </c:pt>
                <c:pt idx="270">
                  <c:v>400000</c:v>
                </c:pt>
                <c:pt idx="271">
                  <c:v>400000</c:v>
                </c:pt>
                <c:pt idx="272">
                  <c:v>400000</c:v>
                </c:pt>
                <c:pt idx="273">
                  <c:v>400000</c:v>
                </c:pt>
                <c:pt idx="274">
                  <c:v>400000</c:v>
                </c:pt>
                <c:pt idx="275">
                  <c:v>400000</c:v>
                </c:pt>
                <c:pt idx="276">
                  <c:v>400000</c:v>
                </c:pt>
                <c:pt idx="277">
                  <c:v>400000</c:v>
                </c:pt>
                <c:pt idx="278">
                  <c:v>400000</c:v>
                </c:pt>
                <c:pt idx="279">
                  <c:v>400000</c:v>
                </c:pt>
                <c:pt idx="280">
                  <c:v>400000</c:v>
                </c:pt>
                <c:pt idx="281">
                  <c:v>400000</c:v>
                </c:pt>
                <c:pt idx="282">
                  <c:v>400000</c:v>
                </c:pt>
                <c:pt idx="283">
                  <c:v>400000</c:v>
                </c:pt>
                <c:pt idx="284">
                  <c:v>400000</c:v>
                </c:pt>
                <c:pt idx="285">
                  <c:v>400000</c:v>
                </c:pt>
                <c:pt idx="286">
                  <c:v>400000</c:v>
                </c:pt>
                <c:pt idx="287">
                  <c:v>400000</c:v>
                </c:pt>
                <c:pt idx="288">
                  <c:v>400000</c:v>
                </c:pt>
                <c:pt idx="289">
                  <c:v>400000</c:v>
                </c:pt>
                <c:pt idx="290">
                  <c:v>400000</c:v>
                </c:pt>
                <c:pt idx="291">
                  <c:v>400000</c:v>
                </c:pt>
                <c:pt idx="292">
                  <c:v>400000</c:v>
                </c:pt>
                <c:pt idx="293">
                  <c:v>400000</c:v>
                </c:pt>
                <c:pt idx="294">
                  <c:v>400000</c:v>
                </c:pt>
                <c:pt idx="295">
                  <c:v>400000</c:v>
                </c:pt>
                <c:pt idx="296">
                  <c:v>400000</c:v>
                </c:pt>
                <c:pt idx="297">
                  <c:v>400000</c:v>
                </c:pt>
                <c:pt idx="298">
                  <c:v>400000</c:v>
                </c:pt>
                <c:pt idx="299">
                  <c:v>400000</c:v>
                </c:pt>
                <c:pt idx="300">
                  <c:v>400000</c:v>
                </c:pt>
                <c:pt idx="301">
                  <c:v>400000</c:v>
                </c:pt>
                <c:pt idx="302">
                  <c:v>400000</c:v>
                </c:pt>
                <c:pt idx="303">
                  <c:v>400000</c:v>
                </c:pt>
                <c:pt idx="304">
                  <c:v>400000</c:v>
                </c:pt>
                <c:pt idx="305">
                  <c:v>400000</c:v>
                </c:pt>
                <c:pt idx="306">
                  <c:v>400000</c:v>
                </c:pt>
                <c:pt idx="307">
                  <c:v>400000</c:v>
                </c:pt>
                <c:pt idx="308">
                  <c:v>400000</c:v>
                </c:pt>
                <c:pt idx="309">
                  <c:v>400000</c:v>
                </c:pt>
                <c:pt idx="310">
                  <c:v>400000</c:v>
                </c:pt>
                <c:pt idx="311">
                  <c:v>400000</c:v>
                </c:pt>
                <c:pt idx="312">
                  <c:v>400000</c:v>
                </c:pt>
                <c:pt idx="313">
                  <c:v>400000</c:v>
                </c:pt>
                <c:pt idx="314">
                  <c:v>400000</c:v>
                </c:pt>
                <c:pt idx="315">
                  <c:v>400000</c:v>
                </c:pt>
                <c:pt idx="316">
                  <c:v>400000</c:v>
                </c:pt>
                <c:pt idx="317">
                  <c:v>400000</c:v>
                </c:pt>
                <c:pt idx="318">
                  <c:v>400000</c:v>
                </c:pt>
                <c:pt idx="319">
                  <c:v>400000</c:v>
                </c:pt>
                <c:pt idx="320">
                  <c:v>400000</c:v>
                </c:pt>
                <c:pt idx="321">
                  <c:v>400000</c:v>
                </c:pt>
                <c:pt idx="322">
                  <c:v>400000</c:v>
                </c:pt>
                <c:pt idx="323">
                  <c:v>400000</c:v>
                </c:pt>
                <c:pt idx="324">
                  <c:v>400000</c:v>
                </c:pt>
                <c:pt idx="325">
                  <c:v>400000</c:v>
                </c:pt>
                <c:pt idx="326">
                  <c:v>400000</c:v>
                </c:pt>
                <c:pt idx="327">
                  <c:v>400000</c:v>
                </c:pt>
                <c:pt idx="328">
                  <c:v>400000</c:v>
                </c:pt>
                <c:pt idx="329">
                  <c:v>400000</c:v>
                </c:pt>
                <c:pt idx="330">
                  <c:v>400000</c:v>
                </c:pt>
                <c:pt idx="331">
                  <c:v>400000</c:v>
                </c:pt>
                <c:pt idx="332">
                  <c:v>400000</c:v>
                </c:pt>
                <c:pt idx="333">
                  <c:v>400000</c:v>
                </c:pt>
                <c:pt idx="334">
                  <c:v>400000</c:v>
                </c:pt>
                <c:pt idx="335">
                  <c:v>400000</c:v>
                </c:pt>
                <c:pt idx="336">
                  <c:v>400000</c:v>
                </c:pt>
                <c:pt idx="337">
                  <c:v>400000</c:v>
                </c:pt>
                <c:pt idx="338">
                  <c:v>400000</c:v>
                </c:pt>
                <c:pt idx="339">
                  <c:v>400000</c:v>
                </c:pt>
                <c:pt idx="340">
                  <c:v>400000</c:v>
                </c:pt>
                <c:pt idx="341">
                  <c:v>400000</c:v>
                </c:pt>
                <c:pt idx="342">
                  <c:v>400000</c:v>
                </c:pt>
                <c:pt idx="343">
                  <c:v>400000</c:v>
                </c:pt>
                <c:pt idx="344">
                  <c:v>400000</c:v>
                </c:pt>
                <c:pt idx="345">
                  <c:v>400000</c:v>
                </c:pt>
                <c:pt idx="346">
                  <c:v>400000</c:v>
                </c:pt>
                <c:pt idx="347">
                  <c:v>400000</c:v>
                </c:pt>
                <c:pt idx="348">
                  <c:v>400000</c:v>
                </c:pt>
                <c:pt idx="349">
                  <c:v>400000</c:v>
                </c:pt>
                <c:pt idx="350">
                  <c:v>400000</c:v>
                </c:pt>
                <c:pt idx="351">
                  <c:v>400000</c:v>
                </c:pt>
                <c:pt idx="352">
                  <c:v>400000</c:v>
                </c:pt>
                <c:pt idx="353">
                  <c:v>400000</c:v>
                </c:pt>
                <c:pt idx="354">
                  <c:v>400000</c:v>
                </c:pt>
                <c:pt idx="355">
                  <c:v>400000</c:v>
                </c:pt>
                <c:pt idx="356">
                  <c:v>400000</c:v>
                </c:pt>
                <c:pt idx="357">
                  <c:v>400000</c:v>
                </c:pt>
                <c:pt idx="358">
                  <c:v>400000</c:v>
                </c:pt>
                <c:pt idx="359">
                  <c:v>400000</c:v>
                </c:pt>
                <c:pt idx="360">
                  <c:v>400000</c:v>
                </c:pt>
                <c:pt idx="361">
                  <c:v>400000</c:v>
                </c:pt>
                <c:pt idx="362">
                  <c:v>400000</c:v>
                </c:pt>
                <c:pt idx="363">
                  <c:v>400000</c:v>
                </c:pt>
                <c:pt idx="364">
                  <c:v>400000</c:v>
                </c:pt>
                <c:pt idx="365">
                  <c:v>400000</c:v>
                </c:pt>
                <c:pt idx="366">
                  <c:v>400000</c:v>
                </c:pt>
                <c:pt idx="367">
                  <c:v>399574.48097023822</c:v>
                </c:pt>
                <c:pt idx="368">
                  <c:v>399090.55727554433</c:v>
                </c:pt>
                <c:pt idx="369">
                  <c:v>398606.99189539114</c:v>
                </c:pt>
                <c:pt idx="370">
                  <c:v>398123.7942905238</c:v>
                </c:pt>
                <c:pt idx="371">
                  <c:v>397640.97373384162</c:v>
                </c:pt>
                <c:pt idx="372">
                  <c:v>397158.5393136128</c:v>
                </c:pt>
                <c:pt idx="373">
                  <c:v>396676.49993663246</c:v>
                </c:pt>
                <c:pt idx="374">
                  <c:v>396194.86433132342</c:v>
                </c:pt>
                <c:pt idx="375">
                  <c:v>395713.64105078205</c:v>
                </c:pt>
                <c:pt idx="376">
                  <c:v>395232.83847577038</c:v>
                </c:pt>
                <c:pt idx="377">
                  <c:v>394752.46481765423</c:v>
                </c:pt>
                <c:pt idx="378">
                  <c:v>394272.52812128991</c:v>
                </c:pt>
                <c:pt idx="379">
                  <c:v>393793.03626785905</c:v>
                </c:pt>
                <c:pt idx="380">
                  <c:v>393313.99697765399</c:v>
                </c:pt>
                <c:pt idx="381">
                  <c:v>392835.41781281395</c:v>
                </c:pt>
                <c:pt idx="382">
                  <c:v>392357.30618001183</c:v>
                </c:pt>
                <c:pt idx="383">
                  <c:v>391879.66933309549</c:v>
                </c:pt>
                <c:pt idx="384">
                  <c:v>391402.51437568059</c:v>
                </c:pt>
                <c:pt idx="385">
                  <c:v>390925.84826369968</c:v>
                </c:pt>
                <c:pt idx="386">
                  <c:v>390449.67780790565</c:v>
                </c:pt>
                <c:pt idx="387">
                  <c:v>389974.00967633107</c:v>
                </c:pt>
                <c:pt idx="388">
                  <c:v>389498.85039670521</c:v>
                </c:pt>
                <c:pt idx="389">
                  <c:v>389024.20635882858</c:v>
                </c:pt>
                <c:pt idx="390">
                  <c:v>388550.08381690609</c:v>
                </c:pt>
                <c:pt idx="391">
                  <c:v>388076.4888918394</c:v>
                </c:pt>
                <c:pt idx="392">
                  <c:v>387603.42757347942</c:v>
                </c:pt>
                <c:pt idx="393">
                  <c:v>387130.90572283999</c:v>
                </c:pt>
                <c:pt idx="394">
                  <c:v>386658.9290742731</c:v>
                </c:pt>
                <c:pt idx="395">
                  <c:v>386187.50323760591</c:v>
                </c:pt>
                <c:pt idx="396">
                  <c:v>385716.63370024139</c:v>
                </c:pt>
                <c:pt idx="397">
                  <c:v>385246.32582922262</c:v>
                </c:pt>
                <c:pt idx="398">
                  <c:v>384776.58487326128</c:v>
                </c:pt>
                <c:pt idx="399">
                  <c:v>384307.41596473096</c:v>
                </c:pt>
                <c:pt idx="400">
                  <c:v>383838.82412162685</c:v>
                </c:pt>
                <c:pt idx="401">
                  <c:v>383370.8142494912</c:v>
                </c:pt>
                <c:pt idx="402">
                  <c:v>382903.39114330598</c:v>
                </c:pt>
                <c:pt idx="403">
                  <c:v>382436.5594893528</c:v>
                </c:pt>
                <c:pt idx="404">
                  <c:v>381970.3238670415</c:v>
                </c:pt>
                <c:pt idx="405">
                  <c:v>381504.68875070714</c:v>
                </c:pt>
                <c:pt idx="406">
                  <c:v>381039.65851137624</c:v>
                </c:pt>
                <c:pt idx="407">
                  <c:v>380575.23741850321</c:v>
                </c:pt>
                <c:pt idx="408">
                  <c:v>380111.42964167689</c:v>
                </c:pt>
                <c:pt idx="409">
                  <c:v>379648.23925229831</c:v>
                </c:pt>
                <c:pt idx="410">
                  <c:v>379185.67022522999</c:v>
                </c:pt>
                <c:pt idx="411">
                  <c:v>378723.72644041647</c:v>
                </c:pt>
                <c:pt idx="412">
                  <c:v>378262.41168447892</c:v>
                </c:pt>
                <c:pt idx="413">
                  <c:v>377801.72965228133</c:v>
                </c:pt>
                <c:pt idx="414">
                  <c:v>377341.68394847063</c:v>
                </c:pt>
                <c:pt idx="415">
                  <c:v>376882.27808899141</c:v>
                </c:pt>
                <c:pt idx="416">
                  <c:v>376423.51550257416</c:v>
                </c:pt>
                <c:pt idx="417">
                  <c:v>375965.39953219908</c:v>
                </c:pt>
                <c:pt idx="418">
                  <c:v>375507.93343653536</c:v>
                </c:pt>
                <c:pt idx="419">
                  <c:v>375051.1203913553</c:v>
                </c:pt>
                <c:pt idx="420">
                  <c:v>374594.9634909259</c:v>
                </c:pt>
                <c:pt idx="421">
                  <c:v>374139.46574937657</c:v>
                </c:pt>
                <c:pt idx="422">
                  <c:v>373684.63010204374</c:v>
                </c:pt>
                <c:pt idx="423">
                  <c:v>373230.45940679329</c:v>
                </c:pt>
                <c:pt idx="424">
                  <c:v>372776.95644532086</c:v>
                </c:pt>
                <c:pt idx="425">
                  <c:v>372324.12392443034</c:v>
                </c:pt>
                <c:pt idx="426">
                  <c:v>371871.96447729098</c:v>
                </c:pt>
                <c:pt idx="427">
                  <c:v>371420.48066467373</c:v>
                </c:pt>
                <c:pt idx="428">
                  <c:v>370969.67497616715</c:v>
                </c:pt>
                <c:pt idx="429">
                  <c:v>370519.54983137239</c:v>
                </c:pt>
                <c:pt idx="430">
                  <c:v>370070.10758107953</c:v>
                </c:pt>
                <c:pt idx="431">
                  <c:v>369621.35050842323</c:v>
                </c:pt>
                <c:pt idx="432">
                  <c:v>369173.28083002003</c:v>
                </c:pt>
                <c:pt idx="433">
                  <c:v>368725.90069708612</c:v>
                </c:pt>
                <c:pt idx="434">
                  <c:v>368279.21219653799</c:v>
                </c:pt>
                <c:pt idx="435">
                  <c:v>367833.21735207265</c:v>
                </c:pt>
                <c:pt idx="436">
                  <c:v>367387.91812523239</c:v>
                </c:pt>
                <c:pt idx="437">
                  <c:v>366943.31641645066</c:v>
                </c:pt>
                <c:pt idx="438">
                  <c:v>366499.41406608099</c:v>
                </c:pt>
                <c:pt idx="439">
                  <c:v>366056.21285540878</c:v>
                </c:pt>
                <c:pt idx="440">
                  <c:v>365613.71450764721</c:v>
                </c:pt>
                <c:pt idx="441">
                  <c:v>365171.92068891588</c:v>
                </c:pt>
                <c:pt idx="442">
                  <c:v>364730.8330092039</c:v>
                </c:pt>
                <c:pt idx="443">
                  <c:v>364290.45302331756</c:v>
                </c:pt>
                <c:pt idx="444">
                  <c:v>363850.78223181132</c:v>
                </c:pt>
                <c:pt idx="445">
                  <c:v>363411.82208190486</c:v>
                </c:pt>
                <c:pt idx="446">
                  <c:v>362973.57396838436</c:v>
                </c:pt>
                <c:pt idx="447">
                  <c:v>362536.03923448961</c:v>
                </c:pt>
                <c:pt idx="448">
                  <c:v>362099.21917278576</c:v>
                </c:pt>
                <c:pt idx="449">
                  <c:v>361663.11502602225</c:v>
                </c:pt>
                <c:pt idx="450">
                  <c:v>361227.72798797622</c:v>
                </c:pt>
                <c:pt idx="451">
                  <c:v>360793.05920428346</c:v>
                </c:pt>
                <c:pt idx="452">
                  <c:v>360359.10977325542</c:v>
                </c:pt>
                <c:pt idx="453">
                  <c:v>359925.88074668229</c:v>
                </c:pt>
                <c:pt idx="454">
                  <c:v>359493.37313062436</c:v>
                </c:pt>
                <c:pt idx="455">
                  <c:v>359061.58788618952</c:v>
                </c:pt>
                <c:pt idx="456">
                  <c:v>358630.52593029849</c:v>
                </c:pt>
                <c:pt idx="457">
                  <c:v>358200.18813643773</c:v>
                </c:pt>
                <c:pt idx="458">
                  <c:v>357770.57533540035</c:v>
                </c:pt>
                <c:pt idx="459">
                  <c:v>357341.6883160146</c:v>
                </c:pt>
                <c:pt idx="460">
                  <c:v>356913.52782586089</c:v>
                </c:pt>
                <c:pt idx="461">
                  <c:v>356486.09457197727</c:v>
                </c:pt>
                <c:pt idx="462">
                  <c:v>356059.3892215534</c:v>
                </c:pt>
                <c:pt idx="463">
                  <c:v>355633.41240261385</c:v>
                </c:pt>
                <c:pt idx="464">
                  <c:v>355208.164704689</c:v>
                </c:pt>
                <c:pt idx="465">
                  <c:v>354783.64667947753</c:v>
                </c:pt>
                <c:pt idx="466">
                  <c:v>354359.8588414957</c:v>
                </c:pt>
                <c:pt idx="467">
                  <c:v>353936.80166871799</c:v>
                </c:pt>
                <c:pt idx="468">
                  <c:v>353514.47560320649</c:v>
                </c:pt>
                <c:pt idx="469">
                  <c:v>353092.88105173135</c:v>
                </c:pt>
                <c:pt idx="470">
                  <c:v>352672.01838637958</c:v>
                </c:pt>
                <c:pt idx="471">
                  <c:v>352251.88794515579</c:v>
                </c:pt>
                <c:pt idx="472">
                  <c:v>351832.49003257201</c:v>
                </c:pt>
                <c:pt idx="473">
                  <c:v>351413.82492022915</c:v>
                </c:pt>
                <c:pt idx="474">
                  <c:v>350995.89284738858</c:v>
                </c:pt>
                <c:pt idx="475">
                  <c:v>350578.69402153447</c:v>
                </c:pt>
                <c:pt idx="476">
                  <c:v>350162.22861892753</c:v>
                </c:pt>
                <c:pt idx="477">
                  <c:v>349746.49678515008</c:v>
                </c:pt>
                <c:pt idx="478">
                  <c:v>349331.49863564159</c:v>
                </c:pt>
                <c:pt idx="479">
                  <c:v>348917.23425622669</c:v>
                </c:pt>
                <c:pt idx="480">
                  <c:v>348503.70370363427</c:v>
                </c:pt>
                <c:pt idx="481">
                  <c:v>348090.90700600814</c:v>
                </c:pt>
                <c:pt idx="482">
                  <c:v>347678.84416341002</c:v>
                </c:pt>
                <c:pt idx="483">
                  <c:v>347267.51514831488</c:v>
                </c:pt>
                <c:pt idx="484">
                  <c:v>346856.91990609682</c:v>
                </c:pt>
                <c:pt idx="485">
                  <c:v>346447.05835550907</c:v>
                </c:pt>
                <c:pt idx="486">
                  <c:v>346037.93038915575</c:v>
                </c:pt>
                <c:pt idx="487">
                  <c:v>345629.53587395546</c:v>
                </c:pt>
                <c:pt idx="488">
                  <c:v>345221.87465159874</c:v>
                </c:pt>
                <c:pt idx="489">
                  <c:v>344814.94653899712</c:v>
                </c:pt>
                <c:pt idx="490">
                  <c:v>344408.75132872601</c:v>
                </c:pt>
                <c:pt idx="491">
                  <c:v>344003.28878945997</c:v>
                </c:pt>
                <c:pt idx="492">
                  <c:v>343598.55866640148</c:v>
                </c:pt>
                <c:pt idx="493">
                  <c:v>343194.56068170298</c:v>
                </c:pt>
                <c:pt idx="494">
                  <c:v>342791.29453488131</c:v>
                </c:pt>
                <c:pt idx="495">
                  <c:v>342388.75990322704</c:v>
                </c:pt>
                <c:pt idx="496">
                  <c:v>341986.95644220675</c:v>
                </c:pt>
                <c:pt idx="497">
                  <c:v>341585.88378585834</c:v>
                </c:pt>
                <c:pt idx="498">
                  <c:v>341185.54154718097</c:v>
                </c:pt>
                <c:pt idx="499">
                  <c:v>340785.92931851832</c:v>
                </c:pt>
                <c:pt idx="500">
                  <c:v>340387.04667193681</c:v>
                </c:pt>
                <c:pt idx="501">
                  <c:v>339988.89315959567</c:v>
                </c:pt>
                <c:pt idx="502">
                  <c:v>339591.46831411426</c:v>
                </c:pt>
                <c:pt idx="503">
                  <c:v>339194.77164893062</c:v>
                </c:pt>
                <c:pt idx="504">
                  <c:v>338798.8026586565</c:v>
                </c:pt>
                <c:pt idx="505">
                  <c:v>338403.56081942579</c:v>
                </c:pt>
                <c:pt idx="506">
                  <c:v>338009.04558923782</c:v>
                </c:pt>
                <c:pt idx="507">
                  <c:v>337615.25640829513</c:v>
                </c:pt>
                <c:pt idx="508">
                  <c:v>337222.19269933604</c:v>
                </c:pt>
                <c:pt idx="509">
                  <c:v>336829.85386796191</c:v>
                </c:pt>
                <c:pt idx="510">
                  <c:v>336438.23930295929</c:v>
                </c:pt>
                <c:pt idx="511">
                  <c:v>336047.34837661718</c:v>
                </c:pt>
                <c:pt idx="512">
                  <c:v>335657.180445039</c:v>
                </c:pt>
                <c:pt idx="513">
                  <c:v>335267.73484845</c:v>
                </c:pt>
                <c:pt idx="514">
                  <c:v>334879.01091149962</c:v>
                </c:pt>
                <c:pt idx="515">
                  <c:v>334491.00794355903</c:v>
                </c:pt>
                <c:pt idx="516">
                  <c:v>334103.72523901489</c:v>
                </c:pt>
                <c:pt idx="517">
                  <c:v>333717.16207755666</c:v>
                </c:pt>
                <c:pt idx="518">
                  <c:v>333331.31772446143</c:v>
                </c:pt>
                <c:pt idx="519">
                  <c:v>332946.19143087324</c:v>
                </c:pt>
                <c:pt idx="520">
                  <c:v>332561.78243407788</c:v>
                </c:pt>
                <c:pt idx="521">
                  <c:v>332178.08995777415</c:v>
                </c:pt>
                <c:pt idx="522">
                  <c:v>331795.11321233993</c:v>
                </c:pt>
                <c:pt idx="523">
                  <c:v>331412.85139509523</c:v>
                </c:pt>
                <c:pt idx="524">
                  <c:v>331031.30369055987</c:v>
                </c:pt>
                <c:pt idx="525">
                  <c:v>330650.46927070821</c:v>
                </c:pt>
                <c:pt idx="526">
                  <c:v>330270.3472952192</c:v>
                </c:pt>
                <c:pt idx="527">
                  <c:v>329890.9369117227</c:v>
                </c:pt>
                <c:pt idx="528">
                  <c:v>329512.23725604237</c:v>
                </c:pt>
                <c:pt idx="529">
                  <c:v>329134.24745243386</c:v>
                </c:pt>
                <c:pt idx="530">
                  <c:v>328756.96661382058</c:v>
                </c:pt>
                <c:pt idx="531">
                  <c:v>328380.39384202403</c:v>
                </c:pt>
                <c:pt idx="532">
                  <c:v>328004.52822799247</c:v>
                </c:pt>
                <c:pt idx="533">
                  <c:v>327629.36885202449</c:v>
                </c:pt>
                <c:pt idx="534">
                  <c:v>327254.91478398995</c:v>
                </c:pt>
                <c:pt idx="535">
                  <c:v>326881.16508354695</c:v>
                </c:pt>
                <c:pt idx="536">
                  <c:v>326508.11880035588</c:v>
                </c:pt>
                <c:pt idx="537">
                  <c:v>326135.77497428976</c:v>
                </c:pt>
                <c:pt idx="538">
                  <c:v>325764.13263564144</c:v>
                </c:pt>
                <c:pt idx="539">
                  <c:v>325393.19080532755</c:v>
                </c:pt>
                <c:pt idx="540">
                  <c:v>325022.94849508908</c:v>
                </c:pt>
                <c:pt idx="541">
                  <c:v>324653.4047076893</c:v>
                </c:pt>
                <c:pt idx="542">
                  <c:v>324284.5584371083</c:v>
                </c:pt>
                <c:pt idx="543">
                  <c:v>323916.40866873396</c:v>
                </c:pt>
                <c:pt idx="544">
                  <c:v>323548.954379551</c:v>
                </c:pt>
                <c:pt idx="545">
                  <c:v>323182.19453832618</c:v>
                </c:pt>
                <c:pt idx="546">
                  <c:v>322816.12810579129</c:v>
                </c:pt>
                <c:pt idx="547">
                  <c:v>322450.75403482217</c:v>
                </c:pt>
                <c:pt idx="548">
                  <c:v>322086.07127061684</c:v>
                </c:pt>
                <c:pt idx="549">
                  <c:v>321722.07875086844</c:v>
                </c:pt>
                <c:pt idx="550">
                  <c:v>321358.77540593769</c:v>
                </c:pt>
                <c:pt idx="551">
                  <c:v>320996.16015902103</c:v>
                </c:pt>
                <c:pt idx="552">
                  <c:v>320634.23192631709</c:v>
                </c:pt>
                <c:pt idx="553">
                  <c:v>320272.98961718992</c:v>
                </c:pt>
                <c:pt idx="554">
                  <c:v>319912.43213433056</c:v>
                </c:pt>
                <c:pt idx="555">
                  <c:v>319552.55837391433</c:v>
                </c:pt>
                <c:pt idx="556">
                  <c:v>319193.36722575838</c:v>
                </c:pt>
                <c:pt idx="557">
                  <c:v>318834.85757347365</c:v>
                </c:pt>
                <c:pt idx="558">
                  <c:v>318477.02829461679</c:v>
                </c:pt>
                <c:pt idx="559">
                  <c:v>318119.87826083892</c:v>
                </c:pt>
                <c:pt idx="560">
                  <c:v>317763.40633803164</c:v>
                </c:pt>
                <c:pt idx="561">
                  <c:v>317407.61138647137</c:v>
                </c:pt>
                <c:pt idx="562">
                  <c:v>317052.49226096104</c:v>
                </c:pt>
                <c:pt idx="563">
                  <c:v>316698.0478109697</c:v>
                </c:pt>
                <c:pt idx="564">
                  <c:v>316344.27688076993</c:v>
                </c:pt>
                <c:pt idx="565">
                  <c:v>315991.17830957315</c:v>
                </c:pt>
                <c:pt idx="566">
                  <c:v>315638.75093166251</c:v>
                </c:pt>
                <c:pt idx="567">
                  <c:v>315286.99357652414</c:v>
                </c:pt>
                <c:pt idx="568">
                  <c:v>314935.90506897576</c:v>
                </c:pt>
                <c:pt idx="569">
                  <c:v>314585.48422929394</c:v>
                </c:pt>
                <c:pt idx="570">
                  <c:v>314235.72987333854</c:v>
                </c:pt>
                <c:pt idx="571">
                  <c:v>313886.64081267623</c:v>
                </c:pt>
                <c:pt idx="572">
                  <c:v>313538.21585470071</c:v>
                </c:pt>
                <c:pt idx="573">
                  <c:v>313190.45380275248</c:v>
                </c:pt>
                <c:pt idx="574">
                  <c:v>312843.35345623567</c:v>
                </c:pt>
                <c:pt idx="575">
                  <c:v>312496.91361073311</c:v>
                </c:pt>
                <c:pt idx="576">
                  <c:v>312151.13305812044</c:v>
                </c:pt>
                <c:pt idx="577">
                  <c:v>311806.01058667724</c:v>
                </c:pt>
                <c:pt idx="578">
                  <c:v>311461.54498119728</c:v>
                </c:pt>
                <c:pt idx="579">
                  <c:v>311117.7350230962</c:v>
                </c:pt>
                <c:pt idx="580">
                  <c:v>310774.5794905189</c:v>
                </c:pt>
                <c:pt idx="581">
                  <c:v>310432.07715844311</c:v>
                </c:pt>
                <c:pt idx="582">
                  <c:v>310090.22679878341</c:v>
                </c:pt>
                <c:pt idx="583">
                  <c:v>309749.02718049206</c:v>
                </c:pt>
                <c:pt idx="584">
                  <c:v>309408.47706965933</c:v>
                </c:pt>
                <c:pt idx="585">
                  <c:v>309068.57522961136</c:v>
                </c:pt>
                <c:pt idx="586">
                  <c:v>308729.32042100665</c:v>
                </c:pt>
                <c:pt idx="587">
                  <c:v>308390.71140193188</c:v>
                </c:pt>
                <c:pt idx="588">
                  <c:v>308052.74692799448</c:v>
                </c:pt>
                <c:pt idx="589">
                  <c:v>307715.42575241585</c:v>
                </c:pt>
                <c:pt idx="590">
                  <c:v>307378.74662612088</c:v>
                </c:pt>
                <c:pt idx="591">
                  <c:v>307042.70829782792</c:v>
                </c:pt>
                <c:pt idx="592">
                  <c:v>306707.30951413594</c:v>
                </c:pt>
                <c:pt idx="593">
                  <c:v>306372.54901961121</c:v>
                </c:pt>
                <c:pt idx="594">
                  <c:v>306038.42555687187</c:v>
                </c:pt>
                <c:pt idx="595">
                  <c:v>305704.93786667171</c:v>
                </c:pt>
                <c:pt idx="596">
                  <c:v>305372.08468798239</c:v>
                </c:pt>
                <c:pt idx="597">
                  <c:v>305039.86475807405</c:v>
                </c:pt>
                <c:pt idx="598">
                  <c:v>304708.27681259508</c:v>
                </c:pt>
                <c:pt idx="599">
                  <c:v>304377.31958565011</c:v>
                </c:pt>
                <c:pt idx="600">
                  <c:v>304046.99180987733</c:v>
                </c:pt>
                <c:pt idx="601">
                  <c:v>303717.29221652413</c:v>
                </c:pt>
                <c:pt idx="602">
                  <c:v>303388.21953552135</c:v>
                </c:pt>
                <c:pt idx="603">
                  <c:v>303059.77249555668</c:v>
                </c:pt>
                <c:pt idx="604">
                  <c:v>302731.94982414704</c:v>
                </c:pt>
                <c:pt idx="605">
                  <c:v>302404.7502477091</c:v>
                </c:pt>
                <c:pt idx="606">
                  <c:v>302078.17249162926</c:v>
                </c:pt>
                <c:pt idx="607">
                  <c:v>301752.21528033196</c:v>
                </c:pt>
                <c:pt idx="608">
                  <c:v>301426.87733734766</c:v>
                </c:pt>
                <c:pt idx="609">
                  <c:v>301102.15738537844</c:v>
                </c:pt>
                <c:pt idx="610">
                  <c:v>300778.05414636439</c:v>
                </c:pt>
                <c:pt idx="611">
                  <c:v>300454.56634154642</c:v>
                </c:pt>
                <c:pt idx="612">
                  <c:v>300131.69269153074</c:v>
                </c:pt>
                <c:pt idx="613">
                  <c:v>299809.43191634968</c:v>
                </c:pt>
                <c:pt idx="614">
                  <c:v>299487.78273552388</c:v>
                </c:pt>
                <c:pt idx="615">
                  <c:v>299166.74386812159</c:v>
                </c:pt>
                <c:pt idx="616">
                  <c:v>298846.31403281784</c:v>
                </c:pt>
                <c:pt idx="617">
                  <c:v>298526.49194795283</c:v>
                </c:pt>
                <c:pt idx="618">
                  <c:v>298207.27633158863</c:v>
                </c:pt>
              </c:numCache>
            </c:numRef>
          </c:yVal>
          <c:smooth val="0"/>
        </c:ser>
        <c:dLbls>
          <c:showLegendKey val="0"/>
          <c:showVal val="0"/>
          <c:showCatName val="0"/>
          <c:showSerName val="0"/>
          <c:showPercent val="0"/>
          <c:showBubbleSize val="0"/>
        </c:dLbls>
        <c:axId val="235525632"/>
        <c:axId val="235527168"/>
      </c:scatterChart>
      <c:scatterChart>
        <c:scatterStyle val="lineMarker"/>
        <c:varyColors val="0"/>
        <c:ser>
          <c:idx val="0"/>
          <c:order val="0"/>
          <c:xVal>
            <c:numRef>
              <c:f>Current_limit!$N$23:$N$641</c:f>
              <c:numCache>
                <c:formatCode>0.000</c:formatCode>
                <c:ptCount val="619"/>
                <c:pt idx="0">
                  <c:v>0.1</c:v>
                </c:pt>
                <c:pt idx="1">
                  <c:v>0.2</c:v>
                </c:pt>
                <c:pt idx="2">
                  <c:v>0.30000000000000004</c:v>
                </c:pt>
                <c:pt idx="3">
                  <c:v>0.4</c:v>
                </c:pt>
                <c:pt idx="4">
                  <c:v>0.5</c:v>
                </c:pt>
                <c:pt idx="5">
                  <c:v>0.6</c:v>
                </c:pt>
                <c:pt idx="6">
                  <c:v>0.7</c:v>
                </c:pt>
                <c:pt idx="7">
                  <c:v>0.79999999999999993</c:v>
                </c:pt>
                <c:pt idx="8">
                  <c:v>0.89999999999999991</c:v>
                </c:pt>
                <c:pt idx="9">
                  <c:v>0.90999999999999992</c:v>
                </c:pt>
                <c:pt idx="10">
                  <c:v>0.91999999999999993</c:v>
                </c:pt>
                <c:pt idx="11">
                  <c:v>0.92999999999999994</c:v>
                </c:pt>
                <c:pt idx="12">
                  <c:v>0.94</c:v>
                </c:pt>
                <c:pt idx="13">
                  <c:v>0.95</c:v>
                </c:pt>
                <c:pt idx="14">
                  <c:v>0.96</c:v>
                </c:pt>
                <c:pt idx="15">
                  <c:v>0.97</c:v>
                </c:pt>
                <c:pt idx="16">
                  <c:v>0.98</c:v>
                </c:pt>
                <c:pt idx="17">
                  <c:v>0.99</c:v>
                </c:pt>
                <c:pt idx="18">
                  <c:v>1</c:v>
                </c:pt>
                <c:pt idx="19">
                  <c:v>1.01</c:v>
                </c:pt>
                <c:pt idx="20">
                  <c:v>1.02</c:v>
                </c:pt>
                <c:pt idx="21">
                  <c:v>1.03</c:v>
                </c:pt>
                <c:pt idx="22">
                  <c:v>1.04</c:v>
                </c:pt>
                <c:pt idx="23">
                  <c:v>1.05</c:v>
                </c:pt>
                <c:pt idx="24">
                  <c:v>1.06</c:v>
                </c:pt>
                <c:pt idx="25">
                  <c:v>1.07</c:v>
                </c:pt>
                <c:pt idx="26">
                  <c:v>1.08</c:v>
                </c:pt>
                <c:pt idx="27">
                  <c:v>1.0900000000000001</c:v>
                </c:pt>
                <c:pt idx="28">
                  <c:v>1.1000000000000001</c:v>
                </c:pt>
                <c:pt idx="29">
                  <c:v>1.1100000000000001</c:v>
                </c:pt>
                <c:pt idx="30">
                  <c:v>1.1200000000000001</c:v>
                </c:pt>
                <c:pt idx="31">
                  <c:v>1.1300000000000001</c:v>
                </c:pt>
                <c:pt idx="32">
                  <c:v>1.1400000000000001</c:v>
                </c:pt>
                <c:pt idx="33">
                  <c:v>1.1500000000000001</c:v>
                </c:pt>
                <c:pt idx="34">
                  <c:v>1.1600000000000001</c:v>
                </c:pt>
                <c:pt idx="35">
                  <c:v>1.1700000000000002</c:v>
                </c:pt>
                <c:pt idx="36">
                  <c:v>1.1800000000000002</c:v>
                </c:pt>
                <c:pt idx="37">
                  <c:v>1.1900000000000002</c:v>
                </c:pt>
                <c:pt idx="38">
                  <c:v>1.2000000000000002</c:v>
                </c:pt>
                <c:pt idx="39">
                  <c:v>1.2100000000000002</c:v>
                </c:pt>
                <c:pt idx="40">
                  <c:v>1.2200000000000002</c:v>
                </c:pt>
                <c:pt idx="41">
                  <c:v>1.2300000000000002</c:v>
                </c:pt>
                <c:pt idx="42">
                  <c:v>1.2400000000000002</c:v>
                </c:pt>
                <c:pt idx="43">
                  <c:v>1.2500000000000002</c:v>
                </c:pt>
                <c:pt idx="44">
                  <c:v>1.2600000000000002</c:v>
                </c:pt>
                <c:pt idx="45">
                  <c:v>1.2700000000000002</c:v>
                </c:pt>
                <c:pt idx="46">
                  <c:v>1.2800000000000002</c:v>
                </c:pt>
                <c:pt idx="47">
                  <c:v>1.2900000000000003</c:v>
                </c:pt>
                <c:pt idx="48">
                  <c:v>1.3000000000000003</c:v>
                </c:pt>
                <c:pt idx="49">
                  <c:v>1.3100000000000003</c:v>
                </c:pt>
                <c:pt idx="50">
                  <c:v>1.3200000000000003</c:v>
                </c:pt>
                <c:pt idx="51">
                  <c:v>1.3300000000000003</c:v>
                </c:pt>
                <c:pt idx="52">
                  <c:v>1.3400000000000003</c:v>
                </c:pt>
                <c:pt idx="53">
                  <c:v>1.3500000000000003</c:v>
                </c:pt>
                <c:pt idx="54">
                  <c:v>1.3600000000000003</c:v>
                </c:pt>
                <c:pt idx="55">
                  <c:v>1.3700000000000003</c:v>
                </c:pt>
                <c:pt idx="56">
                  <c:v>1.3800000000000003</c:v>
                </c:pt>
                <c:pt idx="57">
                  <c:v>1.3900000000000003</c:v>
                </c:pt>
                <c:pt idx="58">
                  <c:v>1.4000000000000004</c:v>
                </c:pt>
                <c:pt idx="59">
                  <c:v>1.4100000000000004</c:v>
                </c:pt>
                <c:pt idx="60">
                  <c:v>1.4200000000000004</c:v>
                </c:pt>
                <c:pt idx="61">
                  <c:v>1.4300000000000004</c:v>
                </c:pt>
                <c:pt idx="62">
                  <c:v>1.4400000000000004</c:v>
                </c:pt>
                <c:pt idx="63">
                  <c:v>1.4500000000000004</c:v>
                </c:pt>
                <c:pt idx="64">
                  <c:v>1.4600000000000004</c:v>
                </c:pt>
                <c:pt idx="65">
                  <c:v>1.4700000000000004</c:v>
                </c:pt>
                <c:pt idx="66">
                  <c:v>1.4800000000000004</c:v>
                </c:pt>
                <c:pt idx="67">
                  <c:v>1.4900000000000004</c:v>
                </c:pt>
                <c:pt idx="68">
                  <c:v>1.5000000000000004</c:v>
                </c:pt>
                <c:pt idx="69">
                  <c:v>1.5100000000000005</c:v>
                </c:pt>
                <c:pt idx="70">
                  <c:v>1.5200000000000005</c:v>
                </c:pt>
                <c:pt idx="71">
                  <c:v>1.5300000000000005</c:v>
                </c:pt>
                <c:pt idx="72">
                  <c:v>1.5400000000000005</c:v>
                </c:pt>
                <c:pt idx="73">
                  <c:v>1.5500000000000005</c:v>
                </c:pt>
                <c:pt idx="74">
                  <c:v>1.5600000000000005</c:v>
                </c:pt>
                <c:pt idx="75">
                  <c:v>1.5700000000000005</c:v>
                </c:pt>
                <c:pt idx="76">
                  <c:v>1.5800000000000005</c:v>
                </c:pt>
                <c:pt idx="77">
                  <c:v>1.5900000000000005</c:v>
                </c:pt>
                <c:pt idx="78">
                  <c:v>1.6000000000000005</c:v>
                </c:pt>
                <c:pt idx="79">
                  <c:v>1.6100000000000005</c:v>
                </c:pt>
                <c:pt idx="80">
                  <c:v>1.6200000000000006</c:v>
                </c:pt>
                <c:pt idx="81">
                  <c:v>1.6300000000000006</c:v>
                </c:pt>
                <c:pt idx="82">
                  <c:v>1.6400000000000006</c:v>
                </c:pt>
                <c:pt idx="83">
                  <c:v>1.6500000000000006</c:v>
                </c:pt>
                <c:pt idx="84">
                  <c:v>1.6600000000000006</c:v>
                </c:pt>
                <c:pt idx="85">
                  <c:v>1.6700000000000006</c:v>
                </c:pt>
                <c:pt idx="86">
                  <c:v>1.6800000000000006</c:v>
                </c:pt>
                <c:pt idx="87">
                  <c:v>1.6900000000000006</c:v>
                </c:pt>
                <c:pt idx="88">
                  <c:v>1.7000000000000006</c:v>
                </c:pt>
                <c:pt idx="89">
                  <c:v>1.7100000000000006</c:v>
                </c:pt>
                <c:pt idx="90">
                  <c:v>1.7200000000000006</c:v>
                </c:pt>
                <c:pt idx="91">
                  <c:v>1.7300000000000006</c:v>
                </c:pt>
                <c:pt idx="92">
                  <c:v>1.7400000000000007</c:v>
                </c:pt>
                <c:pt idx="93">
                  <c:v>1.7500000000000007</c:v>
                </c:pt>
                <c:pt idx="94">
                  <c:v>1.7600000000000007</c:v>
                </c:pt>
                <c:pt idx="95">
                  <c:v>1.7700000000000007</c:v>
                </c:pt>
                <c:pt idx="96">
                  <c:v>1.7800000000000007</c:v>
                </c:pt>
                <c:pt idx="97">
                  <c:v>1.7900000000000007</c:v>
                </c:pt>
                <c:pt idx="98">
                  <c:v>1.8000000000000007</c:v>
                </c:pt>
                <c:pt idx="99">
                  <c:v>1.8100000000000007</c:v>
                </c:pt>
                <c:pt idx="100">
                  <c:v>1.8200000000000007</c:v>
                </c:pt>
                <c:pt idx="101">
                  <c:v>1.8300000000000007</c:v>
                </c:pt>
                <c:pt idx="102">
                  <c:v>1.8400000000000007</c:v>
                </c:pt>
                <c:pt idx="103">
                  <c:v>1.8500000000000008</c:v>
                </c:pt>
                <c:pt idx="104">
                  <c:v>1.8600000000000008</c:v>
                </c:pt>
                <c:pt idx="105">
                  <c:v>1.8700000000000008</c:v>
                </c:pt>
                <c:pt idx="106">
                  <c:v>1.8800000000000008</c:v>
                </c:pt>
                <c:pt idx="107">
                  <c:v>1.8900000000000008</c:v>
                </c:pt>
                <c:pt idx="108">
                  <c:v>1.9000000000000008</c:v>
                </c:pt>
                <c:pt idx="109">
                  <c:v>1.9100000000000008</c:v>
                </c:pt>
                <c:pt idx="110">
                  <c:v>1.9200000000000008</c:v>
                </c:pt>
                <c:pt idx="111">
                  <c:v>1.9300000000000008</c:v>
                </c:pt>
                <c:pt idx="112">
                  <c:v>1.9400000000000008</c:v>
                </c:pt>
                <c:pt idx="113">
                  <c:v>1.9500000000000008</c:v>
                </c:pt>
                <c:pt idx="114">
                  <c:v>1.9600000000000009</c:v>
                </c:pt>
                <c:pt idx="115">
                  <c:v>1.9700000000000009</c:v>
                </c:pt>
                <c:pt idx="116">
                  <c:v>1.9800000000000009</c:v>
                </c:pt>
                <c:pt idx="117">
                  <c:v>1.9900000000000009</c:v>
                </c:pt>
                <c:pt idx="118">
                  <c:v>2.0000000000000009</c:v>
                </c:pt>
                <c:pt idx="119">
                  <c:v>2.0100000000000007</c:v>
                </c:pt>
                <c:pt idx="120">
                  <c:v>2.0200000000000005</c:v>
                </c:pt>
                <c:pt idx="121">
                  <c:v>2.0300000000000002</c:v>
                </c:pt>
                <c:pt idx="122">
                  <c:v>2.04</c:v>
                </c:pt>
                <c:pt idx="123">
                  <c:v>2.0499999999999998</c:v>
                </c:pt>
                <c:pt idx="124">
                  <c:v>2.0599999999999996</c:v>
                </c:pt>
                <c:pt idx="125">
                  <c:v>2.0699999999999994</c:v>
                </c:pt>
                <c:pt idx="126">
                  <c:v>2.0799999999999992</c:v>
                </c:pt>
                <c:pt idx="127">
                  <c:v>2.089999999999999</c:v>
                </c:pt>
                <c:pt idx="128">
                  <c:v>2.0999999999999988</c:v>
                </c:pt>
                <c:pt idx="129">
                  <c:v>2.1099999999999985</c:v>
                </c:pt>
                <c:pt idx="130">
                  <c:v>2.1199999999999983</c:v>
                </c:pt>
                <c:pt idx="131">
                  <c:v>2.1299999999999981</c:v>
                </c:pt>
                <c:pt idx="132">
                  <c:v>2.1399999999999979</c:v>
                </c:pt>
                <c:pt idx="133">
                  <c:v>2.1499999999999977</c:v>
                </c:pt>
                <c:pt idx="134">
                  <c:v>2.1599999999999975</c:v>
                </c:pt>
                <c:pt idx="135">
                  <c:v>2.1699999999999973</c:v>
                </c:pt>
                <c:pt idx="136">
                  <c:v>2.1799999999999971</c:v>
                </c:pt>
                <c:pt idx="137">
                  <c:v>2.1899999999999968</c:v>
                </c:pt>
                <c:pt idx="138">
                  <c:v>2.1999999999999966</c:v>
                </c:pt>
                <c:pt idx="139">
                  <c:v>2.2099999999999964</c:v>
                </c:pt>
                <c:pt idx="140">
                  <c:v>2.2199999999999962</c:v>
                </c:pt>
                <c:pt idx="141">
                  <c:v>2.229999999999996</c:v>
                </c:pt>
                <c:pt idx="142">
                  <c:v>2.2399999999999958</c:v>
                </c:pt>
                <c:pt idx="143">
                  <c:v>2.2499999999999956</c:v>
                </c:pt>
                <c:pt idx="144">
                  <c:v>2.2599999999999953</c:v>
                </c:pt>
                <c:pt idx="145">
                  <c:v>2.2699999999999951</c:v>
                </c:pt>
                <c:pt idx="146">
                  <c:v>2.2799999999999949</c:v>
                </c:pt>
                <c:pt idx="147">
                  <c:v>2.2899999999999947</c:v>
                </c:pt>
                <c:pt idx="148">
                  <c:v>2.2999999999999945</c:v>
                </c:pt>
                <c:pt idx="149">
                  <c:v>2.3099999999999943</c:v>
                </c:pt>
                <c:pt idx="150">
                  <c:v>2.3199999999999941</c:v>
                </c:pt>
                <c:pt idx="151">
                  <c:v>2.3299999999999939</c:v>
                </c:pt>
                <c:pt idx="152">
                  <c:v>2.3399999999999936</c:v>
                </c:pt>
                <c:pt idx="153">
                  <c:v>2.3499999999999934</c:v>
                </c:pt>
                <c:pt idx="154">
                  <c:v>2.3599999999999932</c:v>
                </c:pt>
                <c:pt idx="155">
                  <c:v>2.369999999999993</c:v>
                </c:pt>
                <c:pt idx="156">
                  <c:v>2.3799999999999928</c:v>
                </c:pt>
                <c:pt idx="157">
                  <c:v>2.3899999999999926</c:v>
                </c:pt>
                <c:pt idx="158">
                  <c:v>2.3999999999999924</c:v>
                </c:pt>
                <c:pt idx="159">
                  <c:v>2.4099999999999921</c:v>
                </c:pt>
                <c:pt idx="160">
                  <c:v>2.4199999999999919</c:v>
                </c:pt>
                <c:pt idx="161">
                  <c:v>2.4299999999999917</c:v>
                </c:pt>
                <c:pt idx="162">
                  <c:v>2.4399999999999915</c:v>
                </c:pt>
                <c:pt idx="163">
                  <c:v>2.4499999999999913</c:v>
                </c:pt>
                <c:pt idx="164">
                  <c:v>2.4599999999999911</c:v>
                </c:pt>
                <c:pt idx="165">
                  <c:v>2.4699999999999909</c:v>
                </c:pt>
                <c:pt idx="166">
                  <c:v>2.4799999999999907</c:v>
                </c:pt>
                <c:pt idx="167">
                  <c:v>2.4899999999999904</c:v>
                </c:pt>
                <c:pt idx="168">
                  <c:v>2.4999999999999902</c:v>
                </c:pt>
                <c:pt idx="169">
                  <c:v>2.50999999999999</c:v>
                </c:pt>
                <c:pt idx="170">
                  <c:v>2.5199999999999898</c:v>
                </c:pt>
                <c:pt idx="171">
                  <c:v>2.5299999999999896</c:v>
                </c:pt>
                <c:pt idx="172">
                  <c:v>2.5399999999999894</c:v>
                </c:pt>
                <c:pt idx="173">
                  <c:v>2.5499999999999892</c:v>
                </c:pt>
                <c:pt idx="174">
                  <c:v>2.559999999999989</c:v>
                </c:pt>
                <c:pt idx="175">
                  <c:v>2.5699999999999887</c:v>
                </c:pt>
                <c:pt idx="176">
                  <c:v>2.5799999999999885</c:v>
                </c:pt>
                <c:pt idx="177">
                  <c:v>2.5899999999999883</c:v>
                </c:pt>
                <c:pt idx="178">
                  <c:v>2.5999999999999881</c:v>
                </c:pt>
                <c:pt idx="179">
                  <c:v>2.6099999999999879</c:v>
                </c:pt>
                <c:pt idx="180">
                  <c:v>2.6199999999999877</c:v>
                </c:pt>
                <c:pt idx="181">
                  <c:v>2.6299999999999875</c:v>
                </c:pt>
                <c:pt idx="182">
                  <c:v>2.6399999999999872</c:v>
                </c:pt>
                <c:pt idx="183">
                  <c:v>2.649999999999987</c:v>
                </c:pt>
                <c:pt idx="184">
                  <c:v>2.6599999999999868</c:v>
                </c:pt>
                <c:pt idx="185">
                  <c:v>2.6699999999999866</c:v>
                </c:pt>
                <c:pt idx="186">
                  <c:v>2.6799999999999864</c:v>
                </c:pt>
                <c:pt idx="187">
                  <c:v>2.6899999999999862</c:v>
                </c:pt>
                <c:pt idx="188">
                  <c:v>2.699999999999986</c:v>
                </c:pt>
                <c:pt idx="189">
                  <c:v>2.7099999999999858</c:v>
                </c:pt>
                <c:pt idx="190">
                  <c:v>2.7199999999999855</c:v>
                </c:pt>
                <c:pt idx="191">
                  <c:v>2.7299999999999853</c:v>
                </c:pt>
                <c:pt idx="192">
                  <c:v>2.7399999999999851</c:v>
                </c:pt>
                <c:pt idx="193">
                  <c:v>2.7499999999999849</c:v>
                </c:pt>
                <c:pt idx="194">
                  <c:v>2.7599999999999847</c:v>
                </c:pt>
                <c:pt idx="195">
                  <c:v>2.7699999999999845</c:v>
                </c:pt>
                <c:pt idx="196">
                  <c:v>2.7799999999999843</c:v>
                </c:pt>
                <c:pt idx="197">
                  <c:v>2.789999999999984</c:v>
                </c:pt>
                <c:pt idx="198">
                  <c:v>2.7999999999999838</c:v>
                </c:pt>
                <c:pt idx="199">
                  <c:v>2.8099999999999836</c:v>
                </c:pt>
                <c:pt idx="200">
                  <c:v>2.8199999999999834</c:v>
                </c:pt>
                <c:pt idx="201">
                  <c:v>2.8299999999999832</c:v>
                </c:pt>
                <c:pt idx="202">
                  <c:v>2.839999999999983</c:v>
                </c:pt>
                <c:pt idx="203">
                  <c:v>2.8499999999999828</c:v>
                </c:pt>
                <c:pt idx="204">
                  <c:v>2.8599999999999826</c:v>
                </c:pt>
                <c:pt idx="205">
                  <c:v>2.8699999999999823</c:v>
                </c:pt>
                <c:pt idx="206">
                  <c:v>2.8799999999999821</c:v>
                </c:pt>
                <c:pt idx="207">
                  <c:v>2.8899999999999819</c:v>
                </c:pt>
                <c:pt idx="208">
                  <c:v>2.8999999999999817</c:v>
                </c:pt>
                <c:pt idx="209">
                  <c:v>2.9099999999999815</c:v>
                </c:pt>
                <c:pt idx="210">
                  <c:v>2.9199999999999813</c:v>
                </c:pt>
                <c:pt idx="211">
                  <c:v>2.9299999999999811</c:v>
                </c:pt>
                <c:pt idx="212">
                  <c:v>2.9399999999999809</c:v>
                </c:pt>
                <c:pt idx="213">
                  <c:v>2.9499999999999806</c:v>
                </c:pt>
                <c:pt idx="214">
                  <c:v>2.9599999999999804</c:v>
                </c:pt>
                <c:pt idx="215">
                  <c:v>2.9699999999999802</c:v>
                </c:pt>
                <c:pt idx="216">
                  <c:v>2.97999999999998</c:v>
                </c:pt>
                <c:pt idx="217">
                  <c:v>2.9899999999999798</c:v>
                </c:pt>
                <c:pt idx="218">
                  <c:v>2.9999999999999796</c:v>
                </c:pt>
                <c:pt idx="219">
                  <c:v>3.0099999999999794</c:v>
                </c:pt>
                <c:pt idx="220">
                  <c:v>3.0199999999999791</c:v>
                </c:pt>
                <c:pt idx="221">
                  <c:v>3.0299999999999789</c:v>
                </c:pt>
                <c:pt idx="222">
                  <c:v>3.0399999999999787</c:v>
                </c:pt>
                <c:pt idx="223">
                  <c:v>3.0499999999999785</c:v>
                </c:pt>
                <c:pt idx="224">
                  <c:v>3.0599999999999783</c:v>
                </c:pt>
                <c:pt idx="225">
                  <c:v>3.0699999999999781</c:v>
                </c:pt>
                <c:pt idx="226">
                  <c:v>3.0799999999999779</c:v>
                </c:pt>
                <c:pt idx="227">
                  <c:v>3.0899999999999777</c:v>
                </c:pt>
                <c:pt idx="228">
                  <c:v>3.0999999999999774</c:v>
                </c:pt>
                <c:pt idx="229">
                  <c:v>3.1099999999999772</c:v>
                </c:pt>
                <c:pt idx="230">
                  <c:v>3.119999999999977</c:v>
                </c:pt>
                <c:pt idx="231">
                  <c:v>3.1299999999999768</c:v>
                </c:pt>
                <c:pt idx="232">
                  <c:v>3.1399999999999766</c:v>
                </c:pt>
                <c:pt idx="233">
                  <c:v>3.1499999999999764</c:v>
                </c:pt>
                <c:pt idx="234">
                  <c:v>3.1599999999999762</c:v>
                </c:pt>
                <c:pt idx="235">
                  <c:v>3.1699999999999759</c:v>
                </c:pt>
                <c:pt idx="236">
                  <c:v>3.1799999999999757</c:v>
                </c:pt>
                <c:pt idx="237">
                  <c:v>3.1899999999999755</c:v>
                </c:pt>
                <c:pt idx="238">
                  <c:v>3.1999999999999753</c:v>
                </c:pt>
                <c:pt idx="239">
                  <c:v>3.2099999999999751</c:v>
                </c:pt>
                <c:pt idx="240">
                  <c:v>3.2199999999999749</c:v>
                </c:pt>
                <c:pt idx="241">
                  <c:v>3.2299999999999747</c:v>
                </c:pt>
                <c:pt idx="242">
                  <c:v>3.2399999999999745</c:v>
                </c:pt>
                <c:pt idx="243">
                  <c:v>3.2499999999999742</c:v>
                </c:pt>
                <c:pt idx="244">
                  <c:v>3.259999999999974</c:v>
                </c:pt>
                <c:pt idx="245">
                  <c:v>3.2699999999999738</c:v>
                </c:pt>
                <c:pt idx="246">
                  <c:v>3.2799999999999736</c:v>
                </c:pt>
                <c:pt idx="247">
                  <c:v>3.2899999999999734</c:v>
                </c:pt>
                <c:pt idx="248">
                  <c:v>3.2999999999999732</c:v>
                </c:pt>
                <c:pt idx="249">
                  <c:v>3.309999999999973</c:v>
                </c:pt>
                <c:pt idx="250">
                  <c:v>3.3141205219926047</c:v>
                </c:pt>
                <c:pt idx="251">
                  <c:v>3.3145662474038802</c:v>
                </c:pt>
                <c:pt idx="252">
                  <c:v>3.3150153677768461</c:v>
                </c:pt>
                <c:pt idx="253">
                  <c:v>3.3154677947846354</c:v>
                </c:pt>
                <c:pt idx="254">
                  <c:v>3.3159234420249657</c:v>
                </c:pt>
                <c:pt idx="255">
                  <c:v>3.316382224973291</c:v>
                </c:pt>
                <c:pt idx="256">
                  <c:v>3.3168440609372589</c:v>
                </c:pt>
                <c:pt idx="257">
                  <c:v>3.3173088690124657</c:v>
                </c:pt>
                <c:pt idx="258">
                  <c:v>3.317776570039416</c:v>
                </c:pt>
                <c:pt idx="259">
                  <c:v>3.3182470865616991</c:v>
                </c:pt>
                <c:pt idx="260">
                  <c:v>3.3187203427853151</c:v>
                </c:pt>
                <c:pt idx="261">
                  <c:v>3.3191962645391206</c:v>
                </c:pt>
                <c:pt idx="262">
                  <c:v>3.3196747792363643</c:v>
                </c:pt>
                <c:pt idx="263">
                  <c:v>3.3201558158372619</c:v>
                </c:pt>
                <c:pt idx="264">
                  <c:v>3.3206393048125977</c:v>
                </c:pt>
                <c:pt idx="265">
                  <c:v>3.3211251781083169</c:v>
                </c:pt>
                <c:pt idx="266">
                  <c:v>3.3216133691110543</c:v>
                </c:pt>
                <c:pt idx="267">
                  <c:v>3.3221038126146043</c:v>
                </c:pt>
                <c:pt idx="268">
                  <c:v>3.3225964447872847</c:v>
                </c:pt>
                <c:pt idx="269">
                  <c:v>3.3230912031401605</c:v>
                </c:pt>
                <c:pt idx="270">
                  <c:v>3.3235880264961319</c:v>
                </c:pt>
                <c:pt idx="271">
                  <c:v>3.3240868549597966</c:v>
                </c:pt>
                <c:pt idx="272">
                  <c:v>3.3245876298881725</c:v>
                </c:pt>
                <c:pt idx="273">
                  <c:v>3.3250902938621087</c:v>
                </c:pt>
                <c:pt idx="274">
                  <c:v>3.3255947906585082</c:v>
                </c:pt>
                <c:pt idx="275">
                  <c:v>3.3261010652232357</c:v>
                </c:pt>
                <c:pt idx="276">
                  <c:v>3.3266090636447396</c:v>
                </c:pt>
                <c:pt idx="277">
                  <c:v>3.3271187331283567</c:v>
                </c:pt>
                <c:pt idx="278">
                  <c:v>3.3276300219712591</c:v>
                </c:pt>
                <c:pt idx="279">
                  <c:v>3.3281428795380754</c:v>
                </c:pt>
                <c:pt idx="280">
                  <c:v>3.3286572562371068</c:v>
                </c:pt>
                <c:pt idx="281">
                  <c:v>3.3291731034971437</c:v>
                </c:pt>
                <c:pt idx="282">
                  <c:v>3.3296903737449006</c:v>
                </c:pt>
                <c:pt idx="283">
                  <c:v>3.3302090203829771</c:v>
                </c:pt>
                <c:pt idx="284">
                  <c:v>3.330728997768424</c:v>
                </c:pt>
                <c:pt idx="285">
                  <c:v>3.3312502611917894</c:v>
                </c:pt>
                <c:pt idx="286">
                  <c:v>3.331772766856723</c:v>
                </c:pt>
                <c:pt idx="287">
                  <c:v>3.3322964718600847</c:v>
                </c:pt>
                <c:pt idx="288">
                  <c:v>3.3328213341725403</c:v>
                </c:pt>
                <c:pt idx="289">
                  <c:v>3.3333473126196265</c:v>
                </c:pt>
                <c:pt idx="290">
                  <c:v>3.3338743668632906</c:v>
                </c:pt>
                <c:pt idx="291">
                  <c:v>3.3344024573838924</c:v>
                </c:pt>
                <c:pt idx="292">
                  <c:v>3.3349315454626196</c:v>
                </c:pt>
                <c:pt idx="293">
                  <c:v>3.3354615931643599</c:v>
                </c:pt>
                <c:pt idx="294">
                  <c:v>3.3359925633209531</c:v>
                </c:pt>
                <c:pt idx="295">
                  <c:v>3.3365244195148995</c:v>
                </c:pt>
                <c:pt idx="296">
                  <c:v>3.3370571260633914</c:v>
                </c:pt>
                <c:pt idx="297">
                  <c:v>3.3375906480027933</c:v>
                </c:pt>
                <c:pt idx="298">
                  <c:v>3.3381249510734587</c:v>
                </c:pt>
                <c:pt idx="299">
                  <c:v>3.3386600017048997</c:v>
                </c:pt>
                <c:pt idx="300">
                  <c:v>3.3391957670013386</c:v>
                </c:pt>
                <c:pt idx="301">
                  <c:v>3.3397322147275861</c:v>
                </c:pt>
                <c:pt idx="302">
                  <c:v>3.3402693132952357</c:v>
                </c:pt>
                <c:pt idx="303">
                  <c:v>3.3408070317492236</c:v>
                </c:pt>
                <c:pt idx="304">
                  <c:v>3.3413453397546511</c:v>
                </c:pt>
                <c:pt idx="305">
                  <c:v>3.3418842075839703</c:v>
                </c:pt>
                <c:pt idx="306">
                  <c:v>3.3424236061044099</c:v>
                </c:pt>
                <c:pt idx="307">
                  <c:v>3.3429635067657562</c:v>
                </c:pt>
                <c:pt idx="308">
                  <c:v>3.3435038815883518</c:v>
                </c:pt>
                <c:pt idx="309">
                  <c:v>3.3440447031514222</c:v>
                </c:pt>
                <c:pt idx="310">
                  <c:v>3.3445859445816395</c:v>
                </c:pt>
                <c:pt idx="311">
                  <c:v>3.3451275795419617</c:v>
                </c:pt>
                <c:pt idx="312">
                  <c:v>3.3456695822207259</c:v>
                </c:pt>
                <c:pt idx="313">
                  <c:v>3.3462119273209798</c:v>
                </c:pt>
                <c:pt idx="314">
                  <c:v>3.3467545900500899</c:v>
                </c:pt>
                <c:pt idx="315">
                  <c:v>3.3472975461095098</c:v>
                </c:pt>
                <c:pt idx="316">
                  <c:v>3.347840771684861</c:v>
                </c:pt>
                <c:pt idx="317">
                  <c:v>3.3483842434362034</c:v>
                </c:pt>
                <c:pt idx="318">
                  <c:v>3.3489279384885076</c:v>
                </c:pt>
                <c:pt idx="319">
                  <c:v>3.3494718344223648</c:v>
                </c:pt>
                <c:pt idx="320">
                  <c:v>3.3500159092648891</c:v>
                </c:pt>
                <c:pt idx="321">
                  <c:v>3.350560141480829</c:v>
                </c:pt>
                <c:pt idx="322">
                  <c:v>3.3511045099638683</c:v>
                </c:pt>
                <c:pt idx="323">
                  <c:v>3.3516489940281429</c:v>
                </c:pt>
                <c:pt idx="324">
                  <c:v>3.3521935733999038</c:v>
                </c:pt>
                <c:pt idx="325">
                  <c:v>3.3527382282093887</c:v>
                </c:pt>
                <c:pt idx="326">
                  <c:v>3.353282938982876</c:v>
                </c:pt>
                <c:pt idx="327">
                  <c:v>3.3538276866348964</c:v>
                </c:pt>
                <c:pt idx="328">
                  <c:v>3.3543724524606304</c:v>
                </c:pt>
                <c:pt idx="329">
                  <c:v>3.3549172181284481</c:v>
                </c:pt>
                <c:pt idx="330">
                  <c:v>3.3554619656726326</c:v>
                </c:pt>
                <c:pt idx="331">
                  <c:v>3.3560066774862483</c:v>
                </c:pt>
                <c:pt idx="332">
                  <c:v>3.3565513363141766</c:v>
                </c:pt>
                <c:pt idx="333">
                  <c:v>3.3570959252462558</c:v>
                </c:pt>
                <c:pt idx="334">
                  <c:v>3.3576404277106566</c:v>
                </c:pt>
                <c:pt idx="335">
                  <c:v>3.3581848274672961</c:v>
                </c:pt>
                <c:pt idx="336">
                  <c:v>3.3587291086014575</c:v>
                </c:pt>
                <c:pt idx="337">
                  <c:v>3.3592732555175342</c:v>
                </c:pt>
                <c:pt idx="338">
                  <c:v>3.3598172529328987</c:v>
                </c:pt>
                <c:pt idx="339">
                  <c:v>3.3603610858718849</c:v>
                </c:pt>
                <c:pt idx="340">
                  <c:v>3.3609047396599401</c:v>
                </c:pt>
                <c:pt idx="341">
                  <c:v>3.3614481999178443</c:v>
                </c:pt>
                <c:pt idx="342">
                  <c:v>3.3619914525561212</c:v>
                </c:pt>
                <c:pt idx="343">
                  <c:v>3.3625344837694673</c:v>
                </c:pt>
                <c:pt idx="344">
                  <c:v>3.363077280031407</c:v>
                </c:pt>
                <c:pt idx="345">
                  <c:v>3.3636198280889844</c:v>
                </c:pt>
                <c:pt idx="346">
                  <c:v>3.3641621149575784</c:v>
                </c:pt>
                <c:pt idx="347">
                  <c:v>3.3647041279158501</c:v>
                </c:pt>
                <c:pt idx="348">
                  <c:v>3.3652458545007633</c:v>
                </c:pt>
                <c:pt idx="349">
                  <c:v>3.3657872825027311</c:v>
                </c:pt>
                <c:pt idx="350">
                  <c:v>3.3663283999608558</c:v>
                </c:pt>
                <c:pt idx="351">
                  <c:v>3.3668691951582446</c:v>
                </c:pt>
                <c:pt idx="352">
                  <c:v>3.3674096566174434</c:v>
                </c:pt>
                <c:pt idx="353">
                  <c:v>3.3679497730959946</c:v>
                </c:pt>
                <c:pt idx="354">
                  <c:v>3.368489533581986</c:v>
                </c:pt>
                <c:pt idx="355">
                  <c:v>3.3690289272898171</c:v>
                </c:pt>
                <c:pt idx="356">
                  <c:v>3.3695679436559369</c:v>
                </c:pt>
                <c:pt idx="357">
                  <c:v>3.3701065723347465</c:v>
                </c:pt>
                <c:pt idx="358">
                  <c:v>3.3706448031945659</c:v>
                </c:pt>
                <c:pt idx="359">
                  <c:v>3.3711826263136104</c:v>
                </c:pt>
                <c:pt idx="360">
                  <c:v>3.3717200319761993</c:v>
                </c:pt>
                <c:pt idx="361">
                  <c:v>3.3722570106688718</c:v>
                </c:pt>
                <c:pt idx="362">
                  <c:v>3.3727935530767028</c:v>
                </c:pt>
                <c:pt idx="363">
                  <c:v>3.3733296500796142</c:v>
                </c:pt>
                <c:pt idx="364">
                  <c:v>3.3738652927488197</c:v>
                </c:pt>
                <c:pt idx="365">
                  <c:v>3.3744004723433103</c:v>
                </c:pt>
                <c:pt idx="366">
                  <c:v>3.3749351803063923</c:v>
                </c:pt>
                <c:pt idx="367">
                  <c:v>3.375</c:v>
                </c:pt>
                <c:pt idx="368">
                  <c:v>3.375</c:v>
                </c:pt>
                <c:pt idx="369">
                  <c:v>3.375</c:v>
                </c:pt>
                <c:pt idx="370">
                  <c:v>3.375</c:v>
                </c:pt>
                <c:pt idx="371">
                  <c:v>3.375</c:v>
                </c:pt>
                <c:pt idx="372">
                  <c:v>3.375</c:v>
                </c:pt>
                <c:pt idx="373">
                  <c:v>3.375</c:v>
                </c:pt>
                <c:pt idx="374">
                  <c:v>3.375</c:v>
                </c:pt>
                <c:pt idx="375">
                  <c:v>3.375</c:v>
                </c:pt>
                <c:pt idx="376">
                  <c:v>3.375</c:v>
                </c:pt>
                <c:pt idx="377">
                  <c:v>3.375</c:v>
                </c:pt>
                <c:pt idx="378">
                  <c:v>3.375</c:v>
                </c:pt>
                <c:pt idx="379">
                  <c:v>3.375</c:v>
                </c:pt>
                <c:pt idx="380">
                  <c:v>3.375</c:v>
                </c:pt>
                <c:pt idx="381">
                  <c:v>3.375</c:v>
                </c:pt>
                <c:pt idx="382">
                  <c:v>3.375</c:v>
                </c:pt>
                <c:pt idx="383">
                  <c:v>3.375</c:v>
                </c:pt>
                <c:pt idx="384">
                  <c:v>3.375</c:v>
                </c:pt>
                <c:pt idx="385">
                  <c:v>3.375</c:v>
                </c:pt>
                <c:pt idx="386">
                  <c:v>3.375</c:v>
                </c:pt>
                <c:pt idx="387">
                  <c:v>3.375</c:v>
                </c:pt>
                <c:pt idx="388">
                  <c:v>3.375</c:v>
                </c:pt>
                <c:pt idx="389">
                  <c:v>3.375</c:v>
                </c:pt>
                <c:pt idx="390">
                  <c:v>3.375</c:v>
                </c:pt>
                <c:pt idx="391">
                  <c:v>3.375</c:v>
                </c:pt>
                <c:pt idx="392">
                  <c:v>3.375</c:v>
                </c:pt>
                <c:pt idx="393">
                  <c:v>3.375</c:v>
                </c:pt>
                <c:pt idx="394">
                  <c:v>3.375</c:v>
                </c:pt>
                <c:pt idx="395">
                  <c:v>3.375</c:v>
                </c:pt>
                <c:pt idx="396">
                  <c:v>3.375</c:v>
                </c:pt>
                <c:pt idx="397">
                  <c:v>3.375</c:v>
                </c:pt>
                <c:pt idx="398">
                  <c:v>3.375</c:v>
                </c:pt>
                <c:pt idx="399">
                  <c:v>3.375</c:v>
                </c:pt>
                <c:pt idx="400">
                  <c:v>3.375</c:v>
                </c:pt>
                <c:pt idx="401">
                  <c:v>3.375</c:v>
                </c:pt>
                <c:pt idx="402">
                  <c:v>3.375</c:v>
                </c:pt>
                <c:pt idx="403">
                  <c:v>3.375</c:v>
                </c:pt>
                <c:pt idx="404">
                  <c:v>3.375</c:v>
                </c:pt>
                <c:pt idx="405">
                  <c:v>3.375</c:v>
                </c:pt>
                <c:pt idx="406">
                  <c:v>3.375</c:v>
                </c:pt>
                <c:pt idx="407">
                  <c:v>3.375</c:v>
                </c:pt>
                <c:pt idx="408">
                  <c:v>3.375</c:v>
                </c:pt>
                <c:pt idx="409">
                  <c:v>3.375</c:v>
                </c:pt>
                <c:pt idx="410">
                  <c:v>3.375</c:v>
                </c:pt>
                <c:pt idx="411">
                  <c:v>3.375</c:v>
                </c:pt>
                <c:pt idx="412">
                  <c:v>3.375</c:v>
                </c:pt>
                <c:pt idx="413">
                  <c:v>3.375</c:v>
                </c:pt>
                <c:pt idx="414">
                  <c:v>3.375</c:v>
                </c:pt>
                <c:pt idx="415">
                  <c:v>3.375</c:v>
                </c:pt>
                <c:pt idx="416">
                  <c:v>3.375</c:v>
                </c:pt>
                <c:pt idx="417">
                  <c:v>3.375</c:v>
                </c:pt>
                <c:pt idx="418">
                  <c:v>3.375</c:v>
                </c:pt>
                <c:pt idx="419">
                  <c:v>3.375</c:v>
                </c:pt>
                <c:pt idx="420">
                  <c:v>3.375</c:v>
                </c:pt>
                <c:pt idx="421">
                  <c:v>3.375</c:v>
                </c:pt>
                <c:pt idx="422">
                  <c:v>3.375</c:v>
                </c:pt>
                <c:pt idx="423">
                  <c:v>3.375</c:v>
                </c:pt>
                <c:pt idx="424">
                  <c:v>3.375</c:v>
                </c:pt>
                <c:pt idx="425">
                  <c:v>3.375</c:v>
                </c:pt>
                <c:pt idx="426">
                  <c:v>3.375</c:v>
                </c:pt>
                <c:pt idx="427">
                  <c:v>3.375</c:v>
                </c:pt>
                <c:pt idx="428">
                  <c:v>3.375</c:v>
                </c:pt>
                <c:pt idx="429">
                  <c:v>3.375</c:v>
                </c:pt>
                <c:pt idx="430">
                  <c:v>3.375</c:v>
                </c:pt>
                <c:pt idx="431">
                  <c:v>3.375</c:v>
                </c:pt>
                <c:pt idx="432">
                  <c:v>3.375</c:v>
                </c:pt>
                <c:pt idx="433">
                  <c:v>3.375</c:v>
                </c:pt>
                <c:pt idx="434">
                  <c:v>3.375</c:v>
                </c:pt>
                <c:pt idx="435">
                  <c:v>3.375</c:v>
                </c:pt>
                <c:pt idx="436">
                  <c:v>3.375</c:v>
                </c:pt>
                <c:pt idx="437">
                  <c:v>3.375</c:v>
                </c:pt>
                <c:pt idx="438">
                  <c:v>3.375</c:v>
                </c:pt>
                <c:pt idx="439">
                  <c:v>3.375</c:v>
                </c:pt>
                <c:pt idx="440">
                  <c:v>3.375</c:v>
                </c:pt>
                <c:pt idx="441">
                  <c:v>3.375</c:v>
                </c:pt>
                <c:pt idx="442">
                  <c:v>3.375</c:v>
                </c:pt>
                <c:pt idx="443">
                  <c:v>3.375</c:v>
                </c:pt>
                <c:pt idx="444">
                  <c:v>3.375</c:v>
                </c:pt>
                <c:pt idx="445">
                  <c:v>3.375</c:v>
                </c:pt>
                <c:pt idx="446">
                  <c:v>3.375</c:v>
                </c:pt>
                <c:pt idx="447">
                  <c:v>3.375</c:v>
                </c:pt>
                <c:pt idx="448">
                  <c:v>3.375</c:v>
                </c:pt>
                <c:pt idx="449">
                  <c:v>3.375</c:v>
                </c:pt>
                <c:pt idx="450">
                  <c:v>3.375</c:v>
                </c:pt>
                <c:pt idx="451">
                  <c:v>3.375</c:v>
                </c:pt>
                <c:pt idx="452">
                  <c:v>3.375</c:v>
                </c:pt>
                <c:pt idx="453">
                  <c:v>3.375</c:v>
                </c:pt>
                <c:pt idx="454">
                  <c:v>3.375</c:v>
                </c:pt>
                <c:pt idx="455">
                  <c:v>3.375</c:v>
                </c:pt>
                <c:pt idx="456">
                  <c:v>3.375</c:v>
                </c:pt>
                <c:pt idx="457">
                  <c:v>3.375</c:v>
                </c:pt>
                <c:pt idx="458">
                  <c:v>3.375</c:v>
                </c:pt>
                <c:pt idx="459">
                  <c:v>3.375</c:v>
                </c:pt>
                <c:pt idx="460">
                  <c:v>3.375</c:v>
                </c:pt>
                <c:pt idx="461">
                  <c:v>3.375</c:v>
                </c:pt>
                <c:pt idx="462">
                  <c:v>3.375</c:v>
                </c:pt>
                <c:pt idx="463">
                  <c:v>3.375</c:v>
                </c:pt>
                <c:pt idx="464">
                  <c:v>3.375</c:v>
                </c:pt>
                <c:pt idx="465">
                  <c:v>3.375</c:v>
                </c:pt>
                <c:pt idx="466">
                  <c:v>3.375</c:v>
                </c:pt>
                <c:pt idx="467">
                  <c:v>3.375</c:v>
                </c:pt>
                <c:pt idx="468">
                  <c:v>3.375</c:v>
                </c:pt>
                <c:pt idx="469">
                  <c:v>3.375</c:v>
                </c:pt>
                <c:pt idx="470">
                  <c:v>3.375</c:v>
                </c:pt>
                <c:pt idx="471">
                  <c:v>3.375</c:v>
                </c:pt>
                <c:pt idx="472">
                  <c:v>3.375</c:v>
                </c:pt>
                <c:pt idx="473">
                  <c:v>3.375</c:v>
                </c:pt>
                <c:pt idx="474">
                  <c:v>3.375</c:v>
                </c:pt>
                <c:pt idx="475">
                  <c:v>3.375</c:v>
                </c:pt>
                <c:pt idx="476">
                  <c:v>3.375</c:v>
                </c:pt>
                <c:pt idx="477">
                  <c:v>3.375</c:v>
                </c:pt>
                <c:pt idx="478">
                  <c:v>3.375</c:v>
                </c:pt>
                <c:pt idx="479">
                  <c:v>3.375</c:v>
                </c:pt>
                <c:pt idx="480">
                  <c:v>3.375</c:v>
                </c:pt>
                <c:pt idx="481">
                  <c:v>3.375</c:v>
                </c:pt>
                <c:pt idx="482">
                  <c:v>3.375</c:v>
                </c:pt>
                <c:pt idx="483">
                  <c:v>3.375</c:v>
                </c:pt>
                <c:pt idx="484">
                  <c:v>3.375</c:v>
                </c:pt>
                <c:pt idx="485">
                  <c:v>3.375</c:v>
                </c:pt>
                <c:pt idx="486">
                  <c:v>3.375</c:v>
                </c:pt>
                <c:pt idx="487">
                  <c:v>3.375</c:v>
                </c:pt>
                <c:pt idx="488">
                  <c:v>3.375</c:v>
                </c:pt>
                <c:pt idx="489">
                  <c:v>3.375</c:v>
                </c:pt>
                <c:pt idx="490">
                  <c:v>3.375</c:v>
                </c:pt>
                <c:pt idx="491">
                  <c:v>3.375</c:v>
                </c:pt>
                <c:pt idx="492">
                  <c:v>3.375</c:v>
                </c:pt>
                <c:pt idx="493">
                  <c:v>3.375</c:v>
                </c:pt>
                <c:pt idx="494">
                  <c:v>3.375</c:v>
                </c:pt>
                <c:pt idx="495">
                  <c:v>3.375</c:v>
                </c:pt>
                <c:pt idx="496">
                  <c:v>3.375</c:v>
                </c:pt>
                <c:pt idx="497">
                  <c:v>3.375</c:v>
                </c:pt>
                <c:pt idx="498">
                  <c:v>3.375</c:v>
                </c:pt>
                <c:pt idx="499">
                  <c:v>3.375</c:v>
                </c:pt>
                <c:pt idx="500">
                  <c:v>3.375</c:v>
                </c:pt>
                <c:pt idx="501">
                  <c:v>3.375</c:v>
                </c:pt>
                <c:pt idx="502">
                  <c:v>3.375</c:v>
                </c:pt>
                <c:pt idx="503">
                  <c:v>3.375</c:v>
                </c:pt>
                <c:pt idx="504">
                  <c:v>3.375</c:v>
                </c:pt>
                <c:pt idx="505">
                  <c:v>3.375</c:v>
                </c:pt>
                <c:pt idx="506">
                  <c:v>3.375</c:v>
                </c:pt>
                <c:pt idx="507">
                  <c:v>3.375</c:v>
                </c:pt>
                <c:pt idx="508">
                  <c:v>3.375</c:v>
                </c:pt>
                <c:pt idx="509">
                  <c:v>3.375</c:v>
                </c:pt>
                <c:pt idx="510">
                  <c:v>3.375</c:v>
                </c:pt>
                <c:pt idx="511">
                  <c:v>3.375</c:v>
                </c:pt>
                <c:pt idx="512">
                  <c:v>3.375</c:v>
                </c:pt>
                <c:pt idx="513">
                  <c:v>3.375</c:v>
                </c:pt>
                <c:pt idx="514">
                  <c:v>3.375</c:v>
                </c:pt>
                <c:pt idx="515">
                  <c:v>3.375</c:v>
                </c:pt>
                <c:pt idx="516">
                  <c:v>3.375</c:v>
                </c:pt>
                <c:pt idx="517">
                  <c:v>3.375</c:v>
                </c:pt>
                <c:pt idx="518">
                  <c:v>3.375</c:v>
                </c:pt>
                <c:pt idx="519">
                  <c:v>3.375</c:v>
                </c:pt>
                <c:pt idx="520">
                  <c:v>3.375</c:v>
                </c:pt>
                <c:pt idx="521">
                  <c:v>3.375</c:v>
                </c:pt>
                <c:pt idx="522">
                  <c:v>3.375</c:v>
                </c:pt>
                <c:pt idx="523">
                  <c:v>3.375</c:v>
                </c:pt>
                <c:pt idx="524">
                  <c:v>3.375</c:v>
                </c:pt>
                <c:pt idx="525">
                  <c:v>3.375</c:v>
                </c:pt>
                <c:pt idx="526">
                  <c:v>3.375</c:v>
                </c:pt>
                <c:pt idx="527">
                  <c:v>3.375</c:v>
                </c:pt>
                <c:pt idx="528">
                  <c:v>3.375</c:v>
                </c:pt>
                <c:pt idx="529">
                  <c:v>3.375</c:v>
                </c:pt>
                <c:pt idx="530">
                  <c:v>3.375</c:v>
                </c:pt>
                <c:pt idx="531">
                  <c:v>3.375</c:v>
                </c:pt>
                <c:pt idx="532">
                  <c:v>3.375</c:v>
                </c:pt>
                <c:pt idx="533">
                  <c:v>3.375</c:v>
                </c:pt>
                <c:pt idx="534">
                  <c:v>3.375</c:v>
                </c:pt>
                <c:pt idx="535">
                  <c:v>3.375</c:v>
                </c:pt>
                <c:pt idx="536">
                  <c:v>3.375</c:v>
                </c:pt>
                <c:pt idx="537">
                  <c:v>3.375</c:v>
                </c:pt>
                <c:pt idx="538">
                  <c:v>3.375</c:v>
                </c:pt>
                <c:pt idx="539">
                  <c:v>3.375</c:v>
                </c:pt>
                <c:pt idx="540">
                  <c:v>3.375</c:v>
                </c:pt>
                <c:pt idx="541">
                  <c:v>3.375</c:v>
                </c:pt>
                <c:pt idx="542">
                  <c:v>3.375</c:v>
                </c:pt>
                <c:pt idx="543">
                  <c:v>3.375</c:v>
                </c:pt>
                <c:pt idx="544">
                  <c:v>3.375</c:v>
                </c:pt>
                <c:pt idx="545">
                  <c:v>3.375</c:v>
                </c:pt>
                <c:pt idx="546">
                  <c:v>3.375</c:v>
                </c:pt>
                <c:pt idx="547">
                  <c:v>3.375</c:v>
                </c:pt>
                <c:pt idx="548">
                  <c:v>3.375</c:v>
                </c:pt>
                <c:pt idx="549">
                  <c:v>3.375</c:v>
                </c:pt>
                <c:pt idx="550">
                  <c:v>3.375</c:v>
                </c:pt>
                <c:pt idx="551">
                  <c:v>3.375</c:v>
                </c:pt>
                <c:pt idx="552">
                  <c:v>3.375</c:v>
                </c:pt>
                <c:pt idx="553">
                  <c:v>3.375</c:v>
                </c:pt>
                <c:pt idx="554">
                  <c:v>3.375</c:v>
                </c:pt>
                <c:pt idx="555">
                  <c:v>3.375</c:v>
                </c:pt>
                <c:pt idx="556">
                  <c:v>3.375</c:v>
                </c:pt>
                <c:pt idx="557">
                  <c:v>3.375</c:v>
                </c:pt>
                <c:pt idx="558">
                  <c:v>3.375</c:v>
                </c:pt>
                <c:pt idx="559">
                  <c:v>3.375</c:v>
                </c:pt>
                <c:pt idx="560">
                  <c:v>3.375</c:v>
                </c:pt>
                <c:pt idx="561">
                  <c:v>3.375</c:v>
                </c:pt>
                <c:pt idx="562">
                  <c:v>3.375</c:v>
                </c:pt>
                <c:pt idx="563">
                  <c:v>3.375</c:v>
                </c:pt>
                <c:pt idx="564">
                  <c:v>3.375</c:v>
                </c:pt>
                <c:pt idx="565">
                  <c:v>3.375</c:v>
                </c:pt>
                <c:pt idx="566">
                  <c:v>3.375</c:v>
                </c:pt>
                <c:pt idx="567">
                  <c:v>3.375</c:v>
                </c:pt>
                <c:pt idx="568">
                  <c:v>3.375</c:v>
                </c:pt>
                <c:pt idx="569">
                  <c:v>3.375</c:v>
                </c:pt>
                <c:pt idx="570">
                  <c:v>3.375</c:v>
                </c:pt>
                <c:pt idx="571">
                  <c:v>3.375</c:v>
                </c:pt>
                <c:pt idx="572">
                  <c:v>3.375</c:v>
                </c:pt>
                <c:pt idx="573">
                  <c:v>3.375</c:v>
                </c:pt>
                <c:pt idx="574">
                  <c:v>3.375</c:v>
                </c:pt>
                <c:pt idx="575">
                  <c:v>3.375</c:v>
                </c:pt>
                <c:pt idx="576">
                  <c:v>3.375</c:v>
                </c:pt>
                <c:pt idx="577">
                  <c:v>3.375</c:v>
                </c:pt>
                <c:pt idx="578">
                  <c:v>3.375</c:v>
                </c:pt>
                <c:pt idx="579">
                  <c:v>3.375</c:v>
                </c:pt>
                <c:pt idx="580">
                  <c:v>3.375</c:v>
                </c:pt>
                <c:pt idx="581">
                  <c:v>3.375</c:v>
                </c:pt>
                <c:pt idx="582">
                  <c:v>3.375</c:v>
                </c:pt>
                <c:pt idx="583">
                  <c:v>3.375</c:v>
                </c:pt>
                <c:pt idx="584">
                  <c:v>3.375</c:v>
                </c:pt>
                <c:pt idx="585">
                  <c:v>3.375</c:v>
                </c:pt>
                <c:pt idx="586">
                  <c:v>3.375</c:v>
                </c:pt>
                <c:pt idx="587">
                  <c:v>3.375</c:v>
                </c:pt>
                <c:pt idx="588">
                  <c:v>3.375</c:v>
                </c:pt>
                <c:pt idx="589">
                  <c:v>3.375</c:v>
                </c:pt>
                <c:pt idx="590">
                  <c:v>3.375</c:v>
                </c:pt>
                <c:pt idx="591">
                  <c:v>3.375</c:v>
                </c:pt>
                <c:pt idx="592">
                  <c:v>3.375</c:v>
                </c:pt>
                <c:pt idx="593">
                  <c:v>3.375</c:v>
                </c:pt>
                <c:pt idx="594">
                  <c:v>3.375</c:v>
                </c:pt>
                <c:pt idx="595">
                  <c:v>3.375</c:v>
                </c:pt>
                <c:pt idx="596">
                  <c:v>3.375</c:v>
                </c:pt>
                <c:pt idx="597">
                  <c:v>3.375</c:v>
                </c:pt>
                <c:pt idx="598">
                  <c:v>3.375</c:v>
                </c:pt>
                <c:pt idx="599">
                  <c:v>3.375</c:v>
                </c:pt>
                <c:pt idx="600">
                  <c:v>3.375</c:v>
                </c:pt>
                <c:pt idx="601">
                  <c:v>3.375</c:v>
                </c:pt>
                <c:pt idx="602">
                  <c:v>3.375</c:v>
                </c:pt>
                <c:pt idx="603">
                  <c:v>3.375</c:v>
                </c:pt>
                <c:pt idx="604">
                  <c:v>3.375</c:v>
                </c:pt>
                <c:pt idx="605">
                  <c:v>3.375</c:v>
                </c:pt>
                <c:pt idx="606">
                  <c:v>3.375</c:v>
                </c:pt>
                <c:pt idx="607">
                  <c:v>3.375</c:v>
                </c:pt>
                <c:pt idx="608">
                  <c:v>3.375</c:v>
                </c:pt>
                <c:pt idx="609">
                  <c:v>3.375</c:v>
                </c:pt>
                <c:pt idx="610">
                  <c:v>3.375</c:v>
                </c:pt>
                <c:pt idx="611">
                  <c:v>3.375</c:v>
                </c:pt>
                <c:pt idx="612">
                  <c:v>3.375</c:v>
                </c:pt>
                <c:pt idx="613">
                  <c:v>3.375</c:v>
                </c:pt>
                <c:pt idx="614">
                  <c:v>3.375</c:v>
                </c:pt>
                <c:pt idx="615">
                  <c:v>3.375</c:v>
                </c:pt>
                <c:pt idx="616">
                  <c:v>3.375</c:v>
                </c:pt>
                <c:pt idx="617">
                  <c:v>3.375</c:v>
                </c:pt>
                <c:pt idx="618">
                  <c:v>3.375</c:v>
                </c:pt>
              </c:numCache>
            </c:numRef>
          </c:xVal>
          <c:yVal>
            <c:numRef>
              <c:f>Current_limit!$O$23:$O$641</c:f>
              <c:numCache>
                <c:formatCode>0.000</c:formatCode>
                <c:ptCount val="619"/>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5.0000000000000009</c:v>
                </c:pt>
                <c:pt idx="27">
                  <c:v>5</c:v>
                </c:pt>
                <c:pt idx="28">
                  <c:v>5</c:v>
                </c:pt>
                <c:pt idx="29">
                  <c:v>5</c:v>
                </c:pt>
                <c:pt idx="30">
                  <c:v>5</c:v>
                </c:pt>
                <c:pt idx="31">
                  <c:v>5</c:v>
                </c:pt>
                <c:pt idx="32">
                  <c:v>5</c:v>
                </c:pt>
                <c:pt idx="33">
                  <c:v>5</c:v>
                </c:pt>
                <c:pt idx="34">
                  <c:v>5</c:v>
                </c:pt>
                <c:pt idx="35">
                  <c:v>4.9999999999999991</c:v>
                </c:pt>
                <c:pt idx="36">
                  <c:v>5</c:v>
                </c:pt>
                <c:pt idx="37">
                  <c:v>5</c:v>
                </c:pt>
                <c:pt idx="38">
                  <c:v>5</c:v>
                </c:pt>
                <c:pt idx="39">
                  <c:v>5</c:v>
                </c:pt>
                <c:pt idx="40">
                  <c:v>5</c:v>
                </c:pt>
                <c:pt idx="41">
                  <c:v>5</c:v>
                </c:pt>
                <c:pt idx="42">
                  <c:v>5</c:v>
                </c:pt>
                <c:pt idx="43">
                  <c:v>5</c:v>
                </c:pt>
                <c:pt idx="44">
                  <c:v>5</c:v>
                </c:pt>
                <c:pt idx="45">
                  <c:v>5</c:v>
                </c:pt>
                <c:pt idx="46">
                  <c:v>5</c:v>
                </c:pt>
                <c:pt idx="47">
                  <c:v>5</c:v>
                </c:pt>
                <c:pt idx="48">
                  <c:v>5</c:v>
                </c:pt>
                <c:pt idx="49">
                  <c:v>5</c:v>
                </c:pt>
                <c:pt idx="50">
                  <c:v>5</c:v>
                </c:pt>
                <c:pt idx="51">
                  <c:v>5</c:v>
                </c:pt>
                <c:pt idx="52">
                  <c:v>5</c:v>
                </c:pt>
                <c:pt idx="53">
                  <c:v>5</c:v>
                </c:pt>
                <c:pt idx="54">
                  <c:v>5</c:v>
                </c:pt>
                <c:pt idx="55">
                  <c:v>5</c:v>
                </c:pt>
                <c:pt idx="56">
                  <c:v>5</c:v>
                </c:pt>
                <c:pt idx="57">
                  <c:v>5</c:v>
                </c:pt>
                <c:pt idx="58">
                  <c:v>5</c:v>
                </c:pt>
                <c:pt idx="59">
                  <c:v>5</c:v>
                </c:pt>
                <c:pt idx="60">
                  <c:v>5</c:v>
                </c:pt>
                <c:pt idx="61">
                  <c:v>5</c:v>
                </c:pt>
                <c:pt idx="62">
                  <c:v>5</c:v>
                </c:pt>
                <c:pt idx="63">
                  <c:v>5</c:v>
                </c:pt>
                <c:pt idx="64">
                  <c:v>5</c:v>
                </c:pt>
                <c:pt idx="65">
                  <c:v>5</c:v>
                </c:pt>
                <c:pt idx="66">
                  <c:v>5</c:v>
                </c:pt>
                <c:pt idx="67">
                  <c:v>5</c:v>
                </c:pt>
                <c:pt idx="68">
                  <c:v>5</c:v>
                </c:pt>
                <c:pt idx="69">
                  <c:v>5</c:v>
                </c:pt>
                <c:pt idx="70">
                  <c:v>5</c:v>
                </c:pt>
                <c:pt idx="71">
                  <c:v>5</c:v>
                </c:pt>
                <c:pt idx="72">
                  <c:v>5</c:v>
                </c:pt>
                <c:pt idx="73">
                  <c:v>5</c:v>
                </c:pt>
                <c:pt idx="74">
                  <c:v>5</c:v>
                </c:pt>
                <c:pt idx="75">
                  <c:v>5</c:v>
                </c:pt>
                <c:pt idx="76">
                  <c:v>5</c:v>
                </c:pt>
                <c:pt idx="77">
                  <c:v>5</c:v>
                </c:pt>
                <c:pt idx="78">
                  <c:v>5</c:v>
                </c:pt>
                <c:pt idx="79">
                  <c:v>5</c:v>
                </c:pt>
                <c:pt idx="80">
                  <c:v>5</c:v>
                </c:pt>
                <c:pt idx="81">
                  <c:v>5</c:v>
                </c:pt>
                <c:pt idx="82">
                  <c:v>5</c:v>
                </c:pt>
                <c:pt idx="83">
                  <c:v>5</c:v>
                </c:pt>
                <c:pt idx="84">
                  <c:v>5</c:v>
                </c:pt>
                <c:pt idx="85">
                  <c:v>5</c:v>
                </c:pt>
                <c:pt idx="86">
                  <c:v>5</c:v>
                </c:pt>
                <c:pt idx="87">
                  <c:v>5</c:v>
                </c:pt>
                <c:pt idx="88">
                  <c:v>5</c:v>
                </c:pt>
                <c:pt idx="89">
                  <c:v>5</c:v>
                </c:pt>
                <c:pt idx="90">
                  <c:v>5</c:v>
                </c:pt>
                <c:pt idx="91">
                  <c:v>5</c:v>
                </c:pt>
                <c:pt idx="92">
                  <c:v>5</c:v>
                </c:pt>
                <c:pt idx="93">
                  <c:v>5</c:v>
                </c:pt>
                <c:pt idx="94">
                  <c:v>5</c:v>
                </c:pt>
                <c:pt idx="95">
                  <c:v>5</c:v>
                </c:pt>
                <c:pt idx="96">
                  <c:v>5</c:v>
                </c:pt>
                <c:pt idx="97">
                  <c:v>5</c:v>
                </c:pt>
                <c:pt idx="98">
                  <c:v>5</c:v>
                </c:pt>
                <c:pt idx="99">
                  <c:v>5</c:v>
                </c:pt>
                <c:pt idx="100">
                  <c:v>5</c:v>
                </c:pt>
                <c:pt idx="101">
                  <c:v>5</c:v>
                </c:pt>
                <c:pt idx="102">
                  <c:v>5</c:v>
                </c:pt>
                <c:pt idx="103">
                  <c:v>5</c:v>
                </c:pt>
                <c:pt idx="104">
                  <c:v>5</c:v>
                </c:pt>
                <c:pt idx="105">
                  <c:v>5</c:v>
                </c:pt>
                <c:pt idx="106">
                  <c:v>5</c:v>
                </c:pt>
                <c:pt idx="107">
                  <c:v>5</c:v>
                </c:pt>
                <c:pt idx="108">
                  <c:v>5</c:v>
                </c:pt>
                <c:pt idx="109">
                  <c:v>5</c:v>
                </c:pt>
                <c:pt idx="110">
                  <c:v>5</c:v>
                </c:pt>
                <c:pt idx="111">
                  <c:v>5</c:v>
                </c:pt>
                <c:pt idx="112">
                  <c:v>5</c:v>
                </c:pt>
                <c:pt idx="113">
                  <c:v>5</c:v>
                </c:pt>
                <c:pt idx="114">
                  <c:v>5</c:v>
                </c:pt>
                <c:pt idx="115">
                  <c:v>5</c:v>
                </c:pt>
                <c:pt idx="116">
                  <c:v>5</c:v>
                </c:pt>
                <c:pt idx="117">
                  <c:v>5</c:v>
                </c:pt>
                <c:pt idx="118">
                  <c:v>5</c:v>
                </c:pt>
                <c:pt idx="119">
                  <c:v>5</c:v>
                </c:pt>
                <c:pt idx="120">
                  <c:v>5</c:v>
                </c:pt>
                <c:pt idx="121">
                  <c:v>5</c:v>
                </c:pt>
                <c:pt idx="122">
                  <c:v>5</c:v>
                </c:pt>
                <c:pt idx="123">
                  <c:v>5</c:v>
                </c:pt>
                <c:pt idx="124">
                  <c:v>5</c:v>
                </c:pt>
                <c:pt idx="125">
                  <c:v>5</c:v>
                </c:pt>
                <c:pt idx="126">
                  <c:v>5</c:v>
                </c:pt>
                <c:pt idx="127">
                  <c:v>5</c:v>
                </c:pt>
                <c:pt idx="128">
                  <c:v>5</c:v>
                </c:pt>
                <c:pt idx="129">
                  <c:v>5</c:v>
                </c:pt>
                <c:pt idx="130">
                  <c:v>5</c:v>
                </c:pt>
                <c:pt idx="131">
                  <c:v>5</c:v>
                </c:pt>
                <c:pt idx="132">
                  <c:v>5</c:v>
                </c:pt>
                <c:pt idx="133">
                  <c:v>5</c:v>
                </c:pt>
                <c:pt idx="134">
                  <c:v>5</c:v>
                </c:pt>
                <c:pt idx="135">
                  <c:v>5</c:v>
                </c:pt>
                <c:pt idx="136">
                  <c:v>5</c:v>
                </c:pt>
                <c:pt idx="137">
                  <c:v>5</c:v>
                </c:pt>
                <c:pt idx="138">
                  <c:v>5</c:v>
                </c:pt>
                <c:pt idx="139">
                  <c:v>5</c:v>
                </c:pt>
                <c:pt idx="140">
                  <c:v>4.9999999999999991</c:v>
                </c:pt>
                <c:pt idx="141">
                  <c:v>5.0000000000000009</c:v>
                </c:pt>
                <c:pt idx="142">
                  <c:v>5</c:v>
                </c:pt>
                <c:pt idx="143">
                  <c:v>5</c:v>
                </c:pt>
                <c:pt idx="144">
                  <c:v>5.0000000000000009</c:v>
                </c:pt>
                <c:pt idx="145">
                  <c:v>5</c:v>
                </c:pt>
                <c:pt idx="146">
                  <c:v>5</c:v>
                </c:pt>
                <c:pt idx="147">
                  <c:v>5</c:v>
                </c:pt>
                <c:pt idx="148">
                  <c:v>5</c:v>
                </c:pt>
                <c:pt idx="149">
                  <c:v>5</c:v>
                </c:pt>
                <c:pt idx="150">
                  <c:v>5</c:v>
                </c:pt>
                <c:pt idx="151">
                  <c:v>5</c:v>
                </c:pt>
                <c:pt idx="152">
                  <c:v>5</c:v>
                </c:pt>
                <c:pt idx="153">
                  <c:v>4.9999999999999991</c:v>
                </c:pt>
                <c:pt idx="154">
                  <c:v>4.9999999999999991</c:v>
                </c:pt>
                <c:pt idx="155">
                  <c:v>5</c:v>
                </c:pt>
                <c:pt idx="156">
                  <c:v>5</c:v>
                </c:pt>
                <c:pt idx="157">
                  <c:v>5</c:v>
                </c:pt>
                <c:pt idx="158">
                  <c:v>5</c:v>
                </c:pt>
                <c:pt idx="159">
                  <c:v>5</c:v>
                </c:pt>
                <c:pt idx="160">
                  <c:v>5</c:v>
                </c:pt>
                <c:pt idx="161">
                  <c:v>5</c:v>
                </c:pt>
                <c:pt idx="162">
                  <c:v>4.9999999999999991</c:v>
                </c:pt>
                <c:pt idx="163">
                  <c:v>5</c:v>
                </c:pt>
                <c:pt idx="164">
                  <c:v>5</c:v>
                </c:pt>
                <c:pt idx="165">
                  <c:v>5</c:v>
                </c:pt>
                <c:pt idx="166">
                  <c:v>5</c:v>
                </c:pt>
                <c:pt idx="167">
                  <c:v>5</c:v>
                </c:pt>
                <c:pt idx="168">
                  <c:v>5</c:v>
                </c:pt>
                <c:pt idx="169">
                  <c:v>5</c:v>
                </c:pt>
                <c:pt idx="170">
                  <c:v>5</c:v>
                </c:pt>
                <c:pt idx="171">
                  <c:v>5</c:v>
                </c:pt>
                <c:pt idx="172">
                  <c:v>5</c:v>
                </c:pt>
                <c:pt idx="173">
                  <c:v>5</c:v>
                </c:pt>
                <c:pt idx="174">
                  <c:v>5</c:v>
                </c:pt>
                <c:pt idx="175">
                  <c:v>5</c:v>
                </c:pt>
                <c:pt idx="176">
                  <c:v>5</c:v>
                </c:pt>
                <c:pt idx="177">
                  <c:v>5</c:v>
                </c:pt>
                <c:pt idx="178">
                  <c:v>5</c:v>
                </c:pt>
                <c:pt idx="179">
                  <c:v>5</c:v>
                </c:pt>
                <c:pt idx="180">
                  <c:v>5</c:v>
                </c:pt>
                <c:pt idx="181">
                  <c:v>5</c:v>
                </c:pt>
                <c:pt idx="182">
                  <c:v>5</c:v>
                </c:pt>
                <c:pt idx="183">
                  <c:v>5</c:v>
                </c:pt>
                <c:pt idx="184">
                  <c:v>5</c:v>
                </c:pt>
                <c:pt idx="185">
                  <c:v>5</c:v>
                </c:pt>
                <c:pt idx="186">
                  <c:v>5</c:v>
                </c:pt>
                <c:pt idx="187">
                  <c:v>5</c:v>
                </c:pt>
                <c:pt idx="188">
                  <c:v>5</c:v>
                </c:pt>
                <c:pt idx="189">
                  <c:v>5</c:v>
                </c:pt>
                <c:pt idx="190">
                  <c:v>5</c:v>
                </c:pt>
                <c:pt idx="191">
                  <c:v>5</c:v>
                </c:pt>
                <c:pt idx="192">
                  <c:v>5</c:v>
                </c:pt>
                <c:pt idx="193">
                  <c:v>5</c:v>
                </c:pt>
                <c:pt idx="194">
                  <c:v>5</c:v>
                </c:pt>
                <c:pt idx="195">
                  <c:v>5</c:v>
                </c:pt>
                <c:pt idx="196">
                  <c:v>5</c:v>
                </c:pt>
                <c:pt idx="197">
                  <c:v>5</c:v>
                </c:pt>
                <c:pt idx="198">
                  <c:v>5</c:v>
                </c:pt>
                <c:pt idx="199">
                  <c:v>5</c:v>
                </c:pt>
                <c:pt idx="200">
                  <c:v>5</c:v>
                </c:pt>
                <c:pt idx="201">
                  <c:v>5</c:v>
                </c:pt>
                <c:pt idx="202">
                  <c:v>5</c:v>
                </c:pt>
                <c:pt idx="203">
                  <c:v>5</c:v>
                </c:pt>
                <c:pt idx="204">
                  <c:v>5</c:v>
                </c:pt>
                <c:pt idx="205">
                  <c:v>5</c:v>
                </c:pt>
                <c:pt idx="206">
                  <c:v>5</c:v>
                </c:pt>
                <c:pt idx="207">
                  <c:v>5</c:v>
                </c:pt>
                <c:pt idx="208">
                  <c:v>5</c:v>
                </c:pt>
                <c:pt idx="209">
                  <c:v>5</c:v>
                </c:pt>
                <c:pt idx="210">
                  <c:v>5</c:v>
                </c:pt>
                <c:pt idx="211">
                  <c:v>5</c:v>
                </c:pt>
                <c:pt idx="212">
                  <c:v>5</c:v>
                </c:pt>
                <c:pt idx="213">
                  <c:v>5</c:v>
                </c:pt>
                <c:pt idx="214">
                  <c:v>5</c:v>
                </c:pt>
                <c:pt idx="215">
                  <c:v>5</c:v>
                </c:pt>
                <c:pt idx="216">
                  <c:v>5</c:v>
                </c:pt>
                <c:pt idx="217">
                  <c:v>5</c:v>
                </c:pt>
                <c:pt idx="218">
                  <c:v>5</c:v>
                </c:pt>
                <c:pt idx="219">
                  <c:v>5</c:v>
                </c:pt>
                <c:pt idx="220">
                  <c:v>5</c:v>
                </c:pt>
                <c:pt idx="221">
                  <c:v>5</c:v>
                </c:pt>
                <c:pt idx="222">
                  <c:v>5</c:v>
                </c:pt>
                <c:pt idx="223">
                  <c:v>5</c:v>
                </c:pt>
                <c:pt idx="224">
                  <c:v>5</c:v>
                </c:pt>
                <c:pt idx="225">
                  <c:v>5</c:v>
                </c:pt>
                <c:pt idx="226">
                  <c:v>5</c:v>
                </c:pt>
                <c:pt idx="227">
                  <c:v>5</c:v>
                </c:pt>
                <c:pt idx="228">
                  <c:v>5</c:v>
                </c:pt>
                <c:pt idx="229">
                  <c:v>5</c:v>
                </c:pt>
                <c:pt idx="230">
                  <c:v>5</c:v>
                </c:pt>
                <c:pt idx="231">
                  <c:v>5</c:v>
                </c:pt>
                <c:pt idx="232">
                  <c:v>5</c:v>
                </c:pt>
                <c:pt idx="233">
                  <c:v>5</c:v>
                </c:pt>
                <c:pt idx="234">
                  <c:v>5</c:v>
                </c:pt>
                <c:pt idx="235">
                  <c:v>5</c:v>
                </c:pt>
                <c:pt idx="236">
                  <c:v>5</c:v>
                </c:pt>
                <c:pt idx="237">
                  <c:v>5</c:v>
                </c:pt>
                <c:pt idx="238">
                  <c:v>5</c:v>
                </c:pt>
                <c:pt idx="239">
                  <c:v>5</c:v>
                </c:pt>
                <c:pt idx="240">
                  <c:v>5</c:v>
                </c:pt>
                <c:pt idx="241">
                  <c:v>5</c:v>
                </c:pt>
                <c:pt idx="242">
                  <c:v>5</c:v>
                </c:pt>
                <c:pt idx="243">
                  <c:v>5</c:v>
                </c:pt>
                <c:pt idx="244">
                  <c:v>5</c:v>
                </c:pt>
                <c:pt idx="245">
                  <c:v>5</c:v>
                </c:pt>
                <c:pt idx="246">
                  <c:v>5</c:v>
                </c:pt>
                <c:pt idx="247">
                  <c:v>5</c:v>
                </c:pt>
                <c:pt idx="248">
                  <c:v>5</c:v>
                </c:pt>
                <c:pt idx="249">
                  <c:v>5</c:v>
                </c:pt>
                <c:pt idx="250">
                  <c:v>4.9911453644467345</c:v>
                </c:pt>
                <c:pt idx="251">
                  <c:v>4.976826197303164</c:v>
                </c:pt>
                <c:pt idx="252">
                  <c:v>4.9625978559534039</c:v>
                </c:pt>
                <c:pt idx="253">
                  <c:v>4.9484593952009899</c:v>
                </c:pt>
                <c:pt idx="254">
                  <c:v>4.9344098839657642</c:v>
                </c:pt>
                <c:pt idx="255">
                  <c:v>4.9204484050049242</c:v>
                </c:pt>
                <c:pt idx="256">
                  <c:v>4.9065740546409566</c:v>
                </c:pt>
                <c:pt idx="257">
                  <c:v>4.8927859424963041</c:v>
                </c:pt>
                <c:pt idx="258">
                  <c:v>4.8790831912344768</c:v>
                </c:pt>
                <c:pt idx="259">
                  <c:v>4.865464936307518</c:v>
                </c:pt>
                <c:pt idx="260">
                  <c:v>4.8519303257095663</c:v>
                </c:pt>
                <c:pt idx="261">
                  <c:v>4.8384785197363689</c:v>
                </c:pt>
                <c:pt idx="262">
                  <c:v>4.8251086907505716</c:v>
                </c:pt>
                <c:pt idx="263">
                  <c:v>4.8118200229525954</c:v>
                </c:pt>
                <c:pt idx="264">
                  <c:v>4.7986117121569754</c:v>
                </c:pt>
                <c:pt idx="265">
                  <c:v>4.7854829655739852</c:v>
                </c:pt>
                <c:pt idx="266">
                  <c:v>4.7724330015963838</c:v>
                </c:pt>
                <c:pt idx="267">
                  <c:v>4.7594610495911658</c:v>
                </c:pt>
                <c:pt idx="268">
                  <c:v>4.7465663496961632</c:v>
                </c:pt>
                <c:pt idx="269">
                  <c:v>4.7337481526213532</c:v>
                </c:pt>
                <c:pt idx="270">
                  <c:v>4.7210057194547748</c:v>
                </c:pt>
                <c:pt idx="271">
                  <c:v>4.7083383214728425</c:v>
                </c:pt>
                <c:pt idx="272">
                  <c:v>4.6957452399550883</c:v>
                </c:pt>
                <c:pt idx="273">
                  <c:v>4.6832257660030123</c:v>
                </c:pt>
                <c:pt idx="274">
                  <c:v>4.6707792003631159</c:v>
                </c:pt>
                <c:pt idx="275">
                  <c:v>4.6584048532538738</c:v>
                </c:pt>
                <c:pt idx="276">
                  <c:v>4.6461020441966063</c:v>
                </c:pt>
                <c:pt idx="277">
                  <c:v>4.6338701018501212</c:v>
                </c:pt>
                <c:pt idx="278">
                  <c:v>4.621708363849014</c:v>
                </c:pt>
                <c:pt idx="279">
                  <c:v>4.6096161766455763</c:v>
                </c:pt>
                <c:pt idx="280">
                  <c:v>4.597592895355163</c:v>
                </c:pt>
                <c:pt idx="281">
                  <c:v>4.5856378836049236</c:v>
                </c:pt>
                <c:pt idx="282">
                  <c:v>4.5737505133858951</c:v>
                </c:pt>
                <c:pt idx="283">
                  <c:v>4.5619301649082304</c:v>
                </c:pt>
                <c:pt idx="284">
                  <c:v>4.5501762264596382</c:v>
                </c:pt>
                <c:pt idx="285">
                  <c:v>4.5384880942667856</c:v>
                </c:pt>
                <c:pt idx="286">
                  <c:v>4.5268651723597211</c:v>
                </c:pt>
                <c:pt idx="287">
                  <c:v>4.5153068724391821</c:v>
                </c:pt>
                <c:pt idx="288">
                  <c:v>4.5038126137467192</c:v>
                </c:pt>
                <c:pt idx="289">
                  <c:v>4.4923818229375447</c:v>
                </c:pt>
                <c:pt idx="290">
                  <c:v>4.4810139339560795</c:v>
                </c:pt>
                <c:pt idx="291">
                  <c:v>4.4697083879141077</c:v>
                </c:pt>
                <c:pt idx="292">
                  <c:v>4.4584646329714595</c:v>
                </c:pt>
                <c:pt idx="293">
                  <c:v>4.44728212421919</c:v>
                </c:pt>
                <c:pt idx="294">
                  <c:v>4.4361603235651401</c:v>
                </c:pt>
                <c:pt idx="295">
                  <c:v>4.4250986996219259</c:v>
                </c:pt>
                <c:pt idx="296">
                  <c:v>4.4140967275971219</c:v>
                </c:pt>
                <c:pt idx="297">
                  <c:v>4.4031538891857869</c:v>
                </c:pt>
                <c:pt idx="298">
                  <c:v>4.3922696724651207</c:v>
                </c:pt>
                <c:pt idx="299">
                  <c:v>4.3814435717912499</c:v>
                </c:pt>
                <c:pt idx="300">
                  <c:v>4.3706750876981308</c:v>
                </c:pt>
                <c:pt idx="301">
                  <c:v>4.3599637267984583</c:v>
                </c:pt>
                <c:pt idx="302">
                  <c:v>4.3493090016865485</c:v>
                </c:pt>
                <c:pt idx="303">
                  <c:v>4.3387104308431912</c:v>
                </c:pt>
                <c:pt idx="304">
                  <c:v>4.3281675385423375</c:v>
                </c:pt>
                <c:pt idx="305">
                  <c:v>4.3176798547596951</c:v>
                </c:pt>
                <c:pt idx="306">
                  <c:v>4.3072469150830459</c:v>
                </c:pt>
                <c:pt idx="307">
                  <c:v>4.2968682606244082</c:v>
                </c:pt>
                <c:pt idx="308">
                  <c:v>4.2865434379338279</c:v>
                </c:pt>
                <c:pt idx="309">
                  <c:v>4.2762719989149058</c:v>
                </c:pt>
                <c:pt idx="310">
                  <c:v>4.2660535007419309</c:v>
                </c:pt>
                <c:pt idx="311">
                  <c:v>4.2558875057786203</c:v>
                </c:pt>
                <c:pt idx="312">
                  <c:v>4.245773581498427</c:v>
                </c:pt>
                <c:pt idx="313">
                  <c:v>4.2357113004063471</c:v>
                </c:pt>
                <c:pt idx="314">
                  <c:v>4.2257002399622783</c:v>
                </c:pt>
                <c:pt idx="315">
                  <c:v>4.2157399825057231</c:v>
                </c:pt>
                <c:pt idx="316">
                  <c:v>4.2058301151820299</c:v>
                </c:pt>
                <c:pt idx="317">
                  <c:v>4.1959702298699728</c:v>
                </c:pt>
                <c:pt idx="318">
                  <c:v>4.1861599231106785</c:v>
                </c:pt>
                <c:pt idx="319">
                  <c:v>4.1763987960379056</c:v>
                </c:pt>
                <c:pt idx="320">
                  <c:v>4.1666864543096072</c:v>
                </c:pt>
                <c:pt idx="321">
                  <c:v>4.1570225080407743</c:v>
                </c:pt>
                <c:pt idx="322">
                  <c:v>4.1474065717375046</c:v>
                </c:pt>
                <c:pt idx="323">
                  <c:v>4.137838264232319</c:v>
                </c:pt>
                <c:pt idx="324">
                  <c:v>4.128317208620615</c:v>
                </c:pt>
                <c:pt idx="325">
                  <c:v>4.1188430321983098</c:v>
                </c:pt>
                <c:pt idx="326">
                  <c:v>4.1094153664006265</c:v>
                </c:pt>
                <c:pt idx="327">
                  <c:v>4.1000338467419706</c:v>
                </c:pt>
                <c:pt idx="328">
                  <c:v>4.0906981127569102</c:v>
                </c:pt>
                <c:pt idx="329">
                  <c:v>4.0814078079421945</c:v>
                </c:pt>
                <c:pt idx="330">
                  <c:v>4.0721625796998406</c:v>
                </c:pt>
                <c:pt idx="331">
                  <c:v>4.062962079281216</c:v>
                </c:pt>
                <c:pt idx="332">
                  <c:v>4.0538059617321416</c:v>
                </c:pt>
                <c:pt idx="333">
                  <c:v>4.0446938858389059</c:v>
                </c:pt>
                <c:pt idx="334">
                  <c:v>4.0356255140753525</c:v>
                </c:pt>
                <c:pt idx="335">
                  <c:v>4.0266005125507585</c:v>
                </c:pt>
                <c:pt idx="336">
                  <c:v>4.0176185509587254</c:v>
                </c:pt>
                <c:pt idx="337">
                  <c:v>4.0086793025269341</c:v>
                </c:pt>
                <c:pt idx="338">
                  <c:v>3.9997824439677805</c:v>
                </c:pt>
                <c:pt idx="339">
                  <c:v>3.9909276554298359</c:v>
                </c:pt>
                <c:pt idx="340">
                  <c:v>3.98211462045021</c:v>
                </c:pt>
                <c:pt idx="341">
                  <c:v>3.9733430259076612</c:v>
                </c:pt>
                <c:pt idx="342">
                  <c:v>3.9646125619766015</c:v>
                </c:pt>
                <c:pt idx="343">
                  <c:v>3.9559229220817702</c:v>
                </c:pt>
                <c:pt idx="344">
                  <c:v>3.9472738028538075</c:v>
                </c:pt>
                <c:pt idx="345">
                  <c:v>3.9386649040855057</c:v>
                </c:pt>
                <c:pt idx="346">
                  <c:v>3.9300959286888042</c:v>
                </c:pt>
                <c:pt idx="347">
                  <c:v>3.9215665826525492</c:v>
                </c:pt>
                <c:pt idx="348">
                  <c:v>3.9130765750009311</c:v>
                </c:pt>
                <c:pt idx="349">
                  <c:v>3.9046256177526324</c:v>
                </c:pt>
                <c:pt idx="350">
                  <c:v>3.8962134258806636</c:v>
                </c:pt>
                <c:pt idx="351">
                  <c:v>3.8878397172728434</c:v>
                </c:pt>
                <c:pt idx="352">
                  <c:v>3.8795042126929511</c:v>
                </c:pt>
                <c:pt idx="353">
                  <c:v>3.8712066357425665</c:v>
                </c:pt>
                <c:pt idx="354">
                  <c:v>3.8629467128234225</c:v>
                </c:pt>
                <c:pt idx="355">
                  <c:v>3.8547241731005211</c:v>
                </c:pt>
                <c:pt idx="356">
                  <c:v>3.8465387484657252</c:v>
                </c:pt>
                <c:pt idx="357">
                  <c:v>3.8383901735020332</c:v>
                </c:pt>
                <c:pt idx="358">
                  <c:v>3.8302781854484143</c:v>
                </c:pt>
                <c:pt idx="359">
                  <c:v>3.8222025241651347</c:v>
                </c:pt>
                <c:pt idx="360">
                  <c:v>3.8141629320998169</c:v>
                </c:pt>
                <c:pt idx="361">
                  <c:v>3.8061591542538493</c:v>
                </c:pt>
                <c:pt idx="362">
                  <c:v>3.7981909381494838</c:v>
                </c:pt>
                <c:pt idx="363">
                  <c:v>3.7902580337973628</c:v>
                </c:pt>
                <c:pt idx="364">
                  <c:v>3.78236019366464</c:v>
                </c:pt>
                <c:pt idx="365">
                  <c:v>3.7744971726435672</c:v>
                </c:pt>
                <c:pt idx="366">
                  <c:v>3.7666687280205706</c:v>
                </c:pt>
                <c:pt idx="367">
                  <c:v>3.7583518930958117</c:v>
                </c:pt>
                <c:pt idx="368">
                  <c:v>3.7500000000000435</c:v>
                </c:pt>
                <c:pt idx="369">
                  <c:v>3.741685144124212</c:v>
                </c:pt>
                <c:pt idx="370">
                  <c:v>3.733407079646061</c:v>
                </c:pt>
                <c:pt idx="371">
                  <c:v>3.7251655629139511</c:v>
                </c:pt>
                <c:pt idx="372">
                  <c:v>3.7169603524229515</c:v>
                </c:pt>
                <c:pt idx="373">
                  <c:v>3.7087912087912525</c:v>
                </c:pt>
                <c:pt idx="374">
                  <c:v>3.700657894736886</c:v>
                </c:pt>
                <c:pt idx="375">
                  <c:v>3.6925601750547483</c:v>
                </c:pt>
                <c:pt idx="376">
                  <c:v>3.6844978165939302</c:v>
                </c:pt>
                <c:pt idx="377">
                  <c:v>3.6764705882353375</c:v>
                </c:pt>
                <c:pt idx="378">
                  <c:v>3.6684782608696085</c:v>
                </c:pt>
                <c:pt idx="379">
                  <c:v>3.6605206073753149</c:v>
                </c:pt>
                <c:pt idx="380">
                  <c:v>3.6525974025974461</c:v>
                </c:pt>
                <c:pt idx="381">
                  <c:v>3.6447084233261773</c:v>
                </c:pt>
                <c:pt idx="382">
                  <c:v>3.6368534482759052</c:v>
                </c:pt>
                <c:pt idx="383">
                  <c:v>3.6290322580645595</c:v>
                </c:pt>
                <c:pt idx="384">
                  <c:v>3.6212446351931762</c:v>
                </c:pt>
                <c:pt idx="385">
                  <c:v>3.613490364025739</c:v>
                </c:pt>
                <c:pt idx="386">
                  <c:v>3.6057692307692744</c:v>
                </c:pt>
                <c:pt idx="387">
                  <c:v>3.5980810234542013</c:v>
                </c:pt>
                <c:pt idx="388">
                  <c:v>3.5904255319149372</c:v>
                </c:pt>
                <c:pt idx="389">
                  <c:v>3.5828025477707439</c:v>
                </c:pt>
                <c:pt idx="390">
                  <c:v>3.5752118644068225</c:v>
                </c:pt>
                <c:pt idx="391">
                  <c:v>3.5676532769556459</c:v>
                </c:pt>
                <c:pt idx="392">
                  <c:v>3.5601265822785244</c:v>
                </c:pt>
                <c:pt idx="393">
                  <c:v>3.5526315789474117</c:v>
                </c:pt>
                <c:pt idx="394">
                  <c:v>3.5451680672269337</c:v>
                </c:pt>
                <c:pt idx="395">
                  <c:v>3.5377358490566468</c:v>
                </c:pt>
                <c:pt idx="396">
                  <c:v>3.530334728033516</c:v>
                </c:pt>
                <c:pt idx="397">
                  <c:v>3.5229645093946149</c:v>
                </c:pt>
                <c:pt idx="398">
                  <c:v>3.5156250000000431</c:v>
                </c:pt>
                <c:pt idx="399">
                  <c:v>3.5083160083160512</c:v>
                </c:pt>
                <c:pt idx="400">
                  <c:v>3.5010373443983833</c:v>
                </c:pt>
                <c:pt idx="401">
                  <c:v>3.4937888198758191</c:v>
                </c:pt>
                <c:pt idx="402">
                  <c:v>3.4865702479339276</c:v>
                </c:pt>
                <c:pt idx="403">
                  <c:v>3.4793814432990122</c:v>
                </c:pt>
                <c:pt idx="404">
                  <c:v>3.472222222222265</c:v>
                </c:pt>
                <c:pt idx="405">
                  <c:v>3.465092402464109</c:v>
                </c:pt>
                <c:pt idx="406">
                  <c:v>3.4579918032787318</c:v>
                </c:pt>
                <c:pt idx="407">
                  <c:v>3.4509202453988159</c:v>
                </c:pt>
                <c:pt idx="408">
                  <c:v>3.4438775510204511</c:v>
                </c:pt>
                <c:pt idx="409">
                  <c:v>3.4368635437882298</c:v>
                </c:pt>
                <c:pt idx="410">
                  <c:v>3.4298780487805307</c:v>
                </c:pt>
                <c:pt idx="411">
                  <c:v>3.4229208924949717</c:v>
                </c:pt>
                <c:pt idx="412">
                  <c:v>3.4159919028340506</c:v>
                </c:pt>
                <c:pt idx="413">
                  <c:v>3.4090909090909518</c:v>
                </c:pt>
                <c:pt idx="414">
                  <c:v>3.4022177419355266</c:v>
                </c:pt>
                <c:pt idx="415">
                  <c:v>3.3953722334004448</c:v>
                </c:pt>
                <c:pt idx="416">
                  <c:v>3.3885542168675129</c:v>
                </c:pt>
                <c:pt idx="417">
                  <c:v>3.3817635270541504</c:v>
                </c:pt>
                <c:pt idx="418">
                  <c:v>3.3750000000000426</c:v>
                </c:pt>
                <c:pt idx="419">
                  <c:v>3.3682634730539349</c:v>
                </c:pt>
                <c:pt idx="420">
                  <c:v>3.3615537848606003</c:v>
                </c:pt>
                <c:pt idx="421">
                  <c:v>3.3548707753479552</c:v>
                </c:pt>
                <c:pt idx="422">
                  <c:v>3.3482142857143282</c:v>
                </c:pt>
                <c:pt idx="423">
                  <c:v>3.3415841584158841</c:v>
                </c:pt>
                <c:pt idx="424">
                  <c:v>3.3349802371541926</c:v>
                </c:pt>
                <c:pt idx="425">
                  <c:v>3.3284023668639477</c:v>
                </c:pt>
                <c:pt idx="426">
                  <c:v>3.3218503937008297</c:v>
                </c:pt>
                <c:pt idx="427">
                  <c:v>3.3153241650295118</c:v>
                </c:pt>
                <c:pt idx="428">
                  <c:v>3.3088235294118071</c:v>
                </c:pt>
                <c:pt idx="429">
                  <c:v>3.302348336594954</c:v>
                </c:pt>
                <c:pt idx="430">
                  <c:v>3.2958984375000422</c:v>
                </c:pt>
                <c:pt idx="431">
                  <c:v>3.2894736842105683</c:v>
                </c:pt>
                <c:pt idx="432">
                  <c:v>3.283073929961132</c:v>
                </c:pt>
                <c:pt idx="433">
                  <c:v>3.2766990291262554</c:v>
                </c:pt>
                <c:pt idx="434">
                  <c:v>3.2703488372093443</c:v>
                </c:pt>
                <c:pt idx="435">
                  <c:v>3.2640232108317635</c:v>
                </c:pt>
                <c:pt idx="436">
                  <c:v>3.2577220077220499</c:v>
                </c:pt>
                <c:pt idx="437">
                  <c:v>3.2514450867052442</c:v>
                </c:pt>
                <c:pt idx="438">
                  <c:v>3.2451923076923497</c:v>
                </c:pt>
                <c:pt idx="439">
                  <c:v>3.2389635316699077</c:v>
                </c:pt>
                <c:pt idx="440">
                  <c:v>3.232758620689697</c:v>
                </c:pt>
                <c:pt idx="441">
                  <c:v>3.2265774378585506</c:v>
                </c:pt>
                <c:pt idx="442">
                  <c:v>3.2204198473282863</c:v>
                </c:pt>
                <c:pt idx="443">
                  <c:v>3.2142857142857562</c:v>
                </c:pt>
                <c:pt idx="444">
                  <c:v>3.2081749049430073</c:v>
                </c:pt>
                <c:pt idx="445">
                  <c:v>3.202087286527556</c:v>
                </c:pt>
                <c:pt idx="446">
                  <c:v>3.1960227272727688</c:v>
                </c:pt>
                <c:pt idx="447">
                  <c:v>3.1899810964083595</c:v>
                </c:pt>
                <c:pt idx="448">
                  <c:v>3.1839622641509848</c:v>
                </c:pt>
                <c:pt idx="449">
                  <c:v>3.177966101694957</c:v>
                </c:pt>
                <c:pt idx="450">
                  <c:v>3.1719924812030493</c:v>
                </c:pt>
                <c:pt idx="451">
                  <c:v>3.166041275797415</c:v>
                </c:pt>
                <c:pt idx="452">
                  <c:v>3.1601123595506033</c:v>
                </c:pt>
                <c:pt idx="453">
                  <c:v>3.1542056074766771</c:v>
                </c:pt>
                <c:pt idx="454">
                  <c:v>3.1483208955224296</c:v>
                </c:pt>
                <c:pt idx="455">
                  <c:v>3.1424581005587009</c:v>
                </c:pt>
                <c:pt idx="456">
                  <c:v>3.1366171003717889</c:v>
                </c:pt>
                <c:pt idx="457">
                  <c:v>3.1307977736549581</c:v>
                </c:pt>
                <c:pt idx="458">
                  <c:v>3.1250000000000417</c:v>
                </c:pt>
                <c:pt idx="459">
                  <c:v>3.1192236598891356</c:v>
                </c:pt>
                <c:pt idx="460">
                  <c:v>3.1134686346863885</c:v>
                </c:pt>
                <c:pt idx="461">
                  <c:v>3.1077348066298756</c:v>
                </c:pt>
                <c:pt idx="462">
                  <c:v>3.1020220588235707</c:v>
                </c:pt>
                <c:pt idx="463">
                  <c:v>3.0963302752293993</c:v>
                </c:pt>
                <c:pt idx="464">
                  <c:v>3.0906593406593816</c:v>
                </c:pt>
                <c:pt idx="465">
                  <c:v>3.0850091407678657</c:v>
                </c:pt>
                <c:pt idx="466">
                  <c:v>3.0793795620438367</c:v>
                </c:pt>
                <c:pt idx="467">
                  <c:v>3.07377049180332</c:v>
                </c:pt>
                <c:pt idx="468">
                  <c:v>3.0681818181818592</c:v>
                </c:pt>
                <c:pt idx="469">
                  <c:v>3.0626134301270826</c:v>
                </c:pt>
                <c:pt idx="470">
                  <c:v>3.0570652173913451</c:v>
                </c:pt>
                <c:pt idx="471">
                  <c:v>3.0515370705244531</c:v>
                </c:pt>
                <c:pt idx="472">
                  <c:v>3.0460288808664671</c:v>
                </c:pt>
                <c:pt idx="473">
                  <c:v>3.0405405405405812</c:v>
                </c:pt>
                <c:pt idx="474">
                  <c:v>3.0350719424460841</c:v>
                </c:pt>
                <c:pt idx="475">
                  <c:v>3.0296229802513874</c:v>
                </c:pt>
                <c:pt idx="476">
                  <c:v>3.0241935483871378</c:v>
                </c:pt>
                <c:pt idx="477">
                  <c:v>3.0187835420393969</c:v>
                </c:pt>
                <c:pt idx="478">
                  <c:v>3.0133928571428981</c:v>
                </c:pt>
                <c:pt idx="479">
                  <c:v>3.0080213903743722</c:v>
                </c:pt>
                <c:pt idx="480">
                  <c:v>3.0026690391459483</c:v>
                </c:pt>
                <c:pt idx="481">
                  <c:v>2.9973357015986197</c:v>
                </c:pt>
                <c:pt idx="482">
                  <c:v>2.9920212765957852</c:v>
                </c:pt>
                <c:pt idx="483">
                  <c:v>2.9867256637168547</c:v>
                </c:pt>
                <c:pt idx="484">
                  <c:v>2.9814487632509241</c:v>
                </c:pt>
                <c:pt idx="485">
                  <c:v>2.9761904761905167</c:v>
                </c:pt>
                <c:pt idx="486">
                  <c:v>2.9709507042253929</c:v>
                </c:pt>
                <c:pt idx="487">
                  <c:v>2.9657293497364199</c:v>
                </c:pt>
                <c:pt idx="488">
                  <c:v>2.9605263157895143</c:v>
                </c:pt>
                <c:pt idx="489">
                  <c:v>2.955341506129638</c:v>
                </c:pt>
                <c:pt idx="490">
                  <c:v>2.9501748251748658</c:v>
                </c:pt>
                <c:pt idx="491">
                  <c:v>2.9450261780105116</c:v>
                </c:pt>
                <c:pt idx="492">
                  <c:v>2.9398954703833153</c:v>
                </c:pt>
                <c:pt idx="493">
                  <c:v>2.9347826086956927</c:v>
                </c:pt>
                <c:pt idx="494">
                  <c:v>2.92968750000004</c:v>
                </c:pt>
                <c:pt idx="495">
                  <c:v>2.9246100519931075</c:v>
                </c:pt>
                <c:pt idx="496">
                  <c:v>2.9195501730104207</c:v>
                </c:pt>
                <c:pt idx="497">
                  <c:v>2.9145077720207655</c:v>
                </c:pt>
                <c:pt idx="498">
                  <c:v>2.9094827586207299</c:v>
                </c:pt>
                <c:pt idx="499">
                  <c:v>2.9044750430292998</c:v>
                </c:pt>
                <c:pt idx="500">
                  <c:v>2.8994845360825146</c:v>
                </c:pt>
                <c:pt idx="501">
                  <c:v>2.8945111492281703</c:v>
                </c:pt>
                <c:pt idx="502">
                  <c:v>2.8895547945205879</c:v>
                </c:pt>
                <c:pt idx="503">
                  <c:v>2.8846153846154245</c:v>
                </c:pt>
                <c:pt idx="504">
                  <c:v>2.8796928327645448</c:v>
                </c:pt>
                <c:pt idx="505">
                  <c:v>2.8747870528109432</c:v>
                </c:pt>
                <c:pt idx="506">
                  <c:v>2.8698979591837133</c:v>
                </c:pt>
                <c:pt idx="507">
                  <c:v>2.865025466893079</c:v>
                </c:pt>
                <c:pt idx="508">
                  <c:v>2.8601694915254638</c:v>
                </c:pt>
                <c:pt idx="509">
                  <c:v>2.8553299492386186</c:v>
                </c:pt>
                <c:pt idx="510">
                  <c:v>2.8505067567567965</c:v>
                </c:pt>
                <c:pt idx="511">
                  <c:v>2.8456998313659754</c:v>
                </c:pt>
                <c:pt idx="512">
                  <c:v>2.8409090909091308</c:v>
                </c:pt>
                <c:pt idx="513">
                  <c:v>2.8361344537815523</c:v>
                </c:pt>
                <c:pt idx="514">
                  <c:v>2.8313758389262143</c:v>
                </c:pt>
                <c:pt idx="515">
                  <c:v>2.8266331658291852</c:v>
                </c:pt>
                <c:pt idx="516">
                  <c:v>2.82190635451509</c:v>
                </c:pt>
                <c:pt idx="517">
                  <c:v>2.8171953255426105</c:v>
                </c:pt>
                <c:pt idx="518">
                  <c:v>2.8125000000000395</c:v>
                </c:pt>
                <c:pt idx="519">
                  <c:v>2.8078202995008716</c:v>
                </c:pt>
                <c:pt idx="520">
                  <c:v>2.8031561461794414</c:v>
                </c:pt>
                <c:pt idx="521">
                  <c:v>2.7985074626866067</c:v>
                </c:pt>
                <c:pt idx="522">
                  <c:v>2.7938741721854696</c:v>
                </c:pt>
                <c:pt idx="523">
                  <c:v>2.7892561983471467</c:v>
                </c:pt>
                <c:pt idx="524">
                  <c:v>2.7846534653465738</c:v>
                </c:pt>
                <c:pt idx="525">
                  <c:v>2.7800658978583588</c:v>
                </c:pt>
                <c:pt idx="526">
                  <c:v>2.7754934210526709</c:v>
                </c:pt>
                <c:pt idx="527">
                  <c:v>2.7709359605911725</c:v>
                </c:pt>
                <c:pt idx="528">
                  <c:v>2.7663934426229901</c:v>
                </c:pt>
                <c:pt idx="529">
                  <c:v>2.7618657937807267</c:v>
                </c:pt>
                <c:pt idx="530">
                  <c:v>2.7573529411765101</c:v>
                </c:pt>
                <c:pt idx="531">
                  <c:v>2.7528548123980814</c:v>
                </c:pt>
                <c:pt idx="532">
                  <c:v>2.7483713355049249</c:v>
                </c:pt>
                <c:pt idx="533">
                  <c:v>2.7439024390244291</c:v>
                </c:pt>
                <c:pt idx="534">
                  <c:v>2.739448051948091</c:v>
                </c:pt>
                <c:pt idx="535">
                  <c:v>2.7350081037277536</c:v>
                </c:pt>
                <c:pt idx="536">
                  <c:v>2.7305825242718837</c:v>
                </c:pt>
                <c:pt idx="537">
                  <c:v>2.7261712439418804</c:v>
                </c:pt>
                <c:pt idx="538">
                  <c:v>2.7217741935484261</c:v>
                </c:pt>
                <c:pt idx="539">
                  <c:v>2.7173913043478652</c:v>
                </c:pt>
                <c:pt idx="540">
                  <c:v>2.7130225080386241</c:v>
                </c:pt>
                <c:pt idx="541">
                  <c:v>2.708667736757663</c:v>
                </c:pt>
                <c:pt idx="542">
                  <c:v>2.704326923076962</c:v>
                </c:pt>
                <c:pt idx="543">
                  <c:v>2.7000000000000388</c:v>
                </c:pt>
                <c:pt idx="544">
                  <c:v>2.6956869009585054</c:v>
                </c:pt>
                <c:pt idx="545">
                  <c:v>2.6913875598086512</c:v>
                </c:pt>
                <c:pt idx="546">
                  <c:v>2.6871019108280643</c:v>
                </c:pt>
                <c:pt idx="547">
                  <c:v>2.6828298887122801</c:v>
                </c:pt>
                <c:pt idx="548">
                  <c:v>2.678571428571467</c:v>
                </c:pt>
                <c:pt idx="549">
                  <c:v>2.6743264659271384</c:v>
                </c:pt>
                <c:pt idx="550">
                  <c:v>2.6700949367088995</c:v>
                </c:pt>
                <c:pt idx="551">
                  <c:v>2.6658767772512233</c:v>
                </c:pt>
                <c:pt idx="552">
                  <c:v>2.6616719242902596</c:v>
                </c:pt>
                <c:pt idx="553">
                  <c:v>2.6574803149606683</c:v>
                </c:pt>
                <c:pt idx="554">
                  <c:v>2.6533018867924913</c:v>
                </c:pt>
                <c:pt idx="555">
                  <c:v>2.6491365777080444</c:v>
                </c:pt>
                <c:pt idx="556">
                  <c:v>2.644984326018847</c:v>
                </c:pt>
                <c:pt idx="557">
                  <c:v>2.6408450704225737</c:v>
                </c:pt>
                <c:pt idx="558">
                  <c:v>2.6367187500000382</c:v>
                </c:pt>
                <c:pt idx="559">
                  <c:v>2.6326053042122068</c:v>
                </c:pt>
                <c:pt idx="560">
                  <c:v>2.6285046728972343</c:v>
                </c:pt>
                <c:pt idx="561">
                  <c:v>2.6244167962675342</c:v>
                </c:pt>
                <c:pt idx="562">
                  <c:v>2.6203416149068706</c:v>
                </c:pt>
                <c:pt idx="563">
                  <c:v>2.6162790697674798</c:v>
                </c:pt>
                <c:pt idx="564">
                  <c:v>2.6122291021672206</c:v>
                </c:pt>
                <c:pt idx="565">
                  <c:v>2.6081916537867458</c:v>
                </c:pt>
                <c:pt idx="566">
                  <c:v>2.6041666666667047</c:v>
                </c:pt>
                <c:pt idx="567">
                  <c:v>2.6001540832049685</c:v>
                </c:pt>
                <c:pt idx="568">
                  <c:v>2.596153846153884</c:v>
                </c:pt>
                <c:pt idx="569">
                  <c:v>2.5921658986175498</c:v>
                </c:pt>
                <c:pt idx="570">
                  <c:v>2.5881901840491177</c:v>
                </c:pt>
                <c:pt idx="571">
                  <c:v>2.5842266462481236</c:v>
                </c:pt>
                <c:pt idx="572">
                  <c:v>2.5802752293578362</c:v>
                </c:pt>
                <c:pt idx="573">
                  <c:v>2.5763358778626331</c:v>
                </c:pt>
                <c:pt idx="574">
                  <c:v>2.5724085365854039</c:v>
                </c:pt>
                <c:pt idx="575">
                  <c:v>2.5684931506849691</c:v>
                </c:pt>
                <c:pt idx="576">
                  <c:v>2.564589665653533</c:v>
                </c:pt>
                <c:pt idx="577">
                  <c:v>2.56069802731415</c:v>
                </c:pt>
                <c:pt idx="578">
                  <c:v>2.5568181818182198</c:v>
                </c:pt>
                <c:pt idx="579">
                  <c:v>2.552950075643003</c:v>
                </c:pt>
                <c:pt idx="580">
                  <c:v>2.5490936555891617</c:v>
                </c:pt>
                <c:pt idx="581">
                  <c:v>2.5452488687783181</c:v>
                </c:pt>
                <c:pt idx="582">
                  <c:v>2.5414156626506399</c:v>
                </c:pt>
                <c:pt idx="583">
                  <c:v>2.5375939849624434</c:v>
                </c:pt>
                <c:pt idx="584">
                  <c:v>2.5337837837838211</c:v>
                </c:pt>
                <c:pt idx="585">
                  <c:v>2.5299850074962893</c:v>
                </c:pt>
                <c:pt idx="586">
                  <c:v>2.5261976047904566</c:v>
                </c:pt>
                <c:pt idx="587">
                  <c:v>2.5224215246637147</c:v>
                </c:pt>
                <c:pt idx="588">
                  <c:v>2.5186567164179476</c:v>
                </c:pt>
                <c:pt idx="589">
                  <c:v>2.5149031296572653</c:v>
                </c:pt>
                <c:pt idx="590">
                  <c:v>2.5111607142857513</c:v>
                </c:pt>
                <c:pt idx="591">
                  <c:v>2.5074294205052379</c:v>
                </c:pt>
                <c:pt idx="592">
                  <c:v>2.5037091988130937</c:v>
                </c:pt>
                <c:pt idx="593">
                  <c:v>2.5000000000000373</c:v>
                </c:pt>
                <c:pt idx="594">
                  <c:v>2.4963017751479661</c:v>
                </c:pt>
                <c:pt idx="595">
                  <c:v>2.4926144756278066</c:v>
                </c:pt>
                <c:pt idx="596">
                  <c:v>2.4889380530973821</c:v>
                </c:pt>
                <c:pt idx="597">
                  <c:v>2.4852724594993005</c:v>
                </c:pt>
                <c:pt idx="598">
                  <c:v>2.4816176470588602</c:v>
                </c:pt>
                <c:pt idx="599">
                  <c:v>2.4779735682819752</c:v>
                </c:pt>
                <c:pt idx="600">
                  <c:v>2.4743401759531158</c:v>
                </c:pt>
                <c:pt idx="601">
                  <c:v>2.4707174231332725</c:v>
                </c:pt>
                <c:pt idx="602">
                  <c:v>2.4671052631579315</c:v>
                </c:pt>
                <c:pt idx="603">
                  <c:v>2.4635036496350731</c:v>
                </c:pt>
                <c:pt idx="604">
                  <c:v>2.4599125364431855</c:v>
                </c:pt>
                <c:pt idx="605">
                  <c:v>2.4563318777292942</c:v>
                </c:pt>
                <c:pt idx="606">
                  <c:v>2.4527616279070132</c:v>
                </c:pt>
                <c:pt idx="607">
                  <c:v>2.4492017416546084</c:v>
                </c:pt>
                <c:pt idx="608">
                  <c:v>2.4456521739130803</c:v>
                </c:pt>
                <c:pt idx="609">
                  <c:v>2.4421128798842622</c:v>
                </c:pt>
                <c:pt idx="610">
                  <c:v>2.4385838150289385</c:v>
                </c:pt>
                <c:pt idx="611">
                  <c:v>2.4350649350649713</c:v>
                </c:pt>
                <c:pt idx="612">
                  <c:v>2.4315561959654546</c:v>
                </c:pt>
                <c:pt idx="613">
                  <c:v>2.428057553956871</c:v>
                </c:pt>
                <c:pt idx="614">
                  <c:v>2.424568965517278</c:v>
                </c:pt>
                <c:pt idx="615">
                  <c:v>2.4210903873744987</c:v>
                </c:pt>
                <c:pt idx="616">
                  <c:v>2.4176217765043342</c:v>
                </c:pt>
                <c:pt idx="617">
                  <c:v>2.4141630901287918</c:v>
                </c:pt>
                <c:pt idx="618">
                  <c:v>2.410714285714322</c:v>
                </c:pt>
              </c:numCache>
            </c:numRef>
          </c:yVal>
          <c:smooth val="0"/>
        </c:ser>
        <c:dLbls>
          <c:showLegendKey val="0"/>
          <c:showVal val="0"/>
          <c:showCatName val="0"/>
          <c:showSerName val="0"/>
          <c:showPercent val="0"/>
          <c:showBubbleSize val="0"/>
        </c:dLbls>
        <c:axId val="268310784"/>
        <c:axId val="268309248"/>
      </c:scatterChart>
      <c:valAx>
        <c:axId val="235525632"/>
        <c:scaling>
          <c:orientation val="minMax"/>
        </c:scaling>
        <c:delete val="0"/>
        <c:axPos val="b"/>
        <c:numFmt formatCode="0.000" sourceLinked="1"/>
        <c:majorTickMark val="out"/>
        <c:minorTickMark val="none"/>
        <c:tickLblPos val="nextTo"/>
        <c:crossAx val="235527168"/>
        <c:crosses val="autoZero"/>
        <c:crossBetween val="midCat"/>
      </c:valAx>
      <c:valAx>
        <c:axId val="235527168"/>
        <c:scaling>
          <c:orientation val="minMax"/>
        </c:scaling>
        <c:delete val="0"/>
        <c:axPos val="l"/>
        <c:majorGridlines/>
        <c:numFmt formatCode="#,##0.0" sourceLinked="1"/>
        <c:majorTickMark val="out"/>
        <c:minorTickMark val="none"/>
        <c:tickLblPos val="nextTo"/>
        <c:crossAx val="235525632"/>
        <c:crosses val="autoZero"/>
        <c:crossBetween val="midCat"/>
      </c:valAx>
      <c:valAx>
        <c:axId val="268309248"/>
        <c:scaling>
          <c:orientation val="minMax"/>
        </c:scaling>
        <c:delete val="0"/>
        <c:axPos val="r"/>
        <c:numFmt formatCode="0.000" sourceLinked="1"/>
        <c:majorTickMark val="out"/>
        <c:minorTickMark val="none"/>
        <c:tickLblPos val="nextTo"/>
        <c:crossAx val="268310784"/>
        <c:crosses val="max"/>
        <c:crossBetween val="midCat"/>
      </c:valAx>
      <c:valAx>
        <c:axId val="268310784"/>
        <c:scaling>
          <c:orientation val="minMax"/>
        </c:scaling>
        <c:delete val="1"/>
        <c:axPos val="b"/>
        <c:numFmt formatCode="0.000" sourceLinked="1"/>
        <c:majorTickMark val="out"/>
        <c:minorTickMark val="none"/>
        <c:tickLblPos val="nextTo"/>
        <c:crossAx val="2683092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oneCellAnchor>
    <xdr:from>
      <xdr:col>0</xdr:col>
      <xdr:colOff>304799</xdr:colOff>
      <xdr:row>2</xdr:row>
      <xdr:rowOff>38100</xdr:rowOff>
    </xdr:from>
    <xdr:ext cx="6715125" cy="2536079"/>
    <xdr:sp macro="" textlink="">
      <xdr:nvSpPr>
        <xdr:cNvPr id="2" name="TextBox 1"/>
        <xdr:cNvSpPr txBox="1"/>
      </xdr:nvSpPr>
      <xdr:spPr>
        <a:xfrm>
          <a:off x="304799" y="438150"/>
          <a:ext cx="6715125" cy="253607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solidFill>
                <a:srgbClr val="FF0000"/>
              </a:solidFill>
              <a:effectLst/>
              <a:latin typeface="Arial" panose="020B0604020202020204" pitchFamily="34" charset="0"/>
              <a:ea typeface="+mn-ea"/>
              <a:cs typeface="Arial" panose="020B0604020202020204" pitchFamily="34" charset="0"/>
            </a:rPr>
            <a:t>Texas Instruments:</a:t>
          </a:r>
          <a:endParaRPr lang="en-US" sz="1200" b="1">
            <a:solidFill>
              <a:srgbClr val="FF0000"/>
            </a:solidFill>
            <a:effectLst/>
            <a:latin typeface="Arial" panose="020B0604020202020204" pitchFamily="34" charset="0"/>
            <a:ea typeface="+mn-ea"/>
            <a:cs typeface="Arial" panose="020B0604020202020204" pitchFamily="34" charset="0"/>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200" b="1">
              <a:solidFill>
                <a:schemeClr val="tx1"/>
              </a:solidFill>
              <a:effectLst/>
              <a:latin typeface="Arial" panose="020B0604020202020204" pitchFamily="34" charset="0"/>
              <a:ea typeface="+mn-ea"/>
              <a:cs typeface="Arial" panose="020B0604020202020204" pitchFamily="34" charset="0"/>
            </a:rPr>
            <a:t>Limited use policy</a:t>
          </a:r>
          <a:endParaRPr lang="en-US" sz="12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You must treat this software and documentation like any other copyrighted material.</a:t>
          </a:r>
        </a:p>
        <a:p>
          <a:r>
            <a:rPr lang="en-US" sz="1100">
              <a:solidFill>
                <a:schemeClr val="tx1"/>
              </a:solidFill>
              <a:effectLst/>
              <a:latin typeface="Arial" panose="020B0604020202020204" pitchFamily="34" charset="0"/>
              <a:ea typeface="+mn-ea"/>
              <a:cs typeface="Arial" panose="020B0604020202020204" pitchFamily="34" charset="0"/>
            </a:rPr>
            <a:t> </a:t>
          </a:r>
        </a:p>
        <a:p>
          <a:r>
            <a:rPr lang="en-US" sz="1200" b="1">
              <a:solidFill>
                <a:schemeClr val="tx1"/>
              </a:solidFill>
              <a:effectLst/>
              <a:latin typeface="Arial" panose="020B0604020202020204" pitchFamily="34" charset="0"/>
              <a:ea typeface="+mn-ea"/>
              <a:cs typeface="Arial" panose="020B0604020202020204" pitchFamily="34" charset="0"/>
            </a:rPr>
            <a:t>You may not:</a:t>
          </a:r>
          <a:endParaRPr lang="en-US" sz="12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-Copy documentation of the software.</a:t>
          </a:r>
        </a:p>
        <a:p>
          <a:r>
            <a:rPr lang="en-US" sz="1000">
              <a:solidFill>
                <a:schemeClr val="tx1"/>
              </a:solidFill>
              <a:effectLst/>
              <a:latin typeface="Arial" panose="020B0604020202020204" pitchFamily="34" charset="0"/>
              <a:ea typeface="+mn-ea"/>
              <a:cs typeface="Arial" panose="020B0604020202020204" pitchFamily="34" charset="0"/>
            </a:rPr>
            <a:t>-Copy this software except to make archival or backup copies.</a:t>
          </a:r>
        </a:p>
        <a:p>
          <a:r>
            <a:rPr lang="en-US" sz="1000">
              <a:solidFill>
                <a:schemeClr val="tx1"/>
              </a:solidFill>
              <a:effectLst/>
              <a:latin typeface="Arial" panose="020B0604020202020204" pitchFamily="34" charset="0"/>
              <a:ea typeface="+mn-ea"/>
              <a:cs typeface="Arial" panose="020B0604020202020204" pitchFamily="34" charset="0"/>
            </a:rPr>
            <a:t>-Reverse engineer, decompile, disassemble, or make any attempt to discover the source code of the software.</a:t>
          </a:r>
        </a:p>
        <a:p>
          <a:r>
            <a:rPr lang="en-US" sz="1000">
              <a:solidFill>
                <a:schemeClr val="tx1"/>
              </a:solidFill>
              <a:effectLst/>
              <a:latin typeface="Arial" panose="020B0604020202020204" pitchFamily="34" charset="0"/>
              <a:ea typeface="+mn-ea"/>
              <a:cs typeface="Arial" panose="020B0604020202020204" pitchFamily="34" charset="0"/>
            </a:rPr>
            <a:t>-Place the software onto a server so that it is accessible via a public network suck as the internet.</a:t>
          </a:r>
        </a:p>
        <a:p>
          <a:r>
            <a:rPr lang="en-US" sz="1000">
              <a:solidFill>
                <a:schemeClr val="tx1"/>
              </a:solidFill>
              <a:effectLst/>
              <a:latin typeface="Arial" panose="020B0604020202020204" pitchFamily="34" charset="0"/>
              <a:ea typeface="+mn-ea"/>
              <a:cs typeface="Arial" panose="020B0604020202020204" pitchFamily="34" charset="0"/>
            </a:rPr>
            <a:t>-Sublicense, rent, lease, or lend any portion of the software or documentation.</a:t>
          </a:r>
        </a:p>
        <a:p>
          <a:r>
            <a:rPr lang="en-US" sz="1100">
              <a:solidFill>
                <a:schemeClr val="tx1"/>
              </a:solidFill>
              <a:effectLst/>
              <a:latin typeface="Arial" panose="020B0604020202020204" pitchFamily="34" charset="0"/>
              <a:ea typeface="+mn-ea"/>
              <a:cs typeface="Arial" panose="020B0604020202020204" pitchFamily="34" charset="0"/>
            </a:rPr>
            <a:t> </a:t>
          </a:r>
        </a:p>
        <a:p>
          <a:r>
            <a:rPr lang="en-US" sz="1200">
              <a:solidFill>
                <a:schemeClr val="tx1"/>
              </a:solidFill>
              <a:effectLst/>
              <a:latin typeface="Arial" panose="020B0604020202020204" pitchFamily="34" charset="0"/>
              <a:ea typeface="+mn-ea"/>
              <a:cs typeface="Arial" panose="020B0604020202020204" pitchFamily="34" charset="0"/>
            </a:rPr>
            <a:t>Texas instruments is not responsible for the validity of any design created with this software and urges all designs to be fully tested and carefully verified.  Refer to the LMR336x0 data sheet and EVM user's guide for more details.</a:t>
          </a:r>
        </a:p>
      </xdr:txBody>
    </xdr:sp>
    <xdr:clientData/>
  </xdr:oneCellAnchor>
  <xdr:oneCellAnchor>
    <xdr:from>
      <xdr:col>0</xdr:col>
      <xdr:colOff>314325</xdr:colOff>
      <xdr:row>16</xdr:row>
      <xdr:rowOff>19049</xdr:rowOff>
    </xdr:from>
    <xdr:ext cx="13830300" cy="10658476"/>
    <xdr:sp macro="" textlink="">
      <xdr:nvSpPr>
        <xdr:cNvPr id="3" name="TextBox 2"/>
        <xdr:cNvSpPr txBox="1"/>
      </xdr:nvSpPr>
      <xdr:spPr>
        <a:xfrm>
          <a:off x="314325" y="3219449"/>
          <a:ext cx="13830300" cy="10658476"/>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1">
              <a:solidFill>
                <a:srgbClr val="FF0000"/>
              </a:solidFill>
              <a:latin typeface="Arial" panose="020B0604020202020204" pitchFamily="34" charset="0"/>
              <a:cs typeface="Arial" panose="020B0604020202020204" pitchFamily="34" charset="0"/>
            </a:rPr>
            <a:t>LMR336x0 Quick Start Design Tool</a:t>
          </a:r>
        </a:p>
        <a:p>
          <a:endParaRPr lang="en-US" sz="1100"/>
        </a:p>
        <a:p>
          <a:r>
            <a:rPr lang="en-US" sz="1200">
              <a:latin typeface="Arial" panose="020B0604020202020204" pitchFamily="34" charset="0"/>
              <a:cs typeface="Arial" panose="020B0604020202020204" pitchFamily="34" charset="0"/>
            </a:rPr>
            <a:t>This</a:t>
          </a:r>
          <a:r>
            <a:rPr lang="en-US" sz="1200" baseline="0">
              <a:latin typeface="Arial" panose="020B0604020202020204" pitchFamily="34" charset="0"/>
              <a:cs typeface="Arial" panose="020B0604020202020204" pitchFamily="34" charset="0"/>
            </a:rPr>
            <a:t> calculator can be used to select typical component values for the LMR336x0 family of DC/DC buck converters (note: for LMR33610, use the LMR33620 in the pull-down menu).  The user is encouraged to check the results over the full input voltage and load current range of the application.   The results given are only typical.  As always</a:t>
          </a:r>
          <a:r>
            <a:rPr lang="en-US" sz="1200" b="1" baseline="0">
              <a:latin typeface="Arial" panose="020B0604020202020204" pitchFamily="34" charset="0"/>
              <a:cs typeface="Arial" panose="020B0604020202020204" pitchFamily="34" charset="0"/>
            </a:rPr>
            <a:t>, </a:t>
          </a:r>
          <a:r>
            <a:rPr lang="en-US" sz="1200" baseline="0">
              <a:latin typeface="Arial" panose="020B0604020202020204" pitchFamily="34" charset="0"/>
              <a:cs typeface="Arial" panose="020B0604020202020204" pitchFamily="34" charset="0"/>
            </a:rPr>
            <a:t>the final design should be tested on the bench before committing to production.  For more details about achieving  a successful design, see the LMR336x0 data sheets. </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Input Specifications</a:t>
          </a:r>
        </a:p>
        <a:p>
          <a:r>
            <a:rPr lang="en-US" sz="1200">
              <a:latin typeface="Arial" panose="020B0604020202020204" pitchFamily="34" charset="0"/>
              <a:cs typeface="Arial" panose="020B0604020202020204" pitchFamily="34" charset="0"/>
            </a:rPr>
            <a:t>Select</a:t>
          </a:r>
          <a:r>
            <a:rPr lang="en-US" sz="1200" baseline="0">
              <a:latin typeface="Arial" panose="020B0604020202020204" pitchFamily="34" charset="0"/>
              <a:cs typeface="Arial" panose="020B0604020202020204" pitchFamily="34" charset="0"/>
            </a:rPr>
            <a:t> the device and package type from the pull-down menu and then enter values for  input voltage, output voltage, load current and switching frequency.  The switching frequency is restricted to the fixed values found in the pull down menu.  The inductor current ripple factor is multiplied by the device current rating to give the inductor ripple current magnitude.  This factor should be in the range of 0.2 to 0.4; 0.3 being the typical value.</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Inductor Calculations</a:t>
          </a:r>
        </a:p>
        <a:p>
          <a:r>
            <a:rPr lang="en-US" sz="1200">
              <a:latin typeface="Arial" panose="020B0604020202020204" pitchFamily="34" charset="0"/>
              <a:cs typeface="Arial" panose="020B0604020202020204" pitchFamily="34" charset="0"/>
            </a:rPr>
            <a:t>Typical</a:t>
          </a:r>
          <a:r>
            <a:rPr lang="en-US" sz="1200" baseline="0">
              <a:latin typeface="Arial" panose="020B0604020202020204" pitchFamily="34" charset="0"/>
              <a:cs typeface="Arial" panose="020B0604020202020204" pitchFamily="34" charset="0"/>
            </a:rPr>
            <a:t> and minimum values of power inductor are calculated.  The user must select the next standard value  and enter where shown.  The inductor must be selected to withstand the current limit of the device.</a:t>
          </a: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Output Capacitor Calculations</a:t>
          </a:r>
        </a:p>
        <a:p>
          <a:r>
            <a:rPr lang="en-US" sz="1200">
              <a:latin typeface="Arial" panose="020B0604020202020204" pitchFamily="34" charset="0"/>
              <a:cs typeface="Arial" panose="020B0604020202020204" pitchFamily="34" charset="0"/>
            </a:rPr>
            <a:t>Typical and minimum</a:t>
          </a:r>
          <a:r>
            <a:rPr lang="en-US" sz="1200" baseline="0">
              <a:latin typeface="Arial" panose="020B0604020202020204" pitchFamily="34" charset="0"/>
              <a:cs typeface="Arial" panose="020B0604020202020204" pitchFamily="34" charset="0"/>
            </a:rPr>
            <a:t> values of output capacitance are calculated.  The user then enters in the actual capacitance where shown.  The output capacitor(s) should be ceramic, with at least an  X7R dielectric or better.  The user must select a capacitor bank to give the calculated capacitance under all conditions of DC bias, temperature, and tolerance.   Aluminium electrolytic capacitors can also be used to build up to the required capacitance, if needed.</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Feed-back Divider Resistors</a:t>
          </a:r>
        </a:p>
        <a:p>
          <a:r>
            <a:rPr lang="en-US" sz="1200">
              <a:latin typeface="Arial" panose="020B0604020202020204" pitchFamily="34" charset="0"/>
              <a:cs typeface="Arial" panose="020B0604020202020204" pitchFamily="34" charset="0"/>
            </a:rPr>
            <a:t>A feed-back voltage</a:t>
          </a:r>
          <a:r>
            <a:rPr lang="en-US" sz="1200" baseline="0">
              <a:latin typeface="Arial" panose="020B0604020202020204" pitchFamily="34" charset="0"/>
              <a:cs typeface="Arial" panose="020B0604020202020204" pitchFamily="34" charset="0"/>
            </a:rPr>
            <a:t> divider is required for this family of devices (fixed output voltage options are not supported).  Select the desired value of top feed-back resistor and the bottom resistor will be calculated.  </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Feed-forward Capacitor Calculations</a:t>
          </a:r>
        </a:p>
        <a:p>
          <a:r>
            <a:rPr lang="en-US" sz="1200" baseline="0">
              <a:latin typeface="Arial" panose="020B0604020202020204" pitchFamily="34" charset="0"/>
              <a:cs typeface="Arial" panose="020B0604020202020204" pitchFamily="34" charset="0"/>
            </a:rPr>
            <a:t>A starting point value for the feed-forward capacitor is calculated.  The user can enter this value where shown.  The value of this capacitor can be adjusted to give the desired loop performance.  The use of this capacitor is optional, but it is recommended to leave space on the PCB if it should become necessary.</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Input Voltage Range</a:t>
          </a:r>
        </a:p>
        <a:p>
          <a:r>
            <a:rPr lang="en-US" sz="1200">
              <a:latin typeface="Arial" panose="020B0604020202020204" pitchFamily="34" charset="0"/>
              <a:cs typeface="Arial" panose="020B0604020202020204" pitchFamily="34" charset="0"/>
            </a:rPr>
            <a:t>This sections calculates</a:t>
          </a:r>
          <a:r>
            <a:rPr lang="en-US" sz="1200" baseline="0">
              <a:latin typeface="Arial" panose="020B0604020202020204" pitchFamily="34" charset="0"/>
              <a:cs typeface="Arial" panose="020B0604020202020204" pitchFamily="34" charset="0"/>
            </a:rPr>
            <a:t> the </a:t>
          </a:r>
          <a:r>
            <a:rPr lang="en-US" sz="1200" i="1" baseline="0">
              <a:latin typeface="Arial" panose="020B0604020202020204" pitchFamily="34" charset="0"/>
              <a:cs typeface="Arial" panose="020B0604020202020204" pitchFamily="34" charset="0"/>
            </a:rPr>
            <a:t>approximate</a:t>
          </a:r>
          <a:r>
            <a:rPr lang="en-US" sz="1200" baseline="0">
              <a:latin typeface="Arial" panose="020B0604020202020204" pitchFamily="34" charset="0"/>
              <a:cs typeface="Arial" panose="020B0604020202020204" pitchFamily="34" charset="0"/>
            </a:rPr>
            <a:t> input voltage range for full frequency operation and/or drop-out.  The D.C. resistance of the inductor must be entered where shown.</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Auxiliary Components and Connections</a:t>
          </a:r>
        </a:p>
        <a:p>
          <a:r>
            <a:rPr lang="en-US" sz="1200">
              <a:latin typeface="Arial" panose="020B0604020202020204" pitchFamily="34" charset="0"/>
              <a:cs typeface="Arial" panose="020B0604020202020204" pitchFamily="34" charset="0"/>
            </a:rPr>
            <a:t>This section</a:t>
          </a:r>
          <a:r>
            <a:rPr lang="en-US" sz="1200" baseline="0">
              <a:latin typeface="Arial" panose="020B0604020202020204" pitchFamily="34" charset="0"/>
              <a:cs typeface="Arial" panose="020B0604020202020204" pitchFamily="34" charset="0"/>
            </a:rPr>
            <a:t> details the rest of the external components and connections required.  All capacitors should be ceramic.  The input capacitors must be rated for at least twice the maximum input voltage.  CIN-HF must be placed within 1mm of the device VIN and PGND pins.</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Inductor Current Calculations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This section calculates the peak, valley and ripple current in the inductor.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Current Limit Calculations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This device incorporates peak and valley current limit as well as "hiccup" mode.  When the load current exceeds the "Fold-back Current Limit" value, the switching frequency will drop, while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output voltage remains in regulation.  When the load current exceeds the "Current Limit" value, the switching frequency will drop, and the output voltage will drop out of regulation.  In this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maximum output current is limited to the value "Maximum Output Current".  When the output voltage falls below about 40% of the regulated value, hiccup mode is entered.  In this mode the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output current is limited to about 20% of the value Maximum Output Current".  Hiccup mode is not modeled in this spreadsheet.  The user is notified if the current limit is reached.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Estimated Loop Performance</a:t>
          </a:r>
        </a:p>
        <a:p>
          <a:r>
            <a:rPr lang="en-US" sz="1200">
              <a:latin typeface="Arial" panose="020B0604020202020204" pitchFamily="34" charset="0"/>
              <a:cs typeface="Arial" panose="020B0604020202020204" pitchFamily="34" charset="0"/>
            </a:rPr>
            <a:t>This section gives the estimated</a:t>
          </a:r>
          <a:r>
            <a:rPr lang="en-US" sz="1200" baseline="0">
              <a:latin typeface="Arial" panose="020B0604020202020204" pitchFamily="34" charset="0"/>
              <a:cs typeface="Arial" panose="020B0604020202020204" pitchFamily="34" charset="0"/>
            </a:rPr>
            <a:t> loop cross-over frequency and phase margin for the design.  By adjusting the output capacitor, load, and feed-forward capacitor (if applicable) the user can see the results on the Bode plot.  Please note that the graph indicates the actual loop phase, and not the phase margin, as some frequency response analyzers give.</a:t>
          </a:r>
          <a:endParaRPr lang="en-US" sz="12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342900</xdr:colOff>
      <xdr:row>85</xdr:row>
      <xdr:rowOff>279400</xdr:rowOff>
    </xdr:from>
    <xdr:to>
      <xdr:col>4</xdr:col>
      <xdr:colOff>501569</xdr:colOff>
      <xdr:row>116</xdr:row>
      <xdr:rowOff>173546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209549</xdr:colOff>
      <xdr:row>3</xdr:row>
      <xdr:rowOff>171450</xdr:rowOff>
    </xdr:from>
    <xdr:to>
      <xdr:col>1</xdr:col>
      <xdr:colOff>609599</xdr:colOff>
      <xdr:row>7</xdr:row>
      <xdr:rowOff>142875</xdr:rowOff>
    </xdr:to>
    <xdr:sp macro="" textlink="">
      <xdr:nvSpPr>
        <xdr:cNvPr id="3" name="TextBox 2"/>
        <xdr:cNvSpPr txBox="1"/>
      </xdr:nvSpPr>
      <xdr:spPr>
        <a:xfrm>
          <a:off x="209549" y="771525"/>
          <a:ext cx="4048125" cy="7715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70C0"/>
              </a:solidFill>
              <a:latin typeface="+mn-lt"/>
            </a:rPr>
            <a:t>LMR336x0 Component Calculator</a:t>
          </a:r>
        </a:p>
        <a:p>
          <a:r>
            <a:rPr lang="en-US" sz="2000" b="1">
              <a:solidFill>
                <a:srgbClr val="0070C0"/>
              </a:solidFill>
              <a:latin typeface="+mn-lt"/>
            </a:rPr>
            <a:t>Rev A0</a:t>
          </a:r>
        </a:p>
      </xdr:txBody>
    </xdr:sp>
    <xdr:clientData/>
  </xdr:twoCellAnchor>
  <xdr:twoCellAnchor editAs="oneCell">
    <xdr:from>
      <xdr:col>2</xdr:col>
      <xdr:colOff>2095499</xdr:colOff>
      <xdr:row>6</xdr:row>
      <xdr:rowOff>85725</xdr:rowOff>
    </xdr:from>
    <xdr:to>
      <xdr:col>12</xdr:col>
      <xdr:colOff>39738</xdr:colOff>
      <xdr:row>24</xdr:row>
      <xdr:rowOff>95250</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72374" y="1285875"/>
          <a:ext cx="8269339" cy="4191000"/>
        </a:xfrm>
        <a:prstGeom prst="rect">
          <a:avLst/>
        </a:prstGeom>
        <a:ln w="25400">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39</xdr:col>
      <xdr:colOff>639749</xdr:colOff>
      <xdr:row>161</xdr:row>
      <xdr:rowOff>164872</xdr:rowOff>
    </xdr:from>
    <xdr:to>
      <xdr:col>55</xdr:col>
      <xdr:colOff>649754</xdr:colOff>
      <xdr:row>194</xdr:row>
      <xdr:rowOff>144182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1409700</xdr:colOff>
          <xdr:row>6</xdr:row>
          <xdr:rowOff>19050</xdr:rowOff>
        </xdr:from>
        <xdr:to>
          <xdr:col>7</xdr:col>
          <xdr:colOff>66675</xdr:colOff>
          <xdr:row>31</xdr:row>
          <xdr:rowOff>161925</xdr:rowOff>
        </xdr:to>
        <xdr:sp macro="" textlink="">
          <xdr:nvSpPr>
            <xdr:cNvPr id="4100" name="Object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xdr:twoCellAnchor editAs="oneCell">
    <xdr:from>
      <xdr:col>0</xdr:col>
      <xdr:colOff>485775</xdr:colOff>
      <xdr:row>4</xdr:row>
      <xdr:rowOff>180974</xdr:rowOff>
    </xdr:from>
    <xdr:to>
      <xdr:col>2</xdr:col>
      <xdr:colOff>1007163</xdr:colOff>
      <xdr:row>30</xdr:row>
      <xdr:rowOff>95249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981074"/>
          <a:ext cx="5817288" cy="5114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228600</xdr:colOff>
          <xdr:row>15</xdr:row>
          <xdr:rowOff>85725</xdr:rowOff>
        </xdr:to>
        <xdr:sp macro="" textlink="">
          <xdr:nvSpPr>
            <xdr:cNvPr id="9218" name="Object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590549</xdr:colOff>
      <xdr:row>1</xdr:row>
      <xdr:rowOff>38100</xdr:rowOff>
    </xdr:from>
    <xdr:to>
      <xdr:col>3</xdr:col>
      <xdr:colOff>213508</xdr:colOff>
      <xdr:row>11</xdr:row>
      <xdr:rowOff>95250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49" y="238125"/>
          <a:ext cx="3471059" cy="2057400"/>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590550</xdr:colOff>
          <xdr:row>2</xdr:row>
          <xdr:rowOff>9525</xdr:rowOff>
        </xdr:from>
        <xdr:to>
          <xdr:col>9</xdr:col>
          <xdr:colOff>180975</xdr:colOff>
          <xdr:row>25</xdr:row>
          <xdr:rowOff>47625</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xdr:col>
      <xdr:colOff>679173</xdr:colOff>
      <xdr:row>7</xdr:row>
      <xdr:rowOff>33131</xdr:rowOff>
    </xdr:from>
    <xdr:ext cx="2551044" cy="1188146"/>
    <xdr:sp macro="" textlink="">
      <xdr:nvSpPr>
        <xdr:cNvPr id="2" name="TextBox 1"/>
        <xdr:cNvSpPr txBox="1"/>
      </xdr:nvSpPr>
      <xdr:spPr>
        <a:xfrm>
          <a:off x="2784198" y="1433306"/>
          <a:ext cx="2551044" cy="1188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t>MODE</a:t>
          </a:r>
        </a:p>
        <a:p>
          <a:r>
            <a:rPr lang="en-US" sz="1400" b="1"/>
            <a:t>0</a:t>
          </a:r>
          <a:r>
            <a:rPr lang="en-US" sz="1400" b="1" baseline="0"/>
            <a:t> = no limit</a:t>
          </a:r>
        </a:p>
        <a:p>
          <a:r>
            <a:rPr lang="en-US" sz="1400" b="1" baseline="0"/>
            <a:t>1 = LS limit</a:t>
          </a:r>
        </a:p>
        <a:p>
          <a:r>
            <a:rPr lang="en-US" sz="1400" b="1" baseline="0"/>
            <a:t>2 = HS and LS limit</a:t>
          </a:r>
        </a:p>
        <a:p>
          <a:r>
            <a:rPr lang="en-US" sz="1400" b="1" baseline="0"/>
            <a:t>3 = HS limit</a:t>
          </a:r>
          <a:endParaRPr lang="en-US" sz="1400" b="1"/>
        </a:p>
      </xdr:txBody>
    </xdr:sp>
    <xdr:clientData/>
  </xdr:oneCellAnchor>
  <xdr:twoCellAnchor>
    <xdr:from>
      <xdr:col>16</xdr:col>
      <xdr:colOff>157369</xdr:colOff>
      <xdr:row>610</xdr:row>
      <xdr:rowOff>94422</xdr:rowOff>
    </xdr:from>
    <xdr:to>
      <xdr:col>25</xdr:col>
      <xdr:colOff>463826</xdr:colOff>
      <xdr:row>631</xdr:row>
      <xdr:rowOff>182217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381000</xdr:colOff>
      <xdr:row>7</xdr:row>
      <xdr:rowOff>57979</xdr:rowOff>
    </xdr:from>
    <xdr:ext cx="4754218" cy="1344599"/>
    <xdr:sp macro="" textlink="">
      <xdr:nvSpPr>
        <xdr:cNvPr id="4" name="TextBox 3"/>
        <xdr:cNvSpPr txBox="1"/>
      </xdr:nvSpPr>
      <xdr:spPr>
        <a:xfrm>
          <a:off x="5922065" y="1449457"/>
          <a:ext cx="4754218" cy="134459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t>This device use the "averager".  Therefore</a:t>
          </a:r>
          <a:r>
            <a:rPr lang="en-US" sz="1600" baseline="0"/>
            <a:t> the effect of the corrective ramp on the high-side current limit is removed.  The high-side current limit will remain constant with changes in duty cycle, once the "averager" has settled to stead-state.</a:t>
          </a:r>
          <a:endParaRPr lang="en-US" sz="16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2.vml"/><Relationship Id="rId1" Type="http://schemas.openxmlformats.org/officeDocument/2006/relationships/drawing" Target="../drawings/drawing5.xml"/><Relationship Id="rId4" Type="http://schemas.openxmlformats.org/officeDocument/2006/relationships/image" Target="../media/image4.emf"/></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image" Target="../media/image5.wmf"/><Relationship Id="rId4" Type="http://schemas.openxmlformats.org/officeDocument/2006/relationships/oleObject" Target="../embeddings/oleObject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7" sqref="Q7"/>
    </sheetView>
  </sheetViews>
  <sheetFormatPr defaultRowHeight="15.75" x14ac:dyDescent="0.25"/>
  <cols>
    <col min="3" max="3" width="14.75" customWidth="1"/>
  </cols>
  <sheetData/>
  <sheetProtection password="DCA3"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Q643"/>
  <sheetViews>
    <sheetView zoomScale="115" zoomScaleNormal="115" workbookViewId="0">
      <selection activeCell="Q17" sqref="Q17"/>
    </sheetView>
  </sheetViews>
  <sheetFormatPr defaultRowHeight="15.75" x14ac:dyDescent="0.25"/>
  <cols>
    <col min="1" max="1" width="20.25" customWidth="1"/>
    <col min="2" max="2" width="13.75" customWidth="1"/>
    <col min="3" max="3" width="2.5" customWidth="1"/>
    <col min="4" max="4" width="7.25" customWidth="1"/>
    <col min="5" max="5" width="10.25" customWidth="1"/>
    <col min="6" max="6" width="9.75" customWidth="1"/>
    <col min="7" max="9" width="8.875" customWidth="1"/>
    <col min="10" max="10" width="2.5" customWidth="1"/>
    <col min="11" max="11" width="3.375" customWidth="1"/>
    <col min="12" max="12" width="4.75" customWidth="1"/>
    <col min="13" max="13" width="9.375" customWidth="1"/>
    <col min="14" max="14" width="10.25" customWidth="1"/>
    <col min="15" max="15" width="11.125" customWidth="1"/>
    <col min="16" max="16" width="12" customWidth="1"/>
    <col min="17" max="17" width="12.25" customWidth="1"/>
  </cols>
  <sheetData>
    <row r="7" spans="1:2" x14ac:dyDescent="0.25">
      <c r="A7" s="133">
        <v>43980</v>
      </c>
    </row>
    <row r="11" spans="1:2" x14ac:dyDescent="0.25">
      <c r="A11" t="s">
        <v>206</v>
      </c>
      <c r="B11" s="134">
        <f>((Main!B19-Main!B20)*Main!B20/Main!B19)/(loop_gain!B17*loop_gain!B18)</f>
        <v>1.0723039215686274</v>
      </c>
    </row>
    <row r="12" spans="1:2" x14ac:dyDescent="0.25">
      <c r="A12" t="s">
        <v>207</v>
      </c>
      <c r="B12" s="39">
        <f>B11*loop_gain!B18</f>
        <v>428921.56862745096</v>
      </c>
    </row>
    <row r="13" spans="1:2" x14ac:dyDescent="0.25">
      <c r="A13" t="s">
        <v>208</v>
      </c>
      <c r="B13" s="134">
        <f>Helper_calcs!B27+0.5*Current_limit!B11</f>
        <v>3.4361519607843136</v>
      </c>
    </row>
    <row r="14" spans="1:2" x14ac:dyDescent="0.25">
      <c r="A14" t="s">
        <v>209</v>
      </c>
      <c r="B14" s="134">
        <f>(Helper_calcs!B26+Helper_calcs!B27)/2</f>
        <v>3.375</v>
      </c>
    </row>
    <row r="15" spans="1:2" x14ac:dyDescent="0.25">
      <c r="A15" t="s">
        <v>210</v>
      </c>
      <c r="B15" s="134">
        <f>Helper_calcs!B26-0.5*Current_limit!B11</f>
        <v>3.3138480392156864</v>
      </c>
    </row>
    <row r="16" spans="1:2" x14ac:dyDescent="0.25">
      <c r="A16" t="s">
        <v>211</v>
      </c>
      <c r="B16" s="135" t="str">
        <f>IF(B15&lt;B13,"Y","N")</f>
        <v>Y</v>
      </c>
    </row>
    <row r="18" spans="1:17" x14ac:dyDescent="0.25">
      <c r="A18" t="s">
        <v>212</v>
      </c>
      <c r="B18" s="39">
        <f>M643</f>
        <v>0</v>
      </c>
    </row>
    <row r="22" spans="1:17" x14ac:dyDescent="0.25">
      <c r="A22" s="126" t="s">
        <v>213</v>
      </c>
      <c r="B22" s="126" t="s">
        <v>214</v>
      </c>
      <c r="D22" s="136" t="s">
        <v>215</v>
      </c>
      <c r="E22" s="136" t="s">
        <v>216</v>
      </c>
      <c r="F22" s="136" t="s">
        <v>217</v>
      </c>
      <c r="G22" s="136" t="s">
        <v>218</v>
      </c>
      <c r="H22" s="136" t="s">
        <v>219</v>
      </c>
      <c r="I22" s="136" t="s">
        <v>220</v>
      </c>
      <c r="J22" s="136"/>
      <c r="K22" s="126"/>
      <c r="L22" s="126"/>
      <c r="M22" s="126" t="s">
        <v>221</v>
      </c>
      <c r="N22" s="126" t="s">
        <v>222</v>
      </c>
      <c r="O22" s="126" t="s">
        <v>223</v>
      </c>
      <c r="P22" s="126" t="s">
        <v>224</v>
      </c>
      <c r="Q22" s="126"/>
    </row>
    <row r="23" spans="1:17" x14ac:dyDescent="0.25">
      <c r="A23">
        <v>0.1</v>
      </c>
      <c r="B23">
        <f>Main!$B$20/A23</f>
        <v>50</v>
      </c>
      <c r="D23" s="137">
        <f t="shared" ref="D23:D86" si="0">B23</f>
        <v>50</v>
      </c>
      <c r="E23" s="137">
        <f>-B23*Main!$B$19-2*Main!$B$19*loop_gain!$B$17*loop_gain!$B$18</f>
        <v>-665.28</v>
      </c>
      <c r="F23" s="137">
        <f>2*Main!$B$19*loop_gain!$B$17*loop_gain!$B$18*Helper_calcs!$B$26*Current_limit!B23</f>
        <v>12566.399999999998</v>
      </c>
      <c r="G23" s="137" t="e">
        <f>(-E23-SQRT(E23^2-4*D23*F23))/(2*D23)</f>
        <v>#NUM!</v>
      </c>
      <c r="H23" s="137" t="e">
        <f>(Main!$B$19-Current_limit!G23)*Current_limit!G23/(Main!$B$19*loop_gain!$B$17*loop_gain!$B$18)</f>
        <v>#NUM!</v>
      </c>
      <c r="I23" s="137" t="e">
        <f>(G23/B23)-0.5*H23</f>
        <v>#NUM!</v>
      </c>
      <c r="J23" s="137"/>
      <c r="K23" s="138">
        <f>IF(A23&gt;$B$15,IF(I23&gt;Helper_calcs!$B$27,23,3),0)</f>
        <v>0</v>
      </c>
      <c r="L23" s="139">
        <f t="shared" ref="L23:L86" si="1">IF(A23&gt;$B$13,IF(A23&gt;$B$14,2,1),0)</f>
        <v>0</v>
      </c>
      <c r="M23" s="139">
        <f>IF($B$16="N",L23,K23)</f>
        <v>0</v>
      </c>
      <c r="N23" s="137">
        <f>IF(OR(M23=0,M23=1),A23,IF(OR(M23=2,M23=23),$B$14,G23/B23))</f>
        <v>0.1</v>
      </c>
      <c r="O23" s="137">
        <f>N23*B23</f>
        <v>5</v>
      </c>
      <c r="P23" s="140">
        <f>IF(OR(M23=0,M23=3),loop_gain!$B$18,IF(Current_limit!M23=1,Current_limit!$B$12/(2*(Current_limit!N23-Helper_calcs!$B$27)),IF(OR(M23=2,M23=23),(Main!$B$19-Current_limit!O23)*Current_limit!O23/(Main!$B$19*loop_gain!$B$17*(Helper_calcs!$B$26-Helper_calcs!$B$27)),x)))</f>
        <v>400000</v>
      </c>
      <c r="Q23" s="137"/>
    </row>
    <row r="24" spans="1:17" x14ac:dyDescent="0.25">
      <c r="A24">
        <f>A23+0.1</f>
        <v>0.2</v>
      </c>
      <c r="B24">
        <f>Main!$B$20/A24</f>
        <v>25</v>
      </c>
      <c r="D24" s="137">
        <f t="shared" si="0"/>
        <v>25</v>
      </c>
      <c r="E24" s="137">
        <f>-B24*Main!$B$19-2*Main!$B$19*loop_gain!$B$17*loop_gain!$B$18</f>
        <v>-365.28</v>
      </c>
      <c r="F24" s="137">
        <f>2*Main!$B$19*loop_gain!$B$17*loop_gain!$B$18*Helper_calcs!$B$26*Current_limit!B24</f>
        <v>6283.1999999999989</v>
      </c>
      <c r="G24" s="137" t="e">
        <f t="shared" ref="G24:G87" si="2">(-E24-SQRT(E24^2-4*D24*F24))/(2*D24)</f>
        <v>#NUM!</v>
      </c>
      <c r="H24" s="137" t="e">
        <f>(Main!$B$19-Current_limit!G24)*Current_limit!G24/(Main!$B$19*loop_gain!$B$17*loop_gain!$B$18)</f>
        <v>#NUM!</v>
      </c>
      <c r="I24" s="137" t="e">
        <f t="shared" ref="I24:I87" si="3">(G24/B24)-0.5*H24</f>
        <v>#NUM!</v>
      </c>
      <c r="J24" s="137"/>
      <c r="K24" s="138">
        <f>IF(A24&gt;$B$15,IF(I24&gt;Helper_calcs!$B$27,23,3),0)</f>
        <v>0</v>
      </c>
      <c r="L24" s="139">
        <f t="shared" si="1"/>
        <v>0</v>
      </c>
      <c r="M24" s="139">
        <f t="shared" ref="M24:M87" si="4">IF($B$16="N",L24,K24)</f>
        <v>0</v>
      </c>
      <c r="N24" s="137">
        <f t="shared" ref="N24:N87" si="5">IF(OR(M24=0,M24=1),A24,IF(OR(M24=2,M24=23),$B$14,G24/B24))</f>
        <v>0.2</v>
      </c>
      <c r="O24" s="137">
        <f t="shared" ref="O24:O87" si="6">N24*B24</f>
        <v>5</v>
      </c>
      <c r="P24" s="140">
        <f>IF(OR(M24=0,M24=3),loop_gain!$B$18,IF(Current_limit!M24=1,Current_limit!$B$12/(2*(Current_limit!N24-Helper_calcs!$B$27)),IF(OR(M24=2,M24=23),(Main!$B$19-Current_limit!O24)*Current_limit!O24/(Main!$B$19*loop_gain!$B$17*(Helper_calcs!$B$26-Helper_calcs!$B$27)),x)))</f>
        <v>400000</v>
      </c>
      <c r="Q24" s="137"/>
    </row>
    <row r="25" spans="1:17" x14ac:dyDescent="0.25">
      <c r="A25">
        <f t="shared" ref="A25:A31" si="7">A24+0.1</f>
        <v>0.30000000000000004</v>
      </c>
      <c r="B25">
        <f>Main!$B$20/A25</f>
        <v>16.666666666666664</v>
      </c>
      <c r="D25" s="137">
        <f t="shared" si="0"/>
        <v>16.666666666666664</v>
      </c>
      <c r="E25" s="137">
        <f>-B25*Main!$B$19-2*Main!$B$19*loop_gain!$B$17*loop_gain!$B$18</f>
        <v>-265.27999999999997</v>
      </c>
      <c r="F25" s="137">
        <f>2*Main!$B$19*loop_gain!$B$17*loop_gain!$B$18*Helper_calcs!$B$26*Current_limit!B25</f>
        <v>4188.7999999999984</v>
      </c>
      <c r="G25" s="137" t="e">
        <f t="shared" si="2"/>
        <v>#NUM!</v>
      </c>
      <c r="H25" s="137" t="e">
        <f>(Main!$B$19-Current_limit!G25)*Current_limit!G25/(Main!$B$19*loop_gain!$B$17*loop_gain!$B$18)</f>
        <v>#NUM!</v>
      </c>
      <c r="I25" s="137" t="e">
        <f t="shared" si="3"/>
        <v>#NUM!</v>
      </c>
      <c r="J25" s="137"/>
      <c r="K25" s="138">
        <f>IF(A25&gt;$B$15,IF(I25&gt;Helper_calcs!$B$27,23,3),0)</f>
        <v>0</v>
      </c>
      <c r="L25" s="139">
        <f t="shared" si="1"/>
        <v>0</v>
      </c>
      <c r="M25" s="139">
        <f t="shared" si="4"/>
        <v>0</v>
      </c>
      <c r="N25" s="137">
        <f t="shared" si="5"/>
        <v>0.30000000000000004</v>
      </c>
      <c r="O25" s="137">
        <f t="shared" si="6"/>
        <v>5</v>
      </c>
      <c r="P25" s="140">
        <f>IF(OR(M25=0,M25=3),loop_gain!$B$18,IF(Current_limit!M25=1,Current_limit!$B$12/(2*(Current_limit!N25-Helper_calcs!$B$27)),IF(OR(M25=2,M25=23),(Main!$B$19-Current_limit!O25)*Current_limit!O25/(Main!$B$19*loop_gain!$B$17*(Helper_calcs!$B$26-Helper_calcs!$B$27)),x)))</f>
        <v>400000</v>
      </c>
      <c r="Q25" s="137"/>
    </row>
    <row r="26" spans="1:17" x14ac:dyDescent="0.25">
      <c r="A26">
        <f t="shared" si="7"/>
        <v>0.4</v>
      </c>
      <c r="B26">
        <f>Main!$B$20/A26</f>
        <v>12.5</v>
      </c>
      <c r="D26" s="137">
        <f t="shared" si="0"/>
        <v>12.5</v>
      </c>
      <c r="E26" s="137">
        <f>-B26*Main!$B$19-2*Main!$B$19*loop_gain!$B$17*loop_gain!$B$18</f>
        <v>-215.27999999999997</v>
      </c>
      <c r="F26" s="137">
        <f>2*Main!$B$19*loop_gain!$B$17*loop_gain!$B$18*Helper_calcs!$B$26*Current_limit!B26</f>
        <v>3141.5999999999995</v>
      </c>
      <c r="G26" s="137" t="e">
        <f t="shared" si="2"/>
        <v>#NUM!</v>
      </c>
      <c r="H26" s="137" t="e">
        <f>(Main!$B$19-Current_limit!G26)*Current_limit!G26/(Main!$B$19*loop_gain!$B$17*loop_gain!$B$18)</f>
        <v>#NUM!</v>
      </c>
      <c r="I26" s="137" t="e">
        <f t="shared" si="3"/>
        <v>#NUM!</v>
      </c>
      <c r="J26" s="137"/>
      <c r="K26" s="138">
        <f>IF(A26&gt;$B$15,IF(I26&gt;Helper_calcs!$B$27,23,3),0)</f>
        <v>0</v>
      </c>
      <c r="L26" s="139">
        <f t="shared" si="1"/>
        <v>0</v>
      </c>
      <c r="M26" s="139">
        <f t="shared" si="4"/>
        <v>0</v>
      </c>
      <c r="N26" s="137">
        <f t="shared" si="5"/>
        <v>0.4</v>
      </c>
      <c r="O26" s="137">
        <f t="shared" si="6"/>
        <v>5</v>
      </c>
      <c r="P26" s="140">
        <f>IF(OR(M26=0,M26=3),loop_gain!$B$18,IF(Current_limit!M26=1,Current_limit!$B$12/(2*(Current_limit!N26-Helper_calcs!$B$27)),IF(OR(M26=2,M26=23),(Main!$B$19-Current_limit!O26)*Current_limit!O26/(Main!$B$19*loop_gain!$B$17*(Helper_calcs!$B$26-Helper_calcs!$B$27)),x)))</f>
        <v>400000</v>
      </c>
      <c r="Q26" s="137"/>
    </row>
    <row r="27" spans="1:17" x14ac:dyDescent="0.25">
      <c r="A27">
        <f t="shared" si="7"/>
        <v>0.5</v>
      </c>
      <c r="B27">
        <f>Main!$B$20/A27</f>
        <v>10</v>
      </c>
      <c r="D27" s="137">
        <f t="shared" si="0"/>
        <v>10</v>
      </c>
      <c r="E27" s="137">
        <f>-B27*Main!$B$19-2*Main!$B$19*loop_gain!$B$17*loop_gain!$B$18</f>
        <v>-185.27999999999997</v>
      </c>
      <c r="F27" s="137">
        <f>2*Main!$B$19*loop_gain!$B$17*loop_gain!$B$18*Helper_calcs!$B$26*Current_limit!B27</f>
        <v>2513.2799999999993</v>
      </c>
      <c r="G27" s="137" t="e">
        <f t="shared" si="2"/>
        <v>#NUM!</v>
      </c>
      <c r="H27" s="137" t="e">
        <f>(Main!$B$19-Current_limit!G27)*Current_limit!G27/(Main!$B$19*loop_gain!$B$17*loop_gain!$B$18)</f>
        <v>#NUM!</v>
      </c>
      <c r="I27" s="137" t="e">
        <f t="shared" si="3"/>
        <v>#NUM!</v>
      </c>
      <c r="J27" s="137"/>
      <c r="K27" s="138">
        <f>IF(A27&gt;$B$15,IF(I27&gt;Helper_calcs!$B$27,23,3),0)</f>
        <v>0</v>
      </c>
      <c r="L27" s="139">
        <f t="shared" si="1"/>
        <v>0</v>
      </c>
      <c r="M27" s="139">
        <f t="shared" si="4"/>
        <v>0</v>
      </c>
      <c r="N27" s="137">
        <f t="shared" si="5"/>
        <v>0.5</v>
      </c>
      <c r="O27" s="137">
        <f t="shared" si="6"/>
        <v>5</v>
      </c>
      <c r="P27" s="140">
        <f>IF(OR(M27=0,M27=3),loop_gain!$B$18,IF(Current_limit!M27=1,Current_limit!$B$12/(2*(Current_limit!N27-Helper_calcs!$B$27)),IF(OR(M27=2,M27=23),(Main!$B$19-Current_limit!O27)*Current_limit!O27/(Main!$B$19*loop_gain!$B$17*(Helper_calcs!$B$26-Helper_calcs!$B$27)),x)))</f>
        <v>400000</v>
      </c>
      <c r="Q27" s="137"/>
    </row>
    <row r="28" spans="1:17" x14ac:dyDescent="0.25">
      <c r="A28">
        <f t="shared" si="7"/>
        <v>0.6</v>
      </c>
      <c r="B28">
        <f>Main!$B$20/A28</f>
        <v>8.3333333333333339</v>
      </c>
      <c r="D28" s="137">
        <f t="shared" si="0"/>
        <v>8.3333333333333339</v>
      </c>
      <c r="E28" s="137">
        <f>-B28*Main!$B$19-2*Main!$B$19*loop_gain!$B$17*loop_gain!$B$18</f>
        <v>-165.27999999999997</v>
      </c>
      <c r="F28" s="137">
        <f>2*Main!$B$19*loop_gain!$B$17*loop_gain!$B$18*Helper_calcs!$B$26*Current_limit!B28</f>
        <v>2094.3999999999996</v>
      </c>
      <c r="G28" s="137" t="e">
        <f t="shared" si="2"/>
        <v>#NUM!</v>
      </c>
      <c r="H28" s="137" t="e">
        <f>(Main!$B$19-Current_limit!G28)*Current_limit!G28/(Main!$B$19*loop_gain!$B$17*loop_gain!$B$18)</f>
        <v>#NUM!</v>
      </c>
      <c r="I28" s="137" t="e">
        <f t="shared" si="3"/>
        <v>#NUM!</v>
      </c>
      <c r="J28" s="137"/>
      <c r="K28" s="138">
        <f>IF(A28&gt;$B$15,IF(I28&gt;Helper_calcs!$B$27,23,3),0)</f>
        <v>0</v>
      </c>
      <c r="L28" s="139">
        <f t="shared" si="1"/>
        <v>0</v>
      </c>
      <c r="M28" s="139">
        <f t="shared" si="4"/>
        <v>0</v>
      </c>
      <c r="N28" s="137">
        <f t="shared" si="5"/>
        <v>0.6</v>
      </c>
      <c r="O28" s="137">
        <f t="shared" si="6"/>
        <v>5</v>
      </c>
      <c r="P28" s="140">
        <f>IF(OR(M28=0,M28=3),loop_gain!$B$18,IF(Current_limit!M28=1,Current_limit!$B$12/(2*(Current_limit!N28-Helper_calcs!$B$27)),IF(OR(M28=2,M28=23),(Main!$B$19-Current_limit!O28)*Current_limit!O28/(Main!$B$19*loop_gain!$B$17*(Helper_calcs!$B$26-Helper_calcs!$B$27)),x)))</f>
        <v>400000</v>
      </c>
      <c r="Q28" s="137"/>
    </row>
    <row r="29" spans="1:17" x14ac:dyDescent="0.25">
      <c r="A29">
        <f t="shared" si="7"/>
        <v>0.7</v>
      </c>
      <c r="B29">
        <f>Main!$B$20/A29</f>
        <v>7.1428571428571432</v>
      </c>
      <c r="D29" s="137">
        <f t="shared" si="0"/>
        <v>7.1428571428571432</v>
      </c>
      <c r="E29" s="137">
        <f>-B29*Main!$B$19-2*Main!$B$19*loop_gain!$B$17*loop_gain!$B$18</f>
        <v>-150.9942857142857</v>
      </c>
      <c r="F29" s="137">
        <f>2*Main!$B$19*loop_gain!$B$17*loop_gain!$B$18*Helper_calcs!$B$26*Current_limit!B29</f>
        <v>1795.1999999999998</v>
      </c>
      <c r="G29" s="137" t="e">
        <f t="shared" si="2"/>
        <v>#NUM!</v>
      </c>
      <c r="H29" s="137" t="e">
        <f>(Main!$B$19-Current_limit!G29)*Current_limit!G29/(Main!$B$19*loop_gain!$B$17*loop_gain!$B$18)</f>
        <v>#NUM!</v>
      </c>
      <c r="I29" s="137" t="e">
        <f t="shared" si="3"/>
        <v>#NUM!</v>
      </c>
      <c r="J29" s="137"/>
      <c r="K29" s="138">
        <f>IF(A29&gt;$B$15,IF(I29&gt;Helper_calcs!$B$27,23,3),0)</f>
        <v>0</v>
      </c>
      <c r="L29" s="139">
        <f t="shared" si="1"/>
        <v>0</v>
      </c>
      <c r="M29" s="139">
        <f t="shared" si="4"/>
        <v>0</v>
      </c>
      <c r="N29" s="137">
        <f t="shared" si="5"/>
        <v>0.7</v>
      </c>
      <c r="O29" s="137">
        <f t="shared" si="6"/>
        <v>5</v>
      </c>
      <c r="P29" s="140">
        <f>IF(OR(M29=0,M29=3),loop_gain!$B$18,IF(Current_limit!M29=1,Current_limit!$B$12/(2*(Current_limit!N29-Helper_calcs!$B$27)),IF(OR(M29=2,M29=23),(Main!$B$19-Current_limit!O29)*Current_limit!O29/(Main!$B$19*loop_gain!$B$17*(Helper_calcs!$B$26-Helper_calcs!$B$27)),x)))</f>
        <v>400000</v>
      </c>
      <c r="Q29" s="137"/>
    </row>
    <row r="30" spans="1:17" x14ac:dyDescent="0.25">
      <c r="A30">
        <f t="shared" si="7"/>
        <v>0.79999999999999993</v>
      </c>
      <c r="B30">
        <f>Main!$B$20/A30</f>
        <v>6.2500000000000009</v>
      </c>
      <c r="D30" s="137">
        <f t="shared" si="0"/>
        <v>6.2500000000000009</v>
      </c>
      <c r="E30" s="137">
        <f>-B30*Main!$B$19-2*Main!$B$19*loop_gain!$B$17*loop_gain!$B$18</f>
        <v>-140.28</v>
      </c>
      <c r="F30" s="137">
        <f>2*Main!$B$19*loop_gain!$B$17*loop_gain!$B$18*Helper_calcs!$B$26*Current_limit!B30</f>
        <v>1570.8</v>
      </c>
      <c r="G30" s="137" t="e">
        <f t="shared" si="2"/>
        <v>#NUM!</v>
      </c>
      <c r="H30" s="137" t="e">
        <f>(Main!$B$19-Current_limit!G30)*Current_limit!G30/(Main!$B$19*loop_gain!$B$17*loop_gain!$B$18)</f>
        <v>#NUM!</v>
      </c>
      <c r="I30" s="137" t="e">
        <f t="shared" si="3"/>
        <v>#NUM!</v>
      </c>
      <c r="J30" s="137"/>
      <c r="K30" s="138">
        <f>IF(A30&gt;$B$15,IF(I30&gt;Helper_calcs!$B$27,23,3),0)</f>
        <v>0</v>
      </c>
      <c r="L30" s="139">
        <f t="shared" si="1"/>
        <v>0</v>
      </c>
      <c r="M30" s="139">
        <f t="shared" si="4"/>
        <v>0</v>
      </c>
      <c r="N30" s="137">
        <f t="shared" si="5"/>
        <v>0.79999999999999993</v>
      </c>
      <c r="O30" s="137">
        <f t="shared" si="6"/>
        <v>5</v>
      </c>
      <c r="P30" s="140">
        <f>IF(OR(M30=0,M30=3),loop_gain!$B$18,IF(Current_limit!M30=1,Current_limit!$B$12/(2*(Current_limit!N30-Helper_calcs!$B$27)),IF(OR(M30=2,M30=23),(Main!$B$19-Current_limit!O30)*Current_limit!O30/(Main!$B$19*loop_gain!$B$17*(Helper_calcs!$B$26-Helper_calcs!$B$27)),x)))</f>
        <v>400000</v>
      </c>
      <c r="Q30" s="137"/>
    </row>
    <row r="31" spans="1:17" x14ac:dyDescent="0.25">
      <c r="A31">
        <f t="shared" si="7"/>
        <v>0.89999999999999991</v>
      </c>
      <c r="B31">
        <f>Main!$B$20/A31</f>
        <v>5.5555555555555562</v>
      </c>
      <c r="D31" s="137">
        <f t="shared" si="0"/>
        <v>5.5555555555555562</v>
      </c>
      <c r="E31" s="137">
        <f>-B31*Main!$B$19-2*Main!$B$19*loop_gain!$B$17*loop_gain!$B$18</f>
        <v>-131.94666666666666</v>
      </c>
      <c r="F31" s="137">
        <f>2*Main!$B$19*loop_gain!$B$17*loop_gain!$B$18*Helper_calcs!$B$26*Current_limit!B31</f>
        <v>1396.2666666666667</v>
      </c>
      <c r="G31" s="137" t="e">
        <f t="shared" si="2"/>
        <v>#NUM!</v>
      </c>
      <c r="H31" s="137" t="e">
        <f>(Main!$B$19-Current_limit!G31)*Current_limit!G31/(Main!$B$19*loop_gain!$B$17*loop_gain!$B$18)</f>
        <v>#NUM!</v>
      </c>
      <c r="I31" s="137" t="e">
        <f t="shared" si="3"/>
        <v>#NUM!</v>
      </c>
      <c r="J31" s="137"/>
      <c r="K31" s="138">
        <f>IF(A31&gt;$B$15,IF(I31&gt;Helper_calcs!$B$27,23,3),0)</f>
        <v>0</v>
      </c>
      <c r="L31" s="139">
        <f t="shared" si="1"/>
        <v>0</v>
      </c>
      <c r="M31" s="139">
        <f t="shared" si="4"/>
        <v>0</v>
      </c>
      <c r="N31" s="137">
        <f t="shared" si="5"/>
        <v>0.89999999999999991</v>
      </c>
      <c r="O31" s="137">
        <f t="shared" si="6"/>
        <v>5</v>
      </c>
      <c r="P31" s="140">
        <f>IF(OR(M31=0,M31=3),loop_gain!$B$18,IF(Current_limit!M31=1,Current_limit!$B$12/(2*(Current_limit!N31-Helper_calcs!$B$27)),IF(OR(M31=2,M31=23),(Main!$B$19-Current_limit!O31)*Current_limit!O31/(Main!$B$19*loop_gain!$B$17*(Helper_calcs!$B$26-Helper_calcs!$B$27)),x)))</f>
        <v>400000</v>
      </c>
      <c r="Q31" s="137"/>
    </row>
    <row r="32" spans="1:17" x14ac:dyDescent="0.25">
      <c r="A32">
        <f>A31+0.01</f>
        <v>0.90999999999999992</v>
      </c>
      <c r="B32">
        <f>Main!$B$20/A32</f>
        <v>5.4945054945054954</v>
      </c>
      <c r="D32" s="137">
        <f t="shared" si="0"/>
        <v>5.4945054945054954</v>
      </c>
      <c r="E32" s="137">
        <f>-B32*Main!$B$19-2*Main!$B$19*loop_gain!$B$17*loop_gain!$B$18</f>
        <v>-131.21406593406593</v>
      </c>
      <c r="F32" s="137">
        <f>2*Main!$B$19*loop_gain!$B$17*loop_gain!$B$18*Helper_calcs!$B$26*Current_limit!B32</f>
        <v>1380.9230769230769</v>
      </c>
      <c r="G32" s="137" t="e">
        <f t="shared" si="2"/>
        <v>#NUM!</v>
      </c>
      <c r="H32" s="137" t="e">
        <f>(Main!$B$19-Current_limit!G32)*Current_limit!G32/(Main!$B$19*loop_gain!$B$17*loop_gain!$B$18)</f>
        <v>#NUM!</v>
      </c>
      <c r="I32" s="137" t="e">
        <f t="shared" si="3"/>
        <v>#NUM!</v>
      </c>
      <c r="J32" s="137"/>
      <c r="K32" s="138">
        <f>IF(A32&gt;$B$15,IF(I32&gt;Helper_calcs!$B$27,23,3),0)</f>
        <v>0</v>
      </c>
      <c r="L32" s="139">
        <f t="shared" si="1"/>
        <v>0</v>
      </c>
      <c r="M32" s="139">
        <f t="shared" si="4"/>
        <v>0</v>
      </c>
      <c r="N32" s="137">
        <f t="shared" si="5"/>
        <v>0.90999999999999992</v>
      </c>
      <c r="O32" s="137">
        <f t="shared" si="6"/>
        <v>5</v>
      </c>
      <c r="P32" s="140">
        <f>IF(OR(M32=0,M32=3),loop_gain!$B$18,IF(Current_limit!M32=1,Current_limit!$B$12/(2*(Current_limit!N32-Helper_calcs!$B$27)),IF(OR(M32=2,M32=23),(Main!$B$19-Current_limit!O32)*Current_limit!O32/(Main!$B$19*loop_gain!$B$17*(Helper_calcs!$B$26-Helper_calcs!$B$27)),x)))</f>
        <v>400000</v>
      </c>
      <c r="Q32" s="137"/>
    </row>
    <row r="33" spans="1:17" x14ac:dyDescent="0.25">
      <c r="A33">
        <f t="shared" ref="A33:A96" si="8">A32+0.01</f>
        <v>0.91999999999999993</v>
      </c>
      <c r="B33">
        <f>Main!$B$20/A33</f>
        <v>5.4347826086956523</v>
      </c>
      <c r="D33" s="137">
        <f t="shared" si="0"/>
        <v>5.4347826086956523</v>
      </c>
      <c r="E33" s="137">
        <f>-B33*Main!$B$19-2*Main!$B$19*loop_gain!$B$17*loop_gain!$B$18</f>
        <v>-130.49739130434781</v>
      </c>
      <c r="F33" s="137">
        <f>2*Main!$B$19*loop_gain!$B$17*loop_gain!$B$18*Helper_calcs!$B$26*Current_limit!B33</f>
        <v>1365.9130434782605</v>
      </c>
      <c r="G33" s="137" t="e">
        <f t="shared" si="2"/>
        <v>#NUM!</v>
      </c>
      <c r="H33" s="137" t="e">
        <f>(Main!$B$19-Current_limit!G33)*Current_limit!G33/(Main!$B$19*loop_gain!$B$17*loop_gain!$B$18)</f>
        <v>#NUM!</v>
      </c>
      <c r="I33" s="137" t="e">
        <f t="shared" si="3"/>
        <v>#NUM!</v>
      </c>
      <c r="J33" s="137"/>
      <c r="K33" s="138">
        <f>IF(A33&gt;$B$15,IF(I33&gt;Helper_calcs!$B$27,23,3),0)</f>
        <v>0</v>
      </c>
      <c r="L33" s="139">
        <f t="shared" si="1"/>
        <v>0</v>
      </c>
      <c r="M33" s="139">
        <f t="shared" si="4"/>
        <v>0</v>
      </c>
      <c r="N33" s="137">
        <f t="shared" si="5"/>
        <v>0.91999999999999993</v>
      </c>
      <c r="O33" s="137">
        <f t="shared" si="6"/>
        <v>5</v>
      </c>
      <c r="P33" s="140">
        <f>IF(OR(M33=0,M33=3),loop_gain!$B$18,IF(Current_limit!M33=1,Current_limit!$B$12/(2*(Current_limit!N33-Helper_calcs!$B$27)),IF(OR(M33=2,M33=23),(Main!$B$19-Current_limit!O33)*Current_limit!O33/(Main!$B$19*loop_gain!$B$17*(Helper_calcs!$B$26-Helper_calcs!$B$27)),x)))</f>
        <v>400000</v>
      </c>
      <c r="Q33" s="137"/>
    </row>
    <row r="34" spans="1:17" x14ac:dyDescent="0.25">
      <c r="A34">
        <f t="shared" si="8"/>
        <v>0.92999999999999994</v>
      </c>
      <c r="B34">
        <f>Main!$B$20/A34</f>
        <v>5.3763440860215059</v>
      </c>
      <c r="D34" s="137">
        <f t="shared" si="0"/>
        <v>5.3763440860215059</v>
      </c>
      <c r="E34" s="137">
        <f>-B34*Main!$B$19-2*Main!$B$19*loop_gain!$B$17*loop_gain!$B$18</f>
        <v>-129.79612903225808</v>
      </c>
      <c r="F34" s="137">
        <f>2*Main!$B$19*loop_gain!$B$17*loop_gain!$B$18*Helper_calcs!$B$26*Current_limit!B34</f>
        <v>1351.2258064516127</v>
      </c>
      <c r="G34" s="137" t="e">
        <f t="shared" si="2"/>
        <v>#NUM!</v>
      </c>
      <c r="H34" s="137" t="e">
        <f>(Main!$B$19-Current_limit!G34)*Current_limit!G34/(Main!$B$19*loop_gain!$B$17*loop_gain!$B$18)</f>
        <v>#NUM!</v>
      </c>
      <c r="I34" s="137" t="e">
        <f t="shared" si="3"/>
        <v>#NUM!</v>
      </c>
      <c r="J34" s="137"/>
      <c r="K34" s="138">
        <f>IF(A34&gt;$B$15,IF(I34&gt;Helper_calcs!$B$27,23,3),0)</f>
        <v>0</v>
      </c>
      <c r="L34" s="139">
        <f t="shared" si="1"/>
        <v>0</v>
      </c>
      <c r="M34" s="139">
        <f t="shared" si="4"/>
        <v>0</v>
      </c>
      <c r="N34" s="137">
        <f t="shared" si="5"/>
        <v>0.92999999999999994</v>
      </c>
      <c r="O34" s="137">
        <f t="shared" si="6"/>
        <v>5</v>
      </c>
      <c r="P34" s="140">
        <f>IF(OR(M34=0,M34=3),loop_gain!$B$18,IF(Current_limit!M34=1,Current_limit!$B$12/(2*(Current_limit!N34-Helper_calcs!$B$27)),IF(OR(M34=2,M34=23),(Main!$B$19-Current_limit!O34)*Current_limit!O34/(Main!$B$19*loop_gain!$B$17*(Helper_calcs!$B$26-Helper_calcs!$B$27)),x)))</f>
        <v>400000</v>
      </c>
      <c r="Q34" s="137"/>
    </row>
    <row r="35" spans="1:17" x14ac:dyDescent="0.25">
      <c r="A35">
        <f t="shared" si="8"/>
        <v>0.94</v>
      </c>
      <c r="B35">
        <f>Main!$B$20/A35</f>
        <v>5.3191489361702127</v>
      </c>
      <c r="D35" s="137">
        <f t="shared" si="0"/>
        <v>5.3191489361702127</v>
      </c>
      <c r="E35" s="137">
        <f>-B35*Main!$B$19-2*Main!$B$19*loop_gain!$B$17*loop_gain!$B$18</f>
        <v>-129.10978723404253</v>
      </c>
      <c r="F35" s="137">
        <f>2*Main!$B$19*loop_gain!$B$17*loop_gain!$B$18*Helper_calcs!$B$26*Current_limit!B35</f>
        <v>1336.8510638297869</v>
      </c>
      <c r="G35" s="137" t="e">
        <f t="shared" si="2"/>
        <v>#NUM!</v>
      </c>
      <c r="H35" s="137" t="e">
        <f>(Main!$B$19-Current_limit!G35)*Current_limit!G35/(Main!$B$19*loop_gain!$B$17*loop_gain!$B$18)</f>
        <v>#NUM!</v>
      </c>
      <c r="I35" s="137" t="e">
        <f t="shared" si="3"/>
        <v>#NUM!</v>
      </c>
      <c r="J35" s="137"/>
      <c r="K35" s="138">
        <f>IF(A35&gt;$B$15,IF(I35&gt;Helper_calcs!$B$27,23,3),0)</f>
        <v>0</v>
      </c>
      <c r="L35" s="139">
        <f t="shared" si="1"/>
        <v>0</v>
      </c>
      <c r="M35" s="139">
        <f t="shared" si="4"/>
        <v>0</v>
      </c>
      <c r="N35" s="137">
        <f t="shared" si="5"/>
        <v>0.94</v>
      </c>
      <c r="O35" s="137">
        <f t="shared" si="6"/>
        <v>5</v>
      </c>
      <c r="P35" s="140">
        <f>IF(OR(M35=0,M35=3),loop_gain!$B$18,IF(Current_limit!M35=1,Current_limit!$B$12/(2*(Current_limit!N35-Helper_calcs!$B$27)),IF(OR(M35=2,M35=23),(Main!$B$19-Current_limit!O35)*Current_limit!O35/(Main!$B$19*loop_gain!$B$17*(Helper_calcs!$B$26-Helper_calcs!$B$27)),x)))</f>
        <v>400000</v>
      </c>
      <c r="Q35" s="137"/>
    </row>
    <row r="36" spans="1:17" x14ac:dyDescent="0.25">
      <c r="A36">
        <f t="shared" si="8"/>
        <v>0.95</v>
      </c>
      <c r="B36">
        <f>Main!$B$20/A36</f>
        <v>5.2631578947368425</v>
      </c>
      <c r="D36" s="137">
        <f t="shared" si="0"/>
        <v>5.2631578947368425</v>
      </c>
      <c r="E36" s="137">
        <f>-B36*Main!$B$19-2*Main!$B$19*loop_gain!$B$17*loop_gain!$B$18</f>
        <v>-128.43789473684211</v>
      </c>
      <c r="F36" s="137">
        <f>2*Main!$B$19*loop_gain!$B$17*loop_gain!$B$18*Helper_calcs!$B$26*Current_limit!B36</f>
        <v>1322.7789473684209</v>
      </c>
      <c r="G36" s="137" t="e">
        <f t="shared" si="2"/>
        <v>#NUM!</v>
      </c>
      <c r="H36" s="137" t="e">
        <f>(Main!$B$19-Current_limit!G36)*Current_limit!G36/(Main!$B$19*loop_gain!$B$17*loop_gain!$B$18)</f>
        <v>#NUM!</v>
      </c>
      <c r="I36" s="137" t="e">
        <f t="shared" si="3"/>
        <v>#NUM!</v>
      </c>
      <c r="J36" s="137"/>
      <c r="K36" s="138">
        <f>IF(A36&gt;$B$15,IF(I36&gt;Helper_calcs!$B$27,23,3),0)</f>
        <v>0</v>
      </c>
      <c r="L36" s="139">
        <f t="shared" si="1"/>
        <v>0</v>
      </c>
      <c r="M36" s="139">
        <f t="shared" si="4"/>
        <v>0</v>
      </c>
      <c r="N36" s="137">
        <f t="shared" si="5"/>
        <v>0.95</v>
      </c>
      <c r="O36" s="137">
        <f t="shared" si="6"/>
        <v>5</v>
      </c>
      <c r="P36" s="140">
        <f>IF(OR(M36=0,M36=3),loop_gain!$B$18,IF(Current_limit!M36=1,Current_limit!$B$12/(2*(Current_limit!N36-Helper_calcs!$B$27)),IF(OR(M36=2,M36=23),(Main!$B$19-Current_limit!O36)*Current_limit!O36/(Main!$B$19*loop_gain!$B$17*(Helper_calcs!$B$26-Helper_calcs!$B$27)),x)))</f>
        <v>400000</v>
      </c>
      <c r="Q36" s="137"/>
    </row>
    <row r="37" spans="1:17" x14ac:dyDescent="0.25">
      <c r="A37">
        <f t="shared" si="8"/>
        <v>0.96</v>
      </c>
      <c r="B37">
        <f>Main!$B$20/A37</f>
        <v>5.2083333333333339</v>
      </c>
      <c r="D37" s="137">
        <f t="shared" si="0"/>
        <v>5.2083333333333339</v>
      </c>
      <c r="E37" s="137">
        <f>-B37*Main!$B$19-2*Main!$B$19*loop_gain!$B$17*loop_gain!$B$18</f>
        <v>-127.78</v>
      </c>
      <c r="F37" s="137">
        <f>2*Main!$B$19*loop_gain!$B$17*loop_gain!$B$18*Helper_calcs!$B$26*Current_limit!B37</f>
        <v>1308.9999999999998</v>
      </c>
      <c r="G37" s="137" t="e">
        <f t="shared" si="2"/>
        <v>#NUM!</v>
      </c>
      <c r="H37" s="137" t="e">
        <f>(Main!$B$19-Current_limit!G37)*Current_limit!G37/(Main!$B$19*loop_gain!$B$17*loop_gain!$B$18)</f>
        <v>#NUM!</v>
      </c>
      <c r="I37" s="137" t="e">
        <f t="shared" si="3"/>
        <v>#NUM!</v>
      </c>
      <c r="J37" s="137"/>
      <c r="K37" s="138">
        <f>IF(A37&gt;$B$15,IF(I37&gt;Helper_calcs!$B$27,23,3),0)</f>
        <v>0</v>
      </c>
      <c r="L37" s="139">
        <f t="shared" si="1"/>
        <v>0</v>
      </c>
      <c r="M37" s="139">
        <f t="shared" si="4"/>
        <v>0</v>
      </c>
      <c r="N37" s="137">
        <f t="shared" si="5"/>
        <v>0.96</v>
      </c>
      <c r="O37" s="137">
        <f t="shared" si="6"/>
        <v>5</v>
      </c>
      <c r="P37" s="140">
        <f>IF(OR(M37=0,M37=3),loop_gain!$B$18,IF(Current_limit!M37=1,Current_limit!$B$12/(2*(Current_limit!N37-Helper_calcs!$B$27)),IF(OR(M37=2,M37=23),(Main!$B$19-Current_limit!O37)*Current_limit!O37/(Main!$B$19*loop_gain!$B$17*(Helper_calcs!$B$26-Helper_calcs!$B$27)),x)))</f>
        <v>400000</v>
      </c>
      <c r="Q37" s="137"/>
    </row>
    <row r="38" spans="1:17" x14ac:dyDescent="0.25">
      <c r="A38">
        <f t="shared" si="8"/>
        <v>0.97</v>
      </c>
      <c r="B38">
        <f>Main!$B$20/A38</f>
        <v>5.1546391752577323</v>
      </c>
      <c r="D38" s="137">
        <f t="shared" si="0"/>
        <v>5.1546391752577323</v>
      </c>
      <c r="E38" s="137">
        <f>-B38*Main!$B$19-2*Main!$B$19*loop_gain!$B$17*loop_gain!$B$18</f>
        <v>-127.13567010309278</v>
      </c>
      <c r="F38" s="137">
        <f>2*Main!$B$19*loop_gain!$B$17*loop_gain!$B$18*Helper_calcs!$B$26*Current_limit!B38</f>
        <v>1295.5051546391751</v>
      </c>
      <c r="G38" s="137" t="e">
        <f t="shared" si="2"/>
        <v>#NUM!</v>
      </c>
      <c r="H38" s="137" t="e">
        <f>(Main!$B$19-Current_limit!G38)*Current_limit!G38/(Main!$B$19*loop_gain!$B$17*loop_gain!$B$18)</f>
        <v>#NUM!</v>
      </c>
      <c r="I38" s="137" t="e">
        <f t="shared" si="3"/>
        <v>#NUM!</v>
      </c>
      <c r="J38" s="137"/>
      <c r="K38" s="138">
        <f>IF(A38&gt;$B$15,IF(I38&gt;Helper_calcs!$B$27,23,3),0)</f>
        <v>0</v>
      </c>
      <c r="L38" s="139">
        <f t="shared" si="1"/>
        <v>0</v>
      </c>
      <c r="M38" s="139">
        <f t="shared" si="4"/>
        <v>0</v>
      </c>
      <c r="N38" s="137">
        <f t="shared" si="5"/>
        <v>0.97</v>
      </c>
      <c r="O38" s="137">
        <f t="shared" si="6"/>
        <v>5</v>
      </c>
      <c r="P38" s="140">
        <f>IF(OR(M38=0,M38=3),loop_gain!$B$18,IF(Current_limit!M38=1,Current_limit!$B$12/(2*(Current_limit!N38-Helper_calcs!$B$27)),IF(OR(M38=2,M38=23),(Main!$B$19-Current_limit!O38)*Current_limit!O38/(Main!$B$19*loop_gain!$B$17*(Helper_calcs!$B$26-Helper_calcs!$B$27)),x)))</f>
        <v>400000</v>
      </c>
      <c r="Q38" s="137"/>
    </row>
    <row r="39" spans="1:17" x14ac:dyDescent="0.25">
      <c r="A39">
        <f t="shared" si="8"/>
        <v>0.98</v>
      </c>
      <c r="B39">
        <f>Main!$B$20/A39</f>
        <v>5.1020408163265305</v>
      </c>
      <c r="D39" s="137">
        <f t="shared" si="0"/>
        <v>5.1020408163265305</v>
      </c>
      <c r="E39" s="137">
        <f>-B39*Main!$B$19-2*Main!$B$19*loop_gain!$B$17*loop_gain!$B$18</f>
        <v>-126.50448979591835</v>
      </c>
      <c r="F39" s="137">
        <f>2*Main!$B$19*loop_gain!$B$17*loop_gain!$B$18*Helper_calcs!$B$26*Current_limit!B39</f>
        <v>1282.285714285714</v>
      </c>
      <c r="G39" s="137" t="e">
        <f t="shared" si="2"/>
        <v>#NUM!</v>
      </c>
      <c r="H39" s="137" t="e">
        <f>(Main!$B$19-Current_limit!G39)*Current_limit!G39/(Main!$B$19*loop_gain!$B$17*loop_gain!$B$18)</f>
        <v>#NUM!</v>
      </c>
      <c r="I39" s="137" t="e">
        <f t="shared" si="3"/>
        <v>#NUM!</v>
      </c>
      <c r="J39" s="137"/>
      <c r="K39" s="138">
        <f>IF(A39&gt;$B$15,IF(I39&gt;Helper_calcs!$B$27,23,3),0)</f>
        <v>0</v>
      </c>
      <c r="L39" s="139">
        <f t="shared" si="1"/>
        <v>0</v>
      </c>
      <c r="M39" s="139">
        <f t="shared" si="4"/>
        <v>0</v>
      </c>
      <c r="N39" s="137">
        <f t="shared" si="5"/>
        <v>0.98</v>
      </c>
      <c r="O39" s="137">
        <f t="shared" si="6"/>
        <v>5</v>
      </c>
      <c r="P39" s="140">
        <f>IF(OR(M39=0,M39=3),loop_gain!$B$18,IF(Current_limit!M39=1,Current_limit!$B$12/(2*(Current_limit!N39-Helper_calcs!$B$27)),IF(OR(M39=2,M39=23),(Main!$B$19-Current_limit!O39)*Current_limit!O39/(Main!$B$19*loop_gain!$B$17*(Helper_calcs!$B$26-Helper_calcs!$B$27)),x)))</f>
        <v>400000</v>
      </c>
      <c r="Q39" s="137"/>
    </row>
    <row r="40" spans="1:17" x14ac:dyDescent="0.25">
      <c r="A40">
        <f t="shared" si="8"/>
        <v>0.99</v>
      </c>
      <c r="B40">
        <f>Main!$B$20/A40</f>
        <v>5.0505050505050502</v>
      </c>
      <c r="D40" s="137">
        <f t="shared" si="0"/>
        <v>5.0505050505050502</v>
      </c>
      <c r="E40" s="137">
        <f>-B40*Main!$B$19-2*Main!$B$19*loop_gain!$B$17*loop_gain!$B$18</f>
        <v>-125.8860606060606</v>
      </c>
      <c r="F40" s="137">
        <f>2*Main!$B$19*loop_gain!$B$17*loop_gain!$B$18*Helper_calcs!$B$26*Current_limit!B40</f>
        <v>1269.333333333333</v>
      </c>
      <c r="G40" s="137" t="e">
        <f t="shared" si="2"/>
        <v>#NUM!</v>
      </c>
      <c r="H40" s="137" t="e">
        <f>(Main!$B$19-Current_limit!G40)*Current_limit!G40/(Main!$B$19*loop_gain!$B$17*loop_gain!$B$18)</f>
        <v>#NUM!</v>
      </c>
      <c r="I40" s="137" t="e">
        <f t="shared" si="3"/>
        <v>#NUM!</v>
      </c>
      <c r="J40" s="137"/>
      <c r="K40" s="138">
        <f>IF(A40&gt;$B$15,IF(I40&gt;Helper_calcs!$B$27,23,3),0)</f>
        <v>0</v>
      </c>
      <c r="L40" s="139">
        <f t="shared" si="1"/>
        <v>0</v>
      </c>
      <c r="M40" s="139">
        <f t="shared" si="4"/>
        <v>0</v>
      </c>
      <c r="N40" s="137">
        <f t="shared" si="5"/>
        <v>0.99</v>
      </c>
      <c r="O40" s="137">
        <f t="shared" si="6"/>
        <v>5</v>
      </c>
      <c r="P40" s="140">
        <f>IF(OR(M40=0,M40=3),loop_gain!$B$18,IF(Current_limit!M40=1,Current_limit!$B$12/(2*(Current_limit!N40-Helper_calcs!$B$27)),IF(OR(M40=2,M40=23),(Main!$B$19-Current_limit!O40)*Current_limit!O40/(Main!$B$19*loop_gain!$B$17*(Helper_calcs!$B$26-Helper_calcs!$B$27)),x)))</f>
        <v>400000</v>
      </c>
      <c r="Q40" s="137"/>
    </row>
    <row r="41" spans="1:17" x14ac:dyDescent="0.25">
      <c r="A41">
        <f t="shared" si="8"/>
        <v>1</v>
      </c>
      <c r="B41">
        <f>Main!$B$20/A41</f>
        <v>5</v>
      </c>
      <c r="D41" s="137">
        <f t="shared" si="0"/>
        <v>5</v>
      </c>
      <c r="E41" s="137">
        <f>-B41*Main!$B$19-2*Main!$B$19*loop_gain!$B$17*loop_gain!$B$18</f>
        <v>-125.27999999999999</v>
      </c>
      <c r="F41" s="137">
        <f>2*Main!$B$19*loop_gain!$B$17*loop_gain!$B$18*Helper_calcs!$B$26*Current_limit!B41</f>
        <v>1256.6399999999996</v>
      </c>
      <c r="G41" s="137" t="e">
        <f t="shared" si="2"/>
        <v>#NUM!</v>
      </c>
      <c r="H41" s="137" t="e">
        <f>(Main!$B$19-Current_limit!G41)*Current_limit!G41/(Main!$B$19*loop_gain!$B$17*loop_gain!$B$18)</f>
        <v>#NUM!</v>
      </c>
      <c r="I41" s="137" t="e">
        <f t="shared" si="3"/>
        <v>#NUM!</v>
      </c>
      <c r="J41" s="137"/>
      <c r="K41" s="138">
        <f>IF(A41&gt;$B$15,IF(I41&gt;Helper_calcs!$B$27,23,3),0)</f>
        <v>0</v>
      </c>
      <c r="L41" s="139">
        <f t="shared" si="1"/>
        <v>0</v>
      </c>
      <c r="M41" s="139">
        <f t="shared" si="4"/>
        <v>0</v>
      </c>
      <c r="N41" s="137">
        <f t="shared" si="5"/>
        <v>1</v>
      </c>
      <c r="O41" s="137">
        <f t="shared" si="6"/>
        <v>5</v>
      </c>
      <c r="P41" s="140">
        <f>IF(OR(M41=0,M41=3),loop_gain!$B$18,IF(Current_limit!M41=1,Current_limit!$B$12/(2*(Current_limit!N41-Helper_calcs!$B$27)),IF(OR(M41=2,M41=23),(Main!$B$19-Current_limit!O41)*Current_limit!O41/(Main!$B$19*loop_gain!$B$17*(Helper_calcs!$B$26-Helper_calcs!$B$27)),x)))</f>
        <v>400000</v>
      </c>
      <c r="Q41" s="137"/>
    </row>
    <row r="42" spans="1:17" x14ac:dyDescent="0.25">
      <c r="A42">
        <f t="shared" si="8"/>
        <v>1.01</v>
      </c>
      <c r="B42">
        <f>Main!$B$20/A42</f>
        <v>4.9504950495049505</v>
      </c>
      <c r="D42" s="137">
        <f t="shared" si="0"/>
        <v>4.9504950495049505</v>
      </c>
      <c r="E42" s="137">
        <f>-B42*Main!$B$19-2*Main!$B$19*loop_gain!$B$17*loop_gain!$B$18</f>
        <v>-124.68594059405939</v>
      </c>
      <c r="F42" s="137">
        <f>2*Main!$B$19*loop_gain!$B$17*loop_gain!$B$18*Helper_calcs!$B$26*Current_limit!B42</f>
        <v>1244.1980198019799</v>
      </c>
      <c r="G42" s="137" t="e">
        <f t="shared" si="2"/>
        <v>#NUM!</v>
      </c>
      <c r="H42" s="137" t="e">
        <f>(Main!$B$19-Current_limit!G42)*Current_limit!G42/(Main!$B$19*loop_gain!$B$17*loop_gain!$B$18)</f>
        <v>#NUM!</v>
      </c>
      <c r="I42" s="137" t="e">
        <f t="shared" si="3"/>
        <v>#NUM!</v>
      </c>
      <c r="J42" s="137"/>
      <c r="K42" s="138">
        <f>IF(A42&gt;$B$15,IF(I42&gt;Helper_calcs!$B$27,23,3),0)</f>
        <v>0</v>
      </c>
      <c r="L42" s="139">
        <f t="shared" si="1"/>
        <v>0</v>
      </c>
      <c r="M42" s="139">
        <f t="shared" si="4"/>
        <v>0</v>
      </c>
      <c r="N42" s="137">
        <f t="shared" si="5"/>
        <v>1.01</v>
      </c>
      <c r="O42" s="137">
        <f t="shared" si="6"/>
        <v>5</v>
      </c>
      <c r="P42" s="140">
        <f>IF(OR(M42=0,M42=3),loop_gain!$B$18,IF(Current_limit!M42=1,Current_limit!$B$12/(2*(Current_limit!N42-Helper_calcs!$B$27)),IF(OR(M42=2,M42=23),(Main!$B$19-Current_limit!O42)*Current_limit!O42/(Main!$B$19*loop_gain!$B$17*(Helper_calcs!$B$26-Helper_calcs!$B$27)),x)))</f>
        <v>400000</v>
      </c>
      <c r="Q42" s="137"/>
    </row>
    <row r="43" spans="1:17" x14ac:dyDescent="0.25">
      <c r="A43">
        <f t="shared" si="8"/>
        <v>1.02</v>
      </c>
      <c r="B43">
        <f>Main!$B$20/A43</f>
        <v>4.9019607843137258</v>
      </c>
      <c r="D43" s="137">
        <f t="shared" si="0"/>
        <v>4.9019607843137258</v>
      </c>
      <c r="E43" s="137">
        <f>-B43*Main!$B$19-2*Main!$B$19*loop_gain!$B$17*loop_gain!$B$18</f>
        <v>-124.1035294117647</v>
      </c>
      <c r="F43" s="137">
        <f>2*Main!$B$19*loop_gain!$B$17*loop_gain!$B$18*Helper_calcs!$B$26*Current_limit!B43</f>
        <v>1231.9999999999998</v>
      </c>
      <c r="G43" s="137" t="e">
        <f t="shared" si="2"/>
        <v>#NUM!</v>
      </c>
      <c r="H43" s="137" t="e">
        <f>(Main!$B$19-Current_limit!G43)*Current_limit!G43/(Main!$B$19*loop_gain!$B$17*loop_gain!$B$18)</f>
        <v>#NUM!</v>
      </c>
      <c r="I43" s="137" t="e">
        <f t="shared" si="3"/>
        <v>#NUM!</v>
      </c>
      <c r="J43" s="137"/>
      <c r="K43" s="138">
        <f>IF(A43&gt;$B$15,IF(I43&gt;Helper_calcs!$B$27,23,3),0)</f>
        <v>0</v>
      </c>
      <c r="L43" s="139">
        <f t="shared" si="1"/>
        <v>0</v>
      </c>
      <c r="M43" s="139">
        <f t="shared" si="4"/>
        <v>0</v>
      </c>
      <c r="N43" s="137">
        <f t="shared" si="5"/>
        <v>1.02</v>
      </c>
      <c r="O43" s="137">
        <f t="shared" si="6"/>
        <v>5</v>
      </c>
      <c r="P43" s="140">
        <f>IF(OR(M43=0,M43=3),loop_gain!$B$18,IF(Current_limit!M43=1,Current_limit!$B$12/(2*(Current_limit!N43-Helper_calcs!$B$27)),IF(OR(M43=2,M43=23),(Main!$B$19-Current_limit!O43)*Current_limit!O43/(Main!$B$19*loop_gain!$B$17*(Helper_calcs!$B$26-Helper_calcs!$B$27)),x)))</f>
        <v>400000</v>
      </c>
      <c r="Q43" s="137"/>
    </row>
    <row r="44" spans="1:17" x14ac:dyDescent="0.25">
      <c r="A44">
        <f t="shared" si="8"/>
        <v>1.03</v>
      </c>
      <c r="B44">
        <f>Main!$B$20/A44</f>
        <v>4.8543689320388346</v>
      </c>
      <c r="D44" s="137">
        <f t="shared" si="0"/>
        <v>4.8543689320388346</v>
      </c>
      <c r="E44" s="137">
        <f>-B44*Main!$B$19-2*Main!$B$19*loop_gain!$B$17*loop_gain!$B$18</f>
        <v>-123.532427184466</v>
      </c>
      <c r="F44" s="137">
        <f>2*Main!$B$19*loop_gain!$B$17*loop_gain!$B$18*Helper_calcs!$B$26*Current_limit!B44</f>
        <v>1220.038834951456</v>
      </c>
      <c r="G44" s="137" t="e">
        <f t="shared" si="2"/>
        <v>#NUM!</v>
      </c>
      <c r="H44" s="137" t="e">
        <f>(Main!$B$19-Current_limit!G44)*Current_limit!G44/(Main!$B$19*loop_gain!$B$17*loop_gain!$B$18)</f>
        <v>#NUM!</v>
      </c>
      <c r="I44" s="137" t="e">
        <f t="shared" si="3"/>
        <v>#NUM!</v>
      </c>
      <c r="J44" s="137"/>
      <c r="K44" s="138">
        <f>IF(A44&gt;$B$15,IF(I44&gt;Helper_calcs!$B$27,23,3),0)</f>
        <v>0</v>
      </c>
      <c r="L44" s="139">
        <f t="shared" si="1"/>
        <v>0</v>
      </c>
      <c r="M44" s="139">
        <f t="shared" si="4"/>
        <v>0</v>
      </c>
      <c r="N44" s="137">
        <f t="shared" si="5"/>
        <v>1.03</v>
      </c>
      <c r="O44" s="137">
        <f t="shared" si="6"/>
        <v>5</v>
      </c>
      <c r="P44" s="140">
        <f>IF(OR(M44=0,M44=3),loop_gain!$B$18,IF(Current_limit!M44=1,Current_limit!$B$12/(2*(Current_limit!N44-Helper_calcs!$B$27)),IF(OR(M44=2,M44=23),(Main!$B$19-Current_limit!O44)*Current_limit!O44/(Main!$B$19*loop_gain!$B$17*(Helper_calcs!$B$26-Helper_calcs!$B$27)),x)))</f>
        <v>400000</v>
      </c>
      <c r="Q44" s="137"/>
    </row>
    <row r="45" spans="1:17" x14ac:dyDescent="0.25">
      <c r="A45">
        <f t="shared" si="8"/>
        <v>1.04</v>
      </c>
      <c r="B45">
        <f>Main!$B$20/A45</f>
        <v>4.8076923076923075</v>
      </c>
      <c r="D45" s="137">
        <f t="shared" si="0"/>
        <v>4.8076923076923075</v>
      </c>
      <c r="E45" s="137">
        <f>-B45*Main!$B$19-2*Main!$B$19*loop_gain!$B$17*loop_gain!$B$18</f>
        <v>-122.97230769230768</v>
      </c>
      <c r="F45" s="137">
        <f>2*Main!$B$19*loop_gain!$B$17*loop_gain!$B$18*Helper_calcs!$B$26*Current_limit!B45</f>
        <v>1208.3076923076919</v>
      </c>
      <c r="G45" s="137" t="e">
        <f t="shared" si="2"/>
        <v>#NUM!</v>
      </c>
      <c r="H45" s="137" t="e">
        <f>(Main!$B$19-Current_limit!G45)*Current_limit!G45/(Main!$B$19*loop_gain!$B$17*loop_gain!$B$18)</f>
        <v>#NUM!</v>
      </c>
      <c r="I45" s="137" t="e">
        <f t="shared" si="3"/>
        <v>#NUM!</v>
      </c>
      <c r="J45" s="137"/>
      <c r="K45" s="138">
        <f>IF(A45&gt;$B$15,IF(I45&gt;Helper_calcs!$B$27,23,3),0)</f>
        <v>0</v>
      </c>
      <c r="L45" s="139">
        <f t="shared" si="1"/>
        <v>0</v>
      </c>
      <c r="M45" s="139">
        <f t="shared" si="4"/>
        <v>0</v>
      </c>
      <c r="N45" s="137">
        <f t="shared" si="5"/>
        <v>1.04</v>
      </c>
      <c r="O45" s="137">
        <f t="shared" si="6"/>
        <v>5</v>
      </c>
      <c r="P45" s="140">
        <f>IF(OR(M45=0,M45=3),loop_gain!$B$18,IF(Current_limit!M45=1,Current_limit!$B$12/(2*(Current_limit!N45-Helper_calcs!$B$27)),IF(OR(M45=2,M45=23),(Main!$B$19-Current_limit!O45)*Current_limit!O45/(Main!$B$19*loop_gain!$B$17*(Helper_calcs!$B$26-Helper_calcs!$B$27)),x)))</f>
        <v>400000</v>
      </c>
      <c r="Q45" s="137"/>
    </row>
    <row r="46" spans="1:17" x14ac:dyDescent="0.25">
      <c r="A46">
        <f t="shared" si="8"/>
        <v>1.05</v>
      </c>
      <c r="B46">
        <f>Main!$B$20/A46</f>
        <v>4.7619047619047619</v>
      </c>
      <c r="D46" s="137">
        <f t="shared" si="0"/>
        <v>4.7619047619047619</v>
      </c>
      <c r="E46" s="137">
        <f>-B46*Main!$B$19-2*Main!$B$19*loop_gain!$B$17*loop_gain!$B$18</f>
        <v>-122.42285714285713</v>
      </c>
      <c r="F46" s="137">
        <f>2*Main!$B$19*loop_gain!$B$17*loop_gain!$B$18*Helper_calcs!$B$26*Current_limit!B46</f>
        <v>1196.7999999999997</v>
      </c>
      <c r="G46" s="137" t="e">
        <f t="shared" si="2"/>
        <v>#NUM!</v>
      </c>
      <c r="H46" s="137" t="e">
        <f>(Main!$B$19-Current_limit!G46)*Current_limit!G46/(Main!$B$19*loop_gain!$B$17*loop_gain!$B$18)</f>
        <v>#NUM!</v>
      </c>
      <c r="I46" s="137" t="e">
        <f t="shared" si="3"/>
        <v>#NUM!</v>
      </c>
      <c r="J46" s="137"/>
      <c r="K46" s="138">
        <f>IF(A46&gt;$B$15,IF(I46&gt;Helper_calcs!$B$27,23,3),0)</f>
        <v>0</v>
      </c>
      <c r="L46" s="139">
        <f t="shared" si="1"/>
        <v>0</v>
      </c>
      <c r="M46" s="139">
        <f t="shared" si="4"/>
        <v>0</v>
      </c>
      <c r="N46" s="137">
        <f t="shared" si="5"/>
        <v>1.05</v>
      </c>
      <c r="O46" s="137">
        <f t="shared" si="6"/>
        <v>5</v>
      </c>
      <c r="P46" s="140">
        <f>IF(OR(M46=0,M46=3),loop_gain!$B$18,IF(Current_limit!M46=1,Current_limit!$B$12/(2*(Current_limit!N46-Helper_calcs!$B$27)),IF(OR(M46=2,M46=23),(Main!$B$19-Current_limit!O46)*Current_limit!O46/(Main!$B$19*loop_gain!$B$17*(Helper_calcs!$B$26-Helper_calcs!$B$27)),x)))</f>
        <v>400000</v>
      </c>
      <c r="Q46" s="137"/>
    </row>
    <row r="47" spans="1:17" x14ac:dyDescent="0.25">
      <c r="A47">
        <f t="shared" si="8"/>
        <v>1.06</v>
      </c>
      <c r="B47">
        <f>Main!$B$20/A47</f>
        <v>4.7169811320754711</v>
      </c>
      <c r="D47" s="137">
        <f t="shared" si="0"/>
        <v>4.7169811320754711</v>
      </c>
      <c r="E47" s="137">
        <f>-B47*Main!$B$19-2*Main!$B$19*loop_gain!$B$17*loop_gain!$B$18</f>
        <v>-121.88377358490564</v>
      </c>
      <c r="F47" s="137">
        <f>2*Main!$B$19*loop_gain!$B$17*loop_gain!$B$18*Helper_calcs!$B$26*Current_limit!B47</f>
        <v>1185.5094339622638</v>
      </c>
      <c r="G47" s="137" t="e">
        <f t="shared" si="2"/>
        <v>#NUM!</v>
      </c>
      <c r="H47" s="137" t="e">
        <f>(Main!$B$19-Current_limit!G47)*Current_limit!G47/(Main!$B$19*loop_gain!$B$17*loop_gain!$B$18)</f>
        <v>#NUM!</v>
      </c>
      <c r="I47" s="137" t="e">
        <f t="shared" si="3"/>
        <v>#NUM!</v>
      </c>
      <c r="J47" s="137"/>
      <c r="K47" s="138">
        <f>IF(A47&gt;$B$15,IF(I47&gt;Helper_calcs!$B$27,23,3),0)</f>
        <v>0</v>
      </c>
      <c r="L47" s="139">
        <f t="shared" si="1"/>
        <v>0</v>
      </c>
      <c r="M47" s="139">
        <f t="shared" si="4"/>
        <v>0</v>
      </c>
      <c r="N47" s="137">
        <f t="shared" si="5"/>
        <v>1.06</v>
      </c>
      <c r="O47" s="137">
        <f t="shared" si="6"/>
        <v>5</v>
      </c>
      <c r="P47" s="140">
        <f>IF(OR(M47=0,M47=3),loop_gain!$B$18,IF(Current_limit!M47=1,Current_limit!$B$12/(2*(Current_limit!N47-Helper_calcs!$B$27)),IF(OR(M47=2,M47=23),(Main!$B$19-Current_limit!O47)*Current_limit!O47/(Main!$B$19*loop_gain!$B$17*(Helper_calcs!$B$26-Helper_calcs!$B$27)),x)))</f>
        <v>400000</v>
      </c>
      <c r="Q47" s="137"/>
    </row>
    <row r="48" spans="1:17" x14ac:dyDescent="0.25">
      <c r="A48">
        <f t="shared" si="8"/>
        <v>1.07</v>
      </c>
      <c r="B48">
        <f>Main!$B$20/A48</f>
        <v>4.6728971962616823</v>
      </c>
      <c r="D48" s="137">
        <f t="shared" si="0"/>
        <v>4.6728971962616823</v>
      </c>
      <c r="E48" s="137">
        <f>-B48*Main!$B$19-2*Main!$B$19*loop_gain!$B$17*loop_gain!$B$18</f>
        <v>-121.35476635514017</v>
      </c>
      <c r="F48" s="137">
        <f>2*Main!$B$19*loop_gain!$B$17*loop_gain!$B$18*Helper_calcs!$B$26*Current_limit!B48</f>
        <v>1174.4299065420557</v>
      </c>
      <c r="G48" s="137" t="e">
        <f t="shared" si="2"/>
        <v>#NUM!</v>
      </c>
      <c r="H48" s="137" t="e">
        <f>(Main!$B$19-Current_limit!G48)*Current_limit!G48/(Main!$B$19*loop_gain!$B$17*loop_gain!$B$18)</f>
        <v>#NUM!</v>
      </c>
      <c r="I48" s="137" t="e">
        <f t="shared" si="3"/>
        <v>#NUM!</v>
      </c>
      <c r="J48" s="137"/>
      <c r="K48" s="138">
        <f>IF(A48&gt;$B$15,IF(I48&gt;Helper_calcs!$B$27,23,3),0)</f>
        <v>0</v>
      </c>
      <c r="L48" s="139">
        <f t="shared" si="1"/>
        <v>0</v>
      </c>
      <c r="M48" s="139">
        <f t="shared" si="4"/>
        <v>0</v>
      </c>
      <c r="N48" s="137">
        <f t="shared" si="5"/>
        <v>1.07</v>
      </c>
      <c r="O48" s="137">
        <f t="shared" si="6"/>
        <v>5</v>
      </c>
      <c r="P48" s="140">
        <f>IF(OR(M48=0,M48=3),loop_gain!$B$18,IF(Current_limit!M48=1,Current_limit!$B$12/(2*(Current_limit!N48-Helper_calcs!$B$27)),IF(OR(M48=2,M48=23),(Main!$B$19-Current_limit!O48)*Current_limit!O48/(Main!$B$19*loop_gain!$B$17*(Helper_calcs!$B$26-Helper_calcs!$B$27)),x)))</f>
        <v>400000</v>
      </c>
      <c r="Q48" s="137"/>
    </row>
    <row r="49" spans="1:17" x14ac:dyDescent="0.25">
      <c r="A49">
        <f t="shared" si="8"/>
        <v>1.08</v>
      </c>
      <c r="B49">
        <f>Main!$B$20/A49</f>
        <v>4.6296296296296298</v>
      </c>
      <c r="D49" s="137">
        <f t="shared" si="0"/>
        <v>4.6296296296296298</v>
      </c>
      <c r="E49" s="137">
        <f>-B49*Main!$B$19-2*Main!$B$19*loop_gain!$B$17*loop_gain!$B$18</f>
        <v>-120.83555555555554</v>
      </c>
      <c r="F49" s="137">
        <f>2*Main!$B$19*loop_gain!$B$17*loop_gain!$B$18*Helper_calcs!$B$26*Current_limit!B49</f>
        <v>1163.5555555555554</v>
      </c>
      <c r="G49" s="137" t="e">
        <f t="shared" si="2"/>
        <v>#NUM!</v>
      </c>
      <c r="H49" s="137" t="e">
        <f>(Main!$B$19-Current_limit!G49)*Current_limit!G49/(Main!$B$19*loop_gain!$B$17*loop_gain!$B$18)</f>
        <v>#NUM!</v>
      </c>
      <c r="I49" s="137" t="e">
        <f t="shared" si="3"/>
        <v>#NUM!</v>
      </c>
      <c r="J49" s="137"/>
      <c r="K49" s="138">
        <f>IF(A49&gt;$B$15,IF(I49&gt;Helper_calcs!$B$27,23,3),0)</f>
        <v>0</v>
      </c>
      <c r="L49" s="139">
        <f t="shared" si="1"/>
        <v>0</v>
      </c>
      <c r="M49" s="139">
        <f t="shared" si="4"/>
        <v>0</v>
      </c>
      <c r="N49" s="137">
        <f t="shared" si="5"/>
        <v>1.08</v>
      </c>
      <c r="O49" s="137">
        <f t="shared" si="6"/>
        <v>5.0000000000000009</v>
      </c>
      <c r="P49" s="140">
        <f>IF(OR(M49=0,M49=3),loop_gain!$B$18,IF(Current_limit!M49=1,Current_limit!$B$12/(2*(Current_limit!N49-Helper_calcs!$B$27)),IF(OR(M49=2,M49=23),(Main!$B$19-Current_limit!O49)*Current_limit!O49/(Main!$B$19*loop_gain!$B$17*(Helper_calcs!$B$26-Helper_calcs!$B$27)),x)))</f>
        <v>400000</v>
      </c>
      <c r="Q49" s="137"/>
    </row>
    <row r="50" spans="1:17" x14ac:dyDescent="0.25">
      <c r="A50">
        <f t="shared" si="8"/>
        <v>1.0900000000000001</v>
      </c>
      <c r="B50">
        <f>Main!$B$20/A50</f>
        <v>4.5871559633027523</v>
      </c>
      <c r="D50" s="137">
        <f t="shared" si="0"/>
        <v>4.5871559633027523</v>
      </c>
      <c r="E50" s="137">
        <f>-B50*Main!$B$19-2*Main!$B$19*loop_gain!$B$17*loop_gain!$B$18</f>
        <v>-120.32587155963301</v>
      </c>
      <c r="F50" s="137">
        <f>2*Main!$B$19*loop_gain!$B$17*loop_gain!$B$18*Helper_calcs!$B$26*Current_limit!B50</f>
        <v>1152.8807339449538</v>
      </c>
      <c r="G50" s="137" t="e">
        <f t="shared" si="2"/>
        <v>#NUM!</v>
      </c>
      <c r="H50" s="137" t="e">
        <f>(Main!$B$19-Current_limit!G50)*Current_limit!G50/(Main!$B$19*loop_gain!$B$17*loop_gain!$B$18)</f>
        <v>#NUM!</v>
      </c>
      <c r="I50" s="137" t="e">
        <f t="shared" si="3"/>
        <v>#NUM!</v>
      </c>
      <c r="J50" s="137"/>
      <c r="K50" s="138">
        <f>IF(A50&gt;$B$15,IF(I50&gt;Helper_calcs!$B$27,23,3),0)</f>
        <v>0</v>
      </c>
      <c r="L50" s="139">
        <f t="shared" si="1"/>
        <v>0</v>
      </c>
      <c r="M50" s="139">
        <f t="shared" si="4"/>
        <v>0</v>
      </c>
      <c r="N50" s="137">
        <f t="shared" si="5"/>
        <v>1.0900000000000001</v>
      </c>
      <c r="O50" s="137">
        <f t="shared" si="6"/>
        <v>5</v>
      </c>
      <c r="P50" s="140">
        <f>IF(OR(M50=0,M50=3),loop_gain!$B$18,IF(Current_limit!M50=1,Current_limit!$B$12/(2*(Current_limit!N50-Helper_calcs!$B$27)),IF(OR(M50=2,M50=23),(Main!$B$19-Current_limit!O50)*Current_limit!O50/(Main!$B$19*loop_gain!$B$17*(Helper_calcs!$B$26-Helper_calcs!$B$27)),x)))</f>
        <v>400000</v>
      </c>
      <c r="Q50" s="137"/>
    </row>
    <row r="51" spans="1:17" x14ac:dyDescent="0.25">
      <c r="A51">
        <f t="shared" si="8"/>
        <v>1.1000000000000001</v>
      </c>
      <c r="B51">
        <f>Main!$B$20/A51</f>
        <v>4.545454545454545</v>
      </c>
      <c r="D51" s="137">
        <f t="shared" si="0"/>
        <v>4.545454545454545</v>
      </c>
      <c r="E51" s="137">
        <f>-B51*Main!$B$19-2*Main!$B$19*loop_gain!$B$17*loop_gain!$B$18</f>
        <v>-119.82545454545453</v>
      </c>
      <c r="F51" s="137">
        <f>2*Main!$B$19*loop_gain!$B$17*loop_gain!$B$18*Helper_calcs!$B$26*Current_limit!B51</f>
        <v>1142.3999999999996</v>
      </c>
      <c r="G51" s="137" t="e">
        <f t="shared" si="2"/>
        <v>#NUM!</v>
      </c>
      <c r="H51" s="137" t="e">
        <f>(Main!$B$19-Current_limit!G51)*Current_limit!G51/(Main!$B$19*loop_gain!$B$17*loop_gain!$B$18)</f>
        <v>#NUM!</v>
      </c>
      <c r="I51" s="137" t="e">
        <f t="shared" si="3"/>
        <v>#NUM!</v>
      </c>
      <c r="J51" s="137"/>
      <c r="K51" s="138">
        <f>IF(A51&gt;$B$15,IF(I51&gt;Helper_calcs!$B$27,23,3),0)</f>
        <v>0</v>
      </c>
      <c r="L51" s="139">
        <f t="shared" si="1"/>
        <v>0</v>
      </c>
      <c r="M51" s="139">
        <f t="shared" si="4"/>
        <v>0</v>
      </c>
      <c r="N51" s="137">
        <f t="shared" si="5"/>
        <v>1.1000000000000001</v>
      </c>
      <c r="O51" s="137">
        <f t="shared" si="6"/>
        <v>5</v>
      </c>
      <c r="P51" s="140">
        <f>IF(OR(M51=0,M51=3),loop_gain!$B$18,IF(Current_limit!M51=1,Current_limit!$B$12/(2*(Current_limit!N51-Helper_calcs!$B$27)),IF(OR(M51=2,M51=23),(Main!$B$19-Current_limit!O51)*Current_limit!O51/(Main!$B$19*loop_gain!$B$17*(Helper_calcs!$B$26-Helper_calcs!$B$27)),x)))</f>
        <v>400000</v>
      </c>
      <c r="Q51" s="137"/>
    </row>
    <row r="52" spans="1:17" x14ac:dyDescent="0.25">
      <c r="A52">
        <f t="shared" si="8"/>
        <v>1.1100000000000001</v>
      </c>
      <c r="B52">
        <f>Main!$B$20/A52</f>
        <v>4.5045045045045038</v>
      </c>
      <c r="D52" s="137">
        <f t="shared" si="0"/>
        <v>4.5045045045045038</v>
      </c>
      <c r="E52" s="137">
        <f>-B52*Main!$B$19-2*Main!$B$19*loop_gain!$B$17*loop_gain!$B$18</f>
        <v>-119.33405405405404</v>
      </c>
      <c r="F52" s="137">
        <f>2*Main!$B$19*loop_gain!$B$17*loop_gain!$B$18*Helper_calcs!$B$26*Current_limit!B52</f>
        <v>1132.1081081081077</v>
      </c>
      <c r="G52" s="137" t="e">
        <f t="shared" si="2"/>
        <v>#NUM!</v>
      </c>
      <c r="H52" s="137" t="e">
        <f>(Main!$B$19-Current_limit!G52)*Current_limit!G52/(Main!$B$19*loop_gain!$B$17*loop_gain!$B$18)</f>
        <v>#NUM!</v>
      </c>
      <c r="I52" s="137" t="e">
        <f t="shared" si="3"/>
        <v>#NUM!</v>
      </c>
      <c r="J52" s="137"/>
      <c r="K52" s="138">
        <f>IF(A52&gt;$B$15,IF(I52&gt;Helper_calcs!$B$27,23,3),0)</f>
        <v>0</v>
      </c>
      <c r="L52" s="139">
        <f t="shared" si="1"/>
        <v>0</v>
      </c>
      <c r="M52" s="139">
        <f t="shared" si="4"/>
        <v>0</v>
      </c>
      <c r="N52" s="137">
        <f t="shared" si="5"/>
        <v>1.1100000000000001</v>
      </c>
      <c r="O52" s="137">
        <f t="shared" si="6"/>
        <v>5</v>
      </c>
      <c r="P52" s="140">
        <f>IF(OR(M52=0,M52=3),loop_gain!$B$18,IF(Current_limit!M52=1,Current_limit!$B$12/(2*(Current_limit!N52-Helper_calcs!$B$27)),IF(OR(M52=2,M52=23),(Main!$B$19-Current_limit!O52)*Current_limit!O52/(Main!$B$19*loop_gain!$B$17*(Helper_calcs!$B$26-Helper_calcs!$B$27)),x)))</f>
        <v>400000</v>
      </c>
      <c r="Q52" s="137"/>
    </row>
    <row r="53" spans="1:17" x14ac:dyDescent="0.25">
      <c r="A53">
        <f t="shared" si="8"/>
        <v>1.1200000000000001</v>
      </c>
      <c r="B53">
        <f>Main!$B$20/A53</f>
        <v>4.4642857142857135</v>
      </c>
      <c r="D53" s="137">
        <f t="shared" si="0"/>
        <v>4.4642857142857135</v>
      </c>
      <c r="E53" s="137">
        <f>-B53*Main!$B$19-2*Main!$B$19*loop_gain!$B$17*loop_gain!$B$18</f>
        <v>-118.85142857142856</v>
      </c>
      <c r="F53" s="137">
        <f>2*Main!$B$19*loop_gain!$B$17*loop_gain!$B$18*Helper_calcs!$B$26*Current_limit!B53</f>
        <v>1121.9999999999995</v>
      </c>
      <c r="G53" s="137" t="e">
        <f t="shared" si="2"/>
        <v>#NUM!</v>
      </c>
      <c r="H53" s="137" t="e">
        <f>(Main!$B$19-Current_limit!G53)*Current_limit!G53/(Main!$B$19*loop_gain!$B$17*loop_gain!$B$18)</f>
        <v>#NUM!</v>
      </c>
      <c r="I53" s="137" t="e">
        <f t="shared" si="3"/>
        <v>#NUM!</v>
      </c>
      <c r="J53" s="137"/>
      <c r="K53" s="138">
        <f>IF(A53&gt;$B$15,IF(I53&gt;Helper_calcs!$B$27,23,3),0)</f>
        <v>0</v>
      </c>
      <c r="L53" s="139">
        <f t="shared" si="1"/>
        <v>0</v>
      </c>
      <c r="M53" s="139">
        <f t="shared" si="4"/>
        <v>0</v>
      </c>
      <c r="N53" s="137">
        <f t="shared" si="5"/>
        <v>1.1200000000000001</v>
      </c>
      <c r="O53" s="137">
        <f t="shared" si="6"/>
        <v>5</v>
      </c>
      <c r="P53" s="140">
        <f>IF(OR(M53=0,M53=3),loop_gain!$B$18,IF(Current_limit!M53=1,Current_limit!$B$12/(2*(Current_limit!N53-Helper_calcs!$B$27)),IF(OR(M53=2,M53=23),(Main!$B$19-Current_limit!O53)*Current_limit!O53/(Main!$B$19*loop_gain!$B$17*(Helper_calcs!$B$26-Helper_calcs!$B$27)),x)))</f>
        <v>400000</v>
      </c>
      <c r="Q53" s="137"/>
    </row>
    <row r="54" spans="1:17" x14ac:dyDescent="0.25">
      <c r="A54">
        <f t="shared" si="8"/>
        <v>1.1300000000000001</v>
      </c>
      <c r="B54">
        <f>Main!$B$20/A54</f>
        <v>4.4247787610619467</v>
      </c>
      <c r="D54" s="137">
        <f t="shared" si="0"/>
        <v>4.4247787610619467</v>
      </c>
      <c r="E54" s="137">
        <f>-B54*Main!$B$19-2*Main!$B$19*loop_gain!$B$17*loop_gain!$B$18</f>
        <v>-118.37734513274334</v>
      </c>
      <c r="F54" s="137">
        <f>2*Main!$B$19*loop_gain!$B$17*loop_gain!$B$18*Helper_calcs!$B$26*Current_limit!B54</f>
        <v>1112.0707964601768</v>
      </c>
      <c r="G54" s="137" t="e">
        <f t="shared" si="2"/>
        <v>#NUM!</v>
      </c>
      <c r="H54" s="137" t="e">
        <f>(Main!$B$19-Current_limit!G54)*Current_limit!G54/(Main!$B$19*loop_gain!$B$17*loop_gain!$B$18)</f>
        <v>#NUM!</v>
      </c>
      <c r="I54" s="137" t="e">
        <f t="shared" si="3"/>
        <v>#NUM!</v>
      </c>
      <c r="J54" s="137"/>
      <c r="K54" s="138">
        <f>IF(A54&gt;$B$15,IF(I54&gt;Helper_calcs!$B$27,23,3),0)</f>
        <v>0</v>
      </c>
      <c r="L54" s="139">
        <f t="shared" si="1"/>
        <v>0</v>
      </c>
      <c r="M54" s="139">
        <f t="shared" si="4"/>
        <v>0</v>
      </c>
      <c r="N54" s="137">
        <f t="shared" si="5"/>
        <v>1.1300000000000001</v>
      </c>
      <c r="O54" s="137">
        <f t="shared" si="6"/>
        <v>5</v>
      </c>
      <c r="P54" s="140">
        <f>IF(OR(M54=0,M54=3),loop_gain!$B$18,IF(Current_limit!M54=1,Current_limit!$B$12/(2*(Current_limit!N54-Helper_calcs!$B$27)),IF(OR(M54=2,M54=23),(Main!$B$19-Current_limit!O54)*Current_limit!O54/(Main!$B$19*loop_gain!$B$17*(Helper_calcs!$B$26-Helper_calcs!$B$27)),x)))</f>
        <v>400000</v>
      </c>
      <c r="Q54" s="137"/>
    </row>
    <row r="55" spans="1:17" x14ac:dyDescent="0.25">
      <c r="A55">
        <f t="shared" si="8"/>
        <v>1.1400000000000001</v>
      </c>
      <c r="B55">
        <f>Main!$B$20/A55</f>
        <v>4.3859649122807012</v>
      </c>
      <c r="D55" s="137">
        <f t="shared" si="0"/>
        <v>4.3859649122807012</v>
      </c>
      <c r="E55" s="137">
        <f>-B55*Main!$B$19-2*Main!$B$19*loop_gain!$B$17*loop_gain!$B$18</f>
        <v>-117.9115789473684</v>
      </c>
      <c r="F55" s="137">
        <f>2*Main!$B$19*loop_gain!$B$17*loop_gain!$B$18*Helper_calcs!$B$26*Current_limit!B55</f>
        <v>1102.3157894736839</v>
      </c>
      <c r="G55" s="137" t="e">
        <f t="shared" si="2"/>
        <v>#NUM!</v>
      </c>
      <c r="H55" s="137" t="e">
        <f>(Main!$B$19-Current_limit!G55)*Current_limit!G55/(Main!$B$19*loop_gain!$B$17*loop_gain!$B$18)</f>
        <v>#NUM!</v>
      </c>
      <c r="I55" s="137" t="e">
        <f t="shared" si="3"/>
        <v>#NUM!</v>
      </c>
      <c r="J55" s="137"/>
      <c r="K55" s="138">
        <f>IF(A55&gt;$B$15,IF(I55&gt;Helper_calcs!$B$27,23,3),0)</f>
        <v>0</v>
      </c>
      <c r="L55" s="139">
        <f t="shared" si="1"/>
        <v>0</v>
      </c>
      <c r="M55" s="139">
        <f t="shared" si="4"/>
        <v>0</v>
      </c>
      <c r="N55" s="137">
        <f t="shared" si="5"/>
        <v>1.1400000000000001</v>
      </c>
      <c r="O55" s="137">
        <f t="shared" si="6"/>
        <v>5</v>
      </c>
      <c r="P55" s="140">
        <f>IF(OR(M55=0,M55=3),loop_gain!$B$18,IF(Current_limit!M55=1,Current_limit!$B$12/(2*(Current_limit!N55-Helper_calcs!$B$27)),IF(OR(M55=2,M55=23),(Main!$B$19-Current_limit!O55)*Current_limit!O55/(Main!$B$19*loop_gain!$B$17*(Helper_calcs!$B$26-Helper_calcs!$B$27)),x)))</f>
        <v>400000</v>
      </c>
      <c r="Q55" s="137"/>
    </row>
    <row r="56" spans="1:17" x14ac:dyDescent="0.25">
      <c r="A56">
        <f t="shared" si="8"/>
        <v>1.1500000000000001</v>
      </c>
      <c r="B56">
        <f>Main!$B$20/A56</f>
        <v>4.3478260869565215</v>
      </c>
      <c r="D56" s="137">
        <f t="shared" si="0"/>
        <v>4.3478260869565215</v>
      </c>
      <c r="E56" s="137">
        <f>-B56*Main!$B$19-2*Main!$B$19*loop_gain!$B$17*loop_gain!$B$18</f>
        <v>-117.45391304347825</v>
      </c>
      <c r="F56" s="137">
        <f>2*Main!$B$19*loop_gain!$B$17*loop_gain!$B$18*Helper_calcs!$B$26*Current_limit!B56</f>
        <v>1092.7304347826084</v>
      </c>
      <c r="G56" s="137" t="e">
        <f t="shared" si="2"/>
        <v>#NUM!</v>
      </c>
      <c r="H56" s="137" t="e">
        <f>(Main!$B$19-Current_limit!G56)*Current_limit!G56/(Main!$B$19*loop_gain!$B$17*loop_gain!$B$18)</f>
        <v>#NUM!</v>
      </c>
      <c r="I56" s="137" t="e">
        <f t="shared" si="3"/>
        <v>#NUM!</v>
      </c>
      <c r="J56" s="137"/>
      <c r="K56" s="138">
        <f>IF(A56&gt;$B$15,IF(I56&gt;Helper_calcs!$B$27,23,3),0)</f>
        <v>0</v>
      </c>
      <c r="L56" s="139">
        <f t="shared" si="1"/>
        <v>0</v>
      </c>
      <c r="M56" s="139">
        <f t="shared" si="4"/>
        <v>0</v>
      </c>
      <c r="N56" s="137">
        <f t="shared" si="5"/>
        <v>1.1500000000000001</v>
      </c>
      <c r="O56" s="137">
        <f t="shared" si="6"/>
        <v>5</v>
      </c>
      <c r="P56" s="140">
        <f>IF(OR(M56=0,M56=3),loop_gain!$B$18,IF(Current_limit!M56=1,Current_limit!$B$12/(2*(Current_limit!N56-Helper_calcs!$B$27)),IF(OR(M56=2,M56=23),(Main!$B$19-Current_limit!O56)*Current_limit!O56/(Main!$B$19*loop_gain!$B$17*(Helper_calcs!$B$26-Helper_calcs!$B$27)),x)))</f>
        <v>400000</v>
      </c>
      <c r="Q56" s="137"/>
    </row>
    <row r="57" spans="1:17" x14ac:dyDescent="0.25">
      <c r="A57">
        <f t="shared" si="8"/>
        <v>1.1600000000000001</v>
      </c>
      <c r="B57">
        <f>Main!$B$20/A57</f>
        <v>4.3103448275862064</v>
      </c>
      <c r="D57" s="137">
        <f t="shared" si="0"/>
        <v>4.3103448275862064</v>
      </c>
      <c r="E57" s="137">
        <f>-B57*Main!$B$19-2*Main!$B$19*loop_gain!$B$17*loop_gain!$B$18</f>
        <v>-117.00413793103446</v>
      </c>
      <c r="F57" s="137">
        <f>2*Main!$B$19*loop_gain!$B$17*loop_gain!$B$18*Helper_calcs!$B$26*Current_limit!B57</f>
        <v>1083.3103448275858</v>
      </c>
      <c r="G57" s="137" t="e">
        <f t="shared" si="2"/>
        <v>#NUM!</v>
      </c>
      <c r="H57" s="137" t="e">
        <f>(Main!$B$19-Current_limit!G57)*Current_limit!G57/(Main!$B$19*loop_gain!$B$17*loop_gain!$B$18)</f>
        <v>#NUM!</v>
      </c>
      <c r="I57" s="137" t="e">
        <f t="shared" si="3"/>
        <v>#NUM!</v>
      </c>
      <c r="J57" s="137"/>
      <c r="K57" s="138">
        <f>IF(A57&gt;$B$15,IF(I57&gt;Helper_calcs!$B$27,23,3),0)</f>
        <v>0</v>
      </c>
      <c r="L57" s="139">
        <f t="shared" si="1"/>
        <v>0</v>
      </c>
      <c r="M57" s="139">
        <f t="shared" si="4"/>
        <v>0</v>
      </c>
      <c r="N57" s="137">
        <f t="shared" si="5"/>
        <v>1.1600000000000001</v>
      </c>
      <c r="O57" s="137">
        <f t="shared" si="6"/>
        <v>5</v>
      </c>
      <c r="P57" s="140">
        <f>IF(OR(M57=0,M57=3),loop_gain!$B$18,IF(Current_limit!M57=1,Current_limit!$B$12/(2*(Current_limit!N57-Helper_calcs!$B$27)),IF(OR(M57=2,M57=23),(Main!$B$19-Current_limit!O57)*Current_limit!O57/(Main!$B$19*loop_gain!$B$17*(Helper_calcs!$B$26-Helper_calcs!$B$27)),x)))</f>
        <v>400000</v>
      </c>
      <c r="Q57" s="137"/>
    </row>
    <row r="58" spans="1:17" x14ac:dyDescent="0.25">
      <c r="A58">
        <f t="shared" si="8"/>
        <v>1.1700000000000002</v>
      </c>
      <c r="B58">
        <f>Main!$B$20/A58</f>
        <v>4.2735042735042725</v>
      </c>
      <c r="D58" s="137">
        <f t="shared" si="0"/>
        <v>4.2735042735042725</v>
      </c>
      <c r="E58" s="137">
        <f>-B58*Main!$B$19-2*Main!$B$19*loop_gain!$B$17*loop_gain!$B$18</f>
        <v>-116.56205128205126</v>
      </c>
      <c r="F58" s="137">
        <f>2*Main!$B$19*loop_gain!$B$17*loop_gain!$B$18*Helper_calcs!$B$26*Current_limit!B58</f>
        <v>1074.0512820512815</v>
      </c>
      <c r="G58" s="137" t="e">
        <f t="shared" si="2"/>
        <v>#NUM!</v>
      </c>
      <c r="H58" s="137" t="e">
        <f>(Main!$B$19-Current_limit!G58)*Current_limit!G58/(Main!$B$19*loop_gain!$B$17*loop_gain!$B$18)</f>
        <v>#NUM!</v>
      </c>
      <c r="I58" s="137" t="e">
        <f t="shared" si="3"/>
        <v>#NUM!</v>
      </c>
      <c r="J58" s="137"/>
      <c r="K58" s="138">
        <f>IF(A58&gt;$B$15,IF(I58&gt;Helper_calcs!$B$27,23,3),0)</f>
        <v>0</v>
      </c>
      <c r="L58" s="139">
        <f t="shared" si="1"/>
        <v>0</v>
      </c>
      <c r="M58" s="139">
        <f t="shared" si="4"/>
        <v>0</v>
      </c>
      <c r="N58" s="137">
        <f t="shared" si="5"/>
        <v>1.1700000000000002</v>
      </c>
      <c r="O58" s="137">
        <f t="shared" si="6"/>
        <v>4.9999999999999991</v>
      </c>
      <c r="P58" s="140">
        <f>IF(OR(M58=0,M58=3),loop_gain!$B$18,IF(Current_limit!M58=1,Current_limit!$B$12/(2*(Current_limit!N58-Helper_calcs!$B$27)),IF(OR(M58=2,M58=23),(Main!$B$19-Current_limit!O58)*Current_limit!O58/(Main!$B$19*loop_gain!$B$17*(Helper_calcs!$B$26-Helper_calcs!$B$27)),x)))</f>
        <v>400000</v>
      </c>
      <c r="Q58" s="137"/>
    </row>
    <row r="59" spans="1:17" x14ac:dyDescent="0.25">
      <c r="A59">
        <f t="shared" si="8"/>
        <v>1.1800000000000002</v>
      </c>
      <c r="B59">
        <f>Main!$B$20/A59</f>
        <v>4.2372881355932197</v>
      </c>
      <c r="D59" s="137">
        <f t="shared" si="0"/>
        <v>4.2372881355932197</v>
      </c>
      <c r="E59" s="137">
        <f>-B59*Main!$B$19-2*Main!$B$19*loop_gain!$B$17*loop_gain!$B$18</f>
        <v>-116.12745762711862</v>
      </c>
      <c r="F59" s="137">
        <f>2*Main!$B$19*loop_gain!$B$17*loop_gain!$B$18*Helper_calcs!$B$26*Current_limit!B59</f>
        <v>1064.9491525423725</v>
      </c>
      <c r="G59" s="137" t="e">
        <f t="shared" si="2"/>
        <v>#NUM!</v>
      </c>
      <c r="H59" s="137" t="e">
        <f>(Main!$B$19-Current_limit!G59)*Current_limit!G59/(Main!$B$19*loop_gain!$B$17*loop_gain!$B$18)</f>
        <v>#NUM!</v>
      </c>
      <c r="I59" s="137" t="e">
        <f t="shared" si="3"/>
        <v>#NUM!</v>
      </c>
      <c r="J59" s="137"/>
      <c r="K59" s="138">
        <f>IF(A59&gt;$B$15,IF(I59&gt;Helper_calcs!$B$27,23,3),0)</f>
        <v>0</v>
      </c>
      <c r="L59" s="139">
        <f t="shared" si="1"/>
        <v>0</v>
      </c>
      <c r="M59" s="139">
        <f t="shared" si="4"/>
        <v>0</v>
      </c>
      <c r="N59" s="137">
        <f t="shared" si="5"/>
        <v>1.1800000000000002</v>
      </c>
      <c r="O59" s="137">
        <f t="shared" si="6"/>
        <v>5</v>
      </c>
      <c r="P59" s="140">
        <f>IF(OR(M59=0,M59=3),loop_gain!$B$18,IF(Current_limit!M59=1,Current_limit!$B$12/(2*(Current_limit!N59-Helper_calcs!$B$27)),IF(OR(M59=2,M59=23),(Main!$B$19-Current_limit!O59)*Current_limit!O59/(Main!$B$19*loop_gain!$B$17*(Helper_calcs!$B$26-Helper_calcs!$B$27)),x)))</f>
        <v>400000</v>
      </c>
      <c r="Q59" s="137"/>
    </row>
    <row r="60" spans="1:17" x14ac:dyDescent="0.25">
      <c r="A60">
        <f t="shared" si="8"/>
        <v>1.1900000000000002</v>
      </c>
      <c r="B60">
        <f>Main!$B$20/A60</f>
        <v>4.2016806722689068</v>
      </c>
      <c r="D60" s="137">
        <f t="shared" si="0"/>
        <v>4.2016806722689068</v>
      </c>
      <c r="E60" s="137">
        <f>-B60*Main!$B$19-2*Main!$B$19*loop_gain!$B$17*loop_gain!$B$18</f>
        <v>-115.70016806722687</v>
      </c>
      <c r="F60" s="137">
        <f>2*Main!$B$19*loop_gain!$B$17*loop_gain!$B$18*Helper_calcs!$B$26*Current_limit!B60</f>
        <v>1055.9999999999995</v>
      </c>
      <c r="G60" s="137" t="e">
        <f t="shared" si="2"/>
        <v>#NUM!</v>
      </c>
      <c r="H60" s="137" t="e">
        <f>(Main!$B$19-Current_limit!G60)*Current_limit!G60/(Main!$B$19*loop_gain!$B$17*loop_gain!$B$18)</f>
        <v>#NUM!</v>
      </c>
      <c r="I60" s="137" t="e">
        <f t="shared" si="3"/>
        <v>#NUM!</v>
      </c>
      <c r="J60" s="137"/>
      <c r="K60" s="138">
        <f>IF(A60&gt;$B$15,IF(I60&gt;Helper_calcs!$B$27,23,3),0)</f>
        <v>0</v>
      </c>
      <c r="L60" s="139">
        <f t="shared" si="1"/>
        <v>0</v>
      </c>
      <c r="M60" s="139">
        <f t="shared" si="4"/>
        <v>0</v>
      </c>
      <c r="N60" s="137">
        <f t="shared" si="5"/>
        <v>1.1900000000000002</v>
      </c>
      <c r="O60" s="137">
        <f t="shared" si="6"/>
        <v>5</v>
      </c>
      <c r="P60" s="140">
        <f>IF(OR(M60=0,M60=3),loop_gain!$B$18,IF(Current_limit!M60=1,Current_limit!$B$12/(2*(Current_limit!N60-Helper_calcs!$B$27)),IF(OR(M60=2,M60=23),(Main!$B$19-Current_limit!O60)*Current_limit!O60/(Main!$B$19*loop_gain!$B$17*(Helper_calcs!$B$26-Helper_calcs!$B$27)),x)))</f>
        <v>400000</v>
      </c>
      <c r="Q60" s="137"/>
    </row>
    <row r="61" spans="1:17" x14ac:dyDescent="0.25">
      <c r="A61">
        <f t="shared" si="8"/>
        <v>1.2000000000000002</v>
      </c>
      <c r="B61">
        <f>Main!$B$20/A61</f>
        <v>4.1666666666666661</v>
      </c>
      <c r="D61" s="137">
        <f t="shared" si="0"/>
        <v>4.1666666666666661</v>
      </c>
      <c r="E61" s="137">
        <f>-B61*Main!$B$19-2*Main!$B$19*loop_gain!$B$17*loop_gain!$B$18</f>
        <v>-115.27999999999997</v>
      </c>
      <c r="F61" s="137">
        <f>2*Main!$B$19*loop_gain!$B$17*loop_gain!$B$18*Helper_calcs!$B$26*Current_limit!B61</f>
        <v>1047.1999999999996</v>
      </c>
      <c r="G61" s="137" t="e">
        <f t="shared" si="2"/>
        <v>#NUM!</v>
      </c>
      <c r="H61" s="137" t="e">
        <f>(Main!$B$19-Current_limit!G61)*Current_limit!G61/(Main!$B$19*loop_gain!$B$17*loop_gain!$B$18)</f>
        <v>#NUM!</v>
      </c>
      <c r="I61" s="137" t="e">
        <f t="shared" si="3"/>
        <v>#NUM!</v>
      </c>
      <c r="J61" s="137"/>
      <c r="K61" s="138">
        <f>IF(A61&gt;$B$15,IF(I61&gt;Helper_calcs!$B$27,23,3),0)</f>
        <v>0</v>
      </c>
      <c r="L61" s="139">
        <f t="shared" si="1"/>
        <v>0</v>
      </c>
      <c r="M61" s="139">
        <f t="shared" si="4"/>
        <v>0</v>
      </c>
      <c r="N61" s="137">
        <f t="shared" si="5"/>
        <v>1.2000000000000002</v>
      </c>
      <c r="O61" s="137">
        <f t="shared" si="6"/>
        <v>5</v>
      </c>
      <c r="P61" s="140">
        <f>IF(OR(M61=0,M61=3),loop_gain!$B$18,IF(Current_limit!M61=1,Current_limit!$B$12/(2*(Current_limit!N61-Helper_calcs!$B$27)),IF(OR(M61=2,M61=23),(Main!$B$19-Current_limit!O61)*Current_limit!O61/(Main!$B$19*loop_gain!$B$17*(Helper_calcs!$B$26-Helper_calcs!$B$27)),x)))</f>
        <v>400000</v>
      </c>
      <c r="Q61" s="137"/>
    </row>
    <row r="62" spans="1:17" x14ac:dyDescent="0.25">
      <c r="A62">
        <f t="shared" si="8"/>
        <v>1.2100000000000002</v>
      </c>
      <c r="B62">
        <f>Main!$B$20/A62</f>
        <v>4.1322314049586772</v>
      </c>
      <c r="D62" s="137">
        <f t="shared" si="0"/>
        <v>4.1322314049586772</v>
      </c>
      <c r="E62" s="137">
        <f>-B62*Main!$B$19-2*Main!$B$19*loop_gain!$B$17*loop_gain!$B$18</f>
        <v>-114.86677685950411</v>
      </c>
      <c r="F62" s="137">
        <f>2*Main!$B$19*loop_gain!$B$17*loop_gain!$B$18*Helper_calcs!$B$26*Current_limit!B62</f>
        <v>1038.5454545454543</v>
      </c>
      <c r="G62" s="137" t="e">
        <f t="shared" si="2"/>
        <v>#NUM!</v>
      </c>
      <c r="H62" s="137" t="e">
        <f>(Main!$B$19-Current_limit!G62)*Current_limit!G62/(Main!$B$19*loop_gain!$B$17*loop_gain!$B$18)</f>
        <v>#NUM!</v>
      </c>
      <c r="I62" s="137" t="e">
        <f t="shared" si="3"/>
        <v>#NUM!</v>
      </c>
      <c r="J62" s="137"/>
      <c r="K62" s="138">
        <f>IF(A62&gt;$B$15,IF(I62&gt;Helper_calcs!$B$27,23,3),0)</f>
        <v>0</v>
      </c>
      <c r="L62" s="139">
        <f t="shared" si="1"/>
        <v>0</v>
      </c>
      <c r="M62" s="139">
        <f t="shared" si="4"/>
        <v>0</v>
      </c>
      <c r="N62" s="137">
        <f t="shared" si="5"/>
        <v>1.2100000000000002</v>
      </c>
      <c r="O62" s="137">
        <f t="shared" si="6"/>
        <v>5</v>
      </c>
      <c r="P62" s="140">
        <f>IF(OR(M62=0,M62=3),loop_gain!$B$18,IF(Current_limit!M62=1,Current_limit!$B$12/(2*(Current_limit!N62-Helper_calcs!$B$27)),IF(OR(M62=2,M62=23),(Main!$B$19-Current_limit!O62)*Current_limit!O62/(Main!$B$19*loop_gain!$B$17*(Helper_calcs!$B$26-Helper_calcs!$B$27)),x)))</f>
        <v>400000</v>
      </c>
      <c r="Q62" s="137"/>
    </row>
    <row r="63" spans="1:17" x14ac:dyDescent="0.25">
      <c r="A63">
        <f t="shared" si="8"/>
        <v>1.2200000000000002</v>
      </c>
      <c r="B63">
        <f>Main!$B$20/A63</f>
        <v>4.0983606557377046</v>
      </c>
      <c r="D63" s="137">
        <f t="shared" si="0"/>
        <v>4.0983606557377046</v>
      </c>
      <c r="E63" s="137">
        <f>-B63*Main!$B$19-2*Main!$B$19*loop_gain!$B$17*loop_gain!$B$18</f>
        <v>-114.46032786885245</v>
      </c>
      <c r="F63" s="137">
        <f>2*Main!$B$19*loop_gain!$B$17*loop_gain!$B$18*Helper_calcs!$B$26*Current_limit!B63</f>
        <v>1030.0327868852455</v>
      </c>
      <c r="G63" s="137" t="e">
        <f t="shared" si="2"/>
        <v>#NUM!</v>
      </c>
      <c r="H63" s="137" t="e">
        <f>(Main!$B$19-Current_limit!G63)*Current_limit!G63/(Main!$B$19*loop_gain!$B$17*loop_gain!$B$18)</f>
        <v>#NUM!</v>
      </c>
      <c r="I63" s="137" t="e">
        <f t="shared" si="3"/>
        <v>#NUM!</v>
      </c>
      <c r="J63" s="137"/>
      <c r="K63" s="138">
        <f>IF(A63&gt;$B$15,IF(I63&gt;Helper_calcs!$B$27,23,3),0)</f>
        <v>0</v>
      </c>
      <c r="L63" s="139">
        <f t="shared" si="1"/>
        <v>0</v>
      </c>
      <c r="M63" s="139">
        <f t="shared" si="4"/>
        <v>0</v>
      </c>
      <c r="N63" s="137">
        <f t="shared" si="5"/>
        <v>1.2200000000000002</v>
      </c>
      <c r="O63" s="137">
        <f t="shared" si="6"/>
        <v>5</v>
      </c>
      <c r="P63" s="140">
        <f>IF(OR(M63=0,M63=3),loop_gain!$B$18,IF(Current_limit!M63=1,Current_limit!$B$12/(2*(Current_limit!N63-Helper_calcs!$B$27)),IF(OR(M63=2,M63=23),(Main!$B$19-Current_limit!O63)*Current_limit!O63/(Main!$B$19*loop_gain!$B$17*(Helper_calcs!$B$26-Helper_calcs!$B$27)),x)))</f>
        <v>400000</v>
      </c>
      <c r="Q63" s="137"/>
    </row>
    <row r="64" spans="1:17" x14ac:dyDescent="0.25">
      <c r="A64">
        <f t="shared" si="8"/>
        <v>1.2300000000000002</v>
      </c>
      <c r="B64">
        <f>Main!$B$20/A64</f>
        <v>4.0650406504065035</v>
      </c>
      <c r="D64" s="137">
        <f t="shared" si="0"/>
        <v>4.0650406504065035</v>
      </c>
      <c r="E64" s="137">
        <f>-B64*Main!$B$19-2*Main!$B$19*loop_gain!$B$17*loop_gain!$B$18</f>
        <v>-114.06048780487802</v>
      </c>
      <c r="F64" s="137">
        <f>2*Main!$B$19*loop_gain!$B$17*loop_gain!$B$18*Helper_calcs!$B$26*Current_limit!B64</f>
        <v>1021.6585365853655</v>
      </c>
      <c r="G64" s="137" t="e">
        <f t="shared" si="2"/>
        <v>#NUM!</v>
      </c>
      <c r="H64" s="137" t="e">
        <f>(Main!$B$19-Current_limit!G64)*Current_limit!G64/(Main!$B$19*loop_gain!$B$17*loop_gain!$B$18)</f>
        <v>#NUM!</v>
      </c>
      <c r="I64" s="137" t="e">
        <f t="shared" si="3"/>
        <v>#NUM!</v>
      </c>
      <c r="J64" s="137"/>
      <c r="K64" s="138">
        <f>IF(A64&gt;$B$15,IF(I64&gt;Helper_calcs!$B$27,23,3),0)</f>
        <v>0</v>
      </c>
      <c r="L64" s="139">
        <f t="shared" si="1"/>
        <v>0</v>
      </c>
      <c r="M64" s="139">
        <f t="shared" si="4"/>
        <v>0</v>
      </c>
      <c r="N64" s="137">
        <f t="shared" si="5"/>
        <v>1.2300000000000002</v>
      </c>
      <c r="O64" s="137">
        <f t="shared" si="6"/>
        <v>5</v>
      </c>
      <c r="P64" s="140">
        <f>IF(OR(M64=0,M64=3),loop_gain!$B$18,IF(Current_limit!M64=1,Current_limit!$B$12/(2*(Current_limit!N64-Helper_calcs!$B$27)),IF(OR(M64=2,M64=23),(Main!$B$19-Current_limit!O64)*Current_limit!O64/(Main!$B$19*loop_gain!$B$17*(Helper_calcs!$B$26-Helper_calcs!$B$27)),x)))</f>
        <v>400000</v>
      </c>
      <c r="Q64" s="137"/>
    </row>
    <row r="65" spans="1:17" x14ac:dyDescent="0.25">
      <c r="A65">
        <f t="shared" si="8"/>
        <v>1.2400000000000002</v>
      </c>
      <c r="B65">
        <f>Main!$B$20/A65</f>
        <v>4.0322580645161281</v>
      </c>
      <c r="D65" s="137">
        <f t="shared" si="0"/>
        <v>4.0322580645161281</v>
      </c>
      <c r="E65" s="137">
        <f>-B65*Main!$B$19-2*Main!$B$19*loop_gain!$B$17*loop_gain!$B$18</f>
        <v>-113.66709677419352</v>
      </c>
      <c r="F65" s="137">
        <f>2*Main!$B$19*loop_gain!$B$17*loop_gain!$B$18*Helper_calcs!$B$26*Current_limit!B65</f>
        <v>1013.4193548387092</v>
      </c>
      <c r="G65" s="137" t="e">
        <f t="shared" si="2"/>
        <v>#NUM!</v>
      </c>
      <c r="H65" s="137" t="e">
        <f>(Main!$B$19-Current_limit!G65)*Current_limit!G65/(Main!$B$19*loop_gain!$B$17*loop_gain!$B$18)</f>
        <v>#NUM!</v>
      </c>
      <c r="I65" s="137" t="e">
        <f t="shared" si="3"/>
        <v>#NUM!</v>
      </c>
      <c r="J65" s="137"/>
      <c r="K65" s="138">
        <f>IF(A65&gt;$B$15,IF(I65&gt;Helper_calcs!$B$27,23,3),0)</f>
        <v>0</v>
      </c>
      <c r="L65" s="139">
        <f t="shared" si="1"/>
        <v>0</v>
      </c>
      <c r="M65" s="139">
        <f t="shared" si="4"/>
        <v>0</v>
      </c>
      <c r="N65" s="137">
        <f t="shared" si="5"/>
        <v>1.2400000000000002</v>
      </c>
      <c r="O65" s="137">
        <f t="shared" si="6"/>
        <v>5</v>
      </c>
      <c r="P65" s="140">
        <f>IF(OR(M65=0,M65=3),loop_gain!$B$18,IF(Current_limit!M65=1,Current_limit!$B$12/(2*(Current_limit!N65-Helper_calcs!$B$27)),IF(OR(M65=2,M65=23),(Main!$B$19-Current_limit!O65)*Current_limit!O65/(Main!$B$19*loop_gain!$B$17*(Helper_calcs!$B$26-Helper_calcs!$B$27)),x)))</f>
        <v>400000</v>
      </c>
      <c r="Q65" s="137"/>
    </row>
    <row r="66" spans="1:17" x14ac:dyDescent="0.25">
      <c r="A66">
        <f t="shared" si="8"/>
        <v>1.2500000000000002</v>
      </c>
      <c r="B66">
        <f>Main!$B$20/A66</f>
        <v>3.9999999999999991</v>
      </c>
      <c r="D66" s="137">
        <f t="shared" si="0"/>
        <v>3.9999999999999991</v>
      </c>
      <c r="E66" s="137">
        <f>-B66*Main!$B$19-2*Main!$B$19*loop_gain!$B$17*loop_gain!$B$18</f>
        <v>-113.27999999999997</v>
      </c>
      <c r="F66" s="137">
        <f>2*Main!$B$19*loop_gain!$B$17*loop_gain!$B$18*Helper_calcs!$B$26*Current_limit!B66</f>
        <v>1005.3119999999996</v>
      </c>
      <c r="G66" s="137" t="e">
        <f t="shared" si="2"/>
        <v>#NUM!</v>
      </c>
      <c r="H66" s="137" t="e">
        <f>(Main!$B$19-Current_limit!G66)*Current_limit!G66/(Main!$B$19*loop_gain!$B$17*loop_gain!$B$18)</f>
        <v>#NUM!</v>
      </c>
      <c r="I66" s="137" t="e">
        <f t="shared" si="3"/>
        <v>#NUM!</v>
      </c>
      <c r="J66" s="137"/>
      <c r="K66" s="138">
        <f>IF(A66&gt;$B$15,IF(I66&gt;Helper_calcs!$B$27,23,3),0)</f>
        <v>0</v>
      </c>
      <c r="L66" s="139">
        <f t="shared" si="1"/>
        <v>0</v>
      </c>
      <c r="M66" s="139">
        <f t="shared" si="4"/>
        <v>0</v>
      </c>
      <c r="N66" s="137">
        <f t="shared" si="5"/>
        <v>1.2500000000000002</v>
      </c>
      <c r="O66" s="137">
        <f t="shared" si="6"/>
        <v>5</v>
      </c>
      <c r="P66" s="140">
        <f>IF(OR(M66=0,M66=3),loop_gain!$B$18,IF(Current_limit!M66=1,Current_limit!$B$12/(2*(Current_limit!N66-Helper_calcs!$B$27)),IF(OR(M66=2,M66=23),(Main!$B$19-Current_limit!O66)*Current_limit!O66/(Main!$B$19*loop_gain!$B$17*(Helper_calcs!$B$26-Helper_calcs!$B$27)),x)))</f>
        <v>400000</v>
      </c>
      <c r="Q66" s="137"/>
    </row>
    <row r="67" spans="1:17" x14ac:dyDescent="0.25">
      <c r="A67">
        <f t="shared" si="8"/>
        <v>1.2600000000000002</v>
      </c>
      <c r="B67">
        <f>Main!$B$20/A67</f>
        <v>3.9682539682539675</v>
      </c>
      <c r="D67" s="137">
        <f t="shared" si="0"/>
        <v>3.9682539682539675</v>
      </c>
      <c r="E67" s="137">
        <f>-B67*Main!$B$19-2*Main!$B$19*loop_gain!$B$17*loop_gain!$B$18</f>
        <v>-112.89904761904759</v>
      </c>
      <c r="F67" s="137">
        <f>2*Main!$B$19*loop_gain!$B$17*loop_gain!$B$18*Helper_calcs!$B$26*Current_limit!B67</f>
        <v>997.33333333333292</v>
      </c>
      <c r="G67" s="137" t="e">
        <f t="shared" si="2"/>
        <v>#NUM!</v>
      </c>
      <c r="H67" s="137" t="e">
        <f>(Main!$B$19-Current_limit!G67)*Current_limit!G67/(Main!$B$19*loop_gain!$B$17*loop_gain!$B$18)</f>
        <v>#NUM!</v>
      </c>
      <c r="I67" s="137" t="e">
        <f t="shared" si="3"/>
        <v>#NUM!</v>
      </c>
      <c r="J67" s="137"/>
      <c r="K67" s="138">
        <f>IF(A67&gt;$B$15,IF(I67&gt;Helper_calcs!$B$27,23,3),0)</f>
        <v>0</v>
      </c>
      <c r="L67" s="139">
        <f t="shared" si="1"/>
        <v>0</v>
      </c>
      <c r="M67" s="139">
        <f t="shared" si="4"/>
        <v>0</v>
      </c>
      <c r="N67" s="137">
        <f t="shared" si="5"/>
        <v>1.2600000000000002</v>
      </c>
      <c r="O67" s="137">
        <f t="shared" si="6"/>
        <v>5</v>
      </c>
      <c r="P67" s="140">
        <f>IF(OR(M67=0,M67=3),loop_gain!$B$18,IF(Current_limit!M67=1,Current_limit!$B$12/(2*(Current_limit!N67-Helper_calcs!$B$27)),IF(OR(M67=2,M67=23),(Main!$B$19-Current_limit!O67)*Current_limit!O67/(Main!$B$19*loop_gain!$B$17*(Helper_calcs!$B$26-Helper_calcs!$B$27)),x)))</f>
        <v>400000</v>
      </c>
      <c r="Q67" s="137"/>
    </row>
    <row r="68" spans="1:17" x14ac:dyDescent="0.25">
      <c r="A68">
        <f t="shared" si="8"/>
        <v>1.2700000000000002</v>
      </c>
      <c r="B68">
        <f>Main!$B$20/A68</f>
        <v>3.9370078740157473</v>
      </c>
      <c r="D68" s="137">
        <f t="shared" si="0"/>
        <v>3.9370078740157473</v>
      </c>
      <c r="E68" s="137">
        <f>-B68*Main!$B$19-2*Main!$B$19*loop_gain!$B$17*loop_gain!$B$18</f>
        <v>-112.52409448818895</v>
      </c>
      <c r="F68" s="137">
        <f>2*Main!$B$19*loop_gain!$B$17*loop_gain!$B$18*Helper_calcs!$B$26*Current_limit!B68</f>
        <v>989.48031496062947</v>
      </c>
      <c r="G68" s="137" t="e">
        <f t="shared" si="2"/>
        <v>#NUM!</v>
      </c>
      <c r="H68" s="137" t="e">
        <f>(Main!$B$19-Current_limit!G68)*Current_limit!G68/(Main!$B$19*loop_gain!$B$17*loop_gain!$B$18)</f>
        <v>#NUM!</v>
      </c>
      <c r="I68" s="137" t="e">
        <f t="shared" si="3"/>
        <v>#NUM!</v>
      </c>
      <c r="J68" s="137"/>
      <c r="K68" s="138">
        <f>IF(A68&gt;$B$15,IF(I68&gt;Helper_calcs!$B$27,23,3),0)</f>
        <v>0</v>
      </c>
      <c r="L68" s="139">
        <f t="shared" si="1"/>
        <v>0</v>
      </c>
      <c r="M68" s="139">
        <f t="shared" si="4"/>
        <v>0</v>
      </c>
      <c r="N68" s="137">
        <f t="shared" si="5"/>
        <v>1.2700000000000002</v>
      </c>
      <c r="O68" s="137">
        <f t="shared" si="6"/>
        <v>5</v>
      </c>
      <c r="P68" s="140">
        <f>IF(OR(M68=0,M68=3),loop_gain!$B$18,IF(Current_limit!M68=1,Current_limit!$B$12/(2*(Current_limit!N68-Helper_calcs!$B$27)),IF(OR(M68=2,M68=23),(Main!$B$19-Current_limit!O68)*Current_limit!O68/(Main!$B$19*loop_gain!$B$17*(Helper_calcs!$B$26-Helper_calcs!$B$27)),x)))</f>
        <v>400000</v>
      </c>
      <c r="Q68" s="137"/>
    </row>
    <row r="69" spans="1:17" x14ac:dyDescent="0.25">
      <c r="A69">
        <f t="shared" si="8"/>
        <v>1.2800000000000002</v>
      </c>
      <c r="B69">
        <f>Main!$B$20/A69</f>
        <v>3.9062499999999991</v>
      </c>
      <c r="D69" s="137">
        <f t="shared" si="0"/>
        <v>3.9062499999999991</v>
      </c>
      <c r="E69" s="137">
        <f>-B69*Main!$B$19-2*Main!$B$19*loop_gain!$B$17*loop_gain!$B$18</f>
        <v>-112.15499999999997</v>
      </c>
      <c r="F69" s="137">
        <f>2*Main!$B$19*loop_gain!$B$17*loop_gain!$B$18*Helper_calcs!$B$26*Current_limit!B69</f>
        <v>981.74999999999955</v>
      </c>
      <c r="G69" s="137" t="e">
        <f t="shared" si="2"/>
        <v>#NUM!</v>
      </c>
      <c r="H69" s="137" t="e">
        <f>(Main!$B$19-Current_limit!G69)*Current_limit!G69/(Main!$B$19*loop_gain!$B$17*loop_gain!$B$18)</f>
        <v>#NUM!</v>
      </c>
      <c r="I69" s="137" t="e">
        <f t="shared" si="3"/>
        <v>#NUM!</v>
      </c>
      <c r="J69" s="137"/>
      <c r="K69" s="138">
        <f>IF(A69&gt;$B$15,IF(I69&gt;Helper_calcs!$B$27,23,3),0)</f>
        <v>0</v>
      </c>
      <c r="L69" s="139">
        <f t="shared" si="1"/>
        <v>0</v>
      </c>
      <c r="M69" s="139">
        <f t="shared" si="4"/>
        <v>0</v>
      </c>
      <c r="N69" s="137">
        <f t="shared" si="5"/>
        <v>1.2800000000000002</v>
      </c>
      <c r="O69" s="137">
        <f t="shared" si="6"/>
        <v>5</v>
      </c>
      <c r="P69" s="140">
        <f>IF(OR(M69=0,M69=3),loop_gain!$B$18,IF(Current_limit!M69=1,Current_limit!$B$12/(2*(Current_limit!N69-Helper_calcs!$B$27)),IF(OR(M69=2,M69=23),(Main!$B$19-Current_limit!O69)*Current_limit!O69/(Main!$B$19*loop_gain!$B$17*(Helper_calcs!$B$26-Helper_calcs!$B$27)),x)))</f>
        <v>400000</v>
      </c>
      <c r="Q69" s="137"/>
    </row>
    <row r="70" spans="1:17" x14ac:dyDescent="0.25">
      <c r="A70">
        <f t="shared" si="8"/>
        <v>1.2900000000000003</v>
      </c>
      <c r="B70">
        <f>Main!$B$20/A70</f>
        <v>3.8759689922480614</v>
      </c>
      <c r="D70" s="137">
        <f t="shared" si="0"/>
        <v>3.8759689922480614</v>
      </c>
      <c r="E70" s="137">
        <f>-B70*Main!$B$19-2*Main!$B$19*loop_gain!$B$17*loop_gain!$B$18</f>
        <v>-111.79162790697671</v>
      </c>
      <c r="F70" s="137">
        <f>2*Main!$B$19*loop_gain!$B$17*loop_gain!$B$18*Helper_calcs!$B$26*Current_limit!B70</f>
        <v>974.13953488372056</v>
      </c>
      <c r="G70" s="137" t="e">
        <f t="shared" si="2"/>
        <v>#NUM!</v>
      </c>
      <c r="H70" s="137" t="e">
        <f>(Main!$B$19-Current_limit!G70)*Current_limit!G70/(Main!$B$19*loop_gain!$B$17*loop_gain!$B$18)</f>
        <v>#NUM!</v>
      </c>
      <c r="I70" s="137" t="e">
        <f t="shared" si="3"/>
        <v>#NUM!</v>
      </c>
      <c r="J70" s="137"/>
      <c r="K70" s="138">
        <f>IF(A70&gt;$B$15,IF(I70&gt;Helper_calcs!$B$27,23,3),0)</f>
        <v>0</v>
      </c>
      <c r="L70" s="139">
        <f t="shared" si="1"/>
        <v>0</v>
      </c>
      <c r="M70" s="139">
        <f t="shared" si="4"/>
        <v>0</v>
      </c>
      <c r="N70" s="137">
        <f t="shared" si="5"/>
        <v>1.2900000000000003</v>
      </c>
      <c r="O70" s="137">
        <f t="shared" si="6"/>
        <v>5</v>
      </c>
      <c r="P70" s="140">
        <f>IF(OR(M70=0,M70=3),loop_gain!$B$18,IF(Current_limit!M70=1,Current_limit!$B$12/(2*(Current_limit!N70-Helper_calcs!$B$27)),IF(OR(M70=2,M70=23),(Main!$B$19-Current_limit!O70)*Current_limit!O70/(Main!$B$19*loop_gain!$B$17*(Helper_calcs!$B$26-Helper_calcs!$B$27)),x)))</f>
        <v>400000</v>
      </c>
      <c r="Q70" s="137"/>
    </row>
    <row r="71" spans="1:17" x14ac:dyDescent="0.25">
      <c r="A71">
        <f t="shared" si="8"/>
        <v>1.3000000000000003</v>
      </c>
      <c r="B71">
        <f>Main!$B$20/A71</f>
        <v>3.8461538461538454</v>
      </c>
      <c r="D71" s="137">
        <f t="shared" si="0"/>
        <v>3.8461538461538454</v>
      </c>
      <c r="E71" s="137">
        <f>-B71*Main!$B$19-2*Main!$B$19*loop_gain!$B$17*loop_gain!$B$18</f>
        <v>-111.43384615384613</v>
      </c>
      <c r="F71" s="137">
        <f>2*Main!$B$19*loop_gain!$B$17*loop_gain!$B$18*Helper_calcs!$B$26*Current_limit!B71</f>
        <v>966.64615384615342</v>
      </c>
      <c r="G71" s="137" t="e">
        <f t="shared" si="2"/>
        <v>#NUM!</v>
      </c>
      <c r="H71" s="137" t="e">
        <f>(Main!$B$19-Current_limit!G71)*Current_limit!G71/(Main!$B$19*loop_gain!$B$17*loop_gain!$B$18)</f>
        <v>#NUM!</v>
      </c>
      <c r="I71" s="137" t="e">
        <f t="shared" si="3"/>
        <v>#NUM!</v>
      </c>
      <c r="J71" s="137"/>
      <c r="K71" s="138">
        <f>IF(A71&gt;$B$15,IF(I71&gt;Helper_calcs!$B$27,23,3),0)</f>
        <v>0</v>
      </c>
      <c r="L71" s="139">
        <f t="shared" si="1"/>
        <v>0</v>
      </c>
      <c r="M71" s="139">
        <f t="shared" si="4"/>
        <v>0</v>
      </c>
      <c r="N71" s="137">
        <f t="shared" si="5"/>
        <v>1.3000000000000003</v>
      </c>
      <c r="O71" s="137">
        <f t="shared" si="6"/>
        <v>5</v>
      </c>
      <c r="P71" s="140">
        <f>IF(OR(M71=0,M71=3),loop_gain!$B$18,IF(Current_limit!M71=1,Current_limit!$B$12/(2*(Current_limit!N71-Helper_calcs!$B$27)),IF(OR(M71=2,M71=23),(Main!$B$19-Current_limit!O71)*Current_limit!O71/(Main!$B$19*loop_gain!$B$17*(Helper_calcs!$B$26-Helper_calcs!$B$27)),x)))</f>
        <v>400000</v>
      </c>
      <c r="Q71" s="137"/>
    </row>
    <row r="72" spans="1:17" x14ac:dyDescent="0.25">
      <c r="A72">
        <f t="shared" si="8"/>
        <v>1.3100000000000003</v>
      </c>
      <c r="B72">
        <f>Main!$B$20/A72</f>
        <v>3.8167938931297702</v>
      </c>
      <c r="D72" s="137">
        <f t="shared" si="0"/>
        <v>3.8167938931297702</v>
      </c>
      <c r="E72" s="137">
        <f>-B72*Main!$B$19-2*Main!$B$19*loop_gain!$B$17*loop_gain!$B$18</f>
        <v>-111.08152671755724</v>
      </c>
      <c r="F72" s="137">
        <f>2*Main!$B$19*loop_gain!$B$17*loop_gain!$B$18*Helper_calcs!$B$26*Current_limit!B72</f>
        <v>959.26717557251868</v>
      </c>
      <c r="G72" s="137" t="e">
        <f t="shared" si="2"/>
        <v>#NUM!</v>
      </c>
      <c r="H72" s="137" t="e">
        <f>(Main!$B$19-Current_limit!G72)*Current_limit!G72/(Main!$B$19*loop_gain!$B$17*loop_gain!$B$18)</f>
        <v>#NUM!</v>
      </c>
      <c r="I72" s="137" t="e">
        <f t="shared" si="3"/>
        <v>#NUM!</v>
      </c>
      <c r="J72" s="137"/>
      <c r="K72" s="138">
        <f>IF(A72&gt;$B$15,IF(I72&gt;Helper_calcs!$B$27,23,3),0)</f>
        <v>0</v>
      </c>
      <c r="L72" s="139">
        <f t="shared" si="1"/>
        <v>0</v>
      </c>
      <c r="M72" s="139">
        <f t="shared" si="4"/>
        <v>0</v>
      </c>
      <c r="N72" s="137">
        <f t="shared" si="5"/>
        <v>1.3100000000000003</v>
      </c>
      <c r="O72" s="137">
        <f t="shared" si="6"/>
        <v>5</v>
      </c>
      <c r="P72" s="140">
        <f>IF(OR(M72=0,M72=3),loop_gain!$B$18,IF(Current_limit!M72=1,Current_limit!$B$12/(2*(Current_limit!N72-Helper_calcs!$B$27)),IF(OR(M72=2,M72=23),(Main!$B$19-Current_limit!O72)*Current_limit!O72/(Main!$B$19*loop_gain!$B$17*(Helper_calcs!$B$26-Helper_calcs!$B$27)),x)))</f>
        <v>400000</v>
      </c>
      <c r="Q72" s="137"/>
    </row>
    <row r="73" spans="1:17" x14ac:dyDescent="0.25">
      <c r="A73">
        <f t="shared" si="8"/>
        <v>1.3200000000000003</v>
      </c>
      <c r="B73">
        <f>Main!$B$20/A73</f>
        <v>3.7878787878787872</v>
      </c>
      <c r="D73" s="137">
        <f t="shared" si="0"/>
        <v>3.7878787878787872</v>
      </c>
      <c r="E73" s="137">
        <f>-B73*Main!$B$19-2*Main!$B$19*loop_gain!$B$17*loop_gain!$B$18</f>
        <v>-110.73454545454544</v>
      </c>
      <c r="F73" s="137">
        <f>2*Main!$B$19*loop_gain!$B$17*loop_gain!$B$18*Helper_calcs!$B$26*Current_limit!B73</f>
        <v>951.99999999999966</v>
      </c>
      <c r="G73" s="137" t="e">
        <f t="shared" si="2"/>
        <v>#NUM!</v>
      </c>
      <c r="H73" s="137" t="e">
        <f>(Main!$B$19-Current_limit!G73)*Current_limit!G73/(Main!$B$19*loop_gain!$B$17*loop_gain!$B$18)</f>
        <v>#NUM!</v>
      </c>
      <c r="I73" s="137" t="e">
        <f t="shared" si="3"/>
        <v>#NUM!</v>
      </c>
      <c r="J73" s="137"/>
      <c r="K73" s="138">
        <f>IF(A73&gt;$B$15,IF(I73&gt;Helper_calcs!$B$27,23,3),0)</f>
        <v>0</v>
      </c>
      <c r="L73" s="139">
        <f t="shared" si="1"/>
        <v>0</v>
      </c>
      <c r="M73" s="139">
        <f t="shared" si="4"/>
        <v>0</v>
      </c>
      <c r="N73" s="137">
        <f t="shared" si="5"/>
        <v>1.3200000000000003</v>
      </c>
      <c r="O73" s="137">
        <f t="shared" si="6"/>
        <v>5</v>
      </c>
      <c r="P73" s="140">
        <f>IF(OR(M73=0,M73=3),loop_gain!$B$18,IF(Current_limit!M73=1,Current_limit!$B$12/(2*(Current_limit!N73-Helper_calcs!$B$27)),IF(OR(M73=2,M73=23),(Main!$B$19-Current_limit!O73)*Current_limit!O73/(Main!$B$19*loop_gain!$B$17*(Helper_calcs!$B$26-Helper_calcs!$B$27)),x)))</f>
        <v>400000</v>
      </c>
      <c r="Q73" s="137"/>
    </row>
    <row r="74" spans="1:17" x14ac:dyDescent="0.25">
      <c r="A74">
        <f t="shared" si="8"/>
        <v>1.3300000000000003</v>
      </c>
      <c r="B74">
        <f>Main!$B$20/A74</f>
        <v>3.7593984962406006</v>
      </c>
      <c r="D74" s="137">
        <f t="shared" si="0"/>
        <v>3.7593984962406006</v>
      </c>
      <c r="E74" s="137">
        <f>-B74*Main!$B$19-2*Main!$B$19*loop_gain!$B$17*loop_gain!$B$18</f>
        <v>-110.3927819548872</v>
      </c>
      <c r="F74" s="137">
        <f>2*Main!$B$19*loop_gain!$B$17*loop_gain!$B$18*Helper_calcs!$B$26*Current_limit!B74</f>
        <v>944.84210526315746</v>
      </c>
      <c r="G74" s="137" t="e">
        <f t="shared" si="2"/>
        <v>#NUM!</v>
      </c>
      <c r="H74" s="137" t="e">
        <f>(Main!$B$19-Current_limit!G74)*Current_limit!G74/(Main!$B$19*loop_gain!$B$17*loop_gain!$B$18)</f>
        <v>#NUM!</v>
      </c>
      <c r="I74" s="137" t="e">
        <f t="shared" si="3"/>
        <v>#NUM!</v>
      </c>
      <c r="J74" s="137"/>
      <c r="K74" s="138">
        <f>IF(A74&gt;$B$15,IF(I74&gt;Helper_calcs!$B$27,23,3),0)</f>
        <v>0</v>
      </c>
      <c r="L74" s="139">
        <f t="shared" si="1"/>
        <v>0</v>
      </c>
      <c r="M74" s="139">
        <f t="shared" si="4"/>
        <v>0</v>
      </c>
      <c r="N74" s="137">
        <f t="shared" si="5"/>
        <v>1.3300000000000003</v>
      </c>
      <c r="O74" s="137">
        <f t="shared" si="6"/>
        <v>5</v>
      </c>
      <c r="P74" s="140">
        <f>IF(OR(M74=0,M74=3),loop_gain!$B$18,IF(Current_limit!M74=1,Current_limit!$B$12/(2*(Current_limit!N74-Helper_calcs!$B$27)),IF(OR(M74=2,M74=23),(Main!$B$19-Current_limit!O74)*Current_limit!O74/(Main!$B$19*loop_gain!$B$17*(Helper_calcs!$B$26-Helper_calcs!$B$27)),x)))</f>
        <v>400000</v>
      </c>
      <c r="Q74" s="137"/>
    </row>
    <row r="75" spans="1:17" x14ac:dyDescent="0.25">
      <c r="A75">
        <f t="shared" si="8"/>
        <v>1.3400000000000003</v>
      </c>
      <c r="B75">
        <f>Main!$B$20/A75</f>
        <v>3.7313432835820888</v>
      </c>
      <c r="D75" s="137">
        <f t="shared" si="0"/>
        <v>3.7313432835820888</v>
      </c>
      <c r="E75" s="137">
        <f>-B75*Main!$B$19-2*Main!$B$19*loop_gain!$B$17*loop_gain!$B$18</f>
        <v>-110.05611940298505</v>
      </c>
      <c r="F75" s="137">
        <f>2*Main!$B$19*loop_gain!$B$17*loop_gain!$B$18*Helper_calcs!$B$26*Current_limit!B75</f>
        <v>937.79104477611895</v>
      </c>
      <c r="G75" s="137" t="e">
        <f t="shared" si="2"/>
        <v>#NUM!</v>
      </c>
      <c r="H75" s="137" t="e">
        <f>(Main!$B$19-Current_limit!G75)*Current_limit!G75/(Main!$B$19*loop_gain!$B$17*loop_gain!$B$18)</f>
        <v>#NUM!</v>
      </c>
      <c r="I75" s="137" t="e">
        <f t="shared" si="3"/>
        <v>#NUM!</v>
      </c>
      <c r="J75" s="137"/>
      <c r="K75" s="138">
        <f>IF(A75&gt;$B$15,IF(I75&gt;Helper_calcs!$B$27,23,3),0)</f>
        <v>0</v>
      </c>
      <c r="L75" s="139">
        <f t="shared" si="1"/>
        <v>0</v>
      </c>
      <c r="M75" s="139">
        <f t="shared" si="4"/>
        <v>0</v>
      </c>
      <c r="N75" s="137">
        <f t="shared" si="5"/>
        <v>1.3400000000000003</v>
      </c>
      <c r="O75" s="137">
        <f t="shared" si="6"/>
        <v>5</v>
      </c>
      <c r="P75" s="140">
        <f>IF(OR(M75=0,M75=3),loop_gain!$B$18,IF(Current_limit!M75=1,Current_limit!$B$12/(2*(Current_limit!N75-Helper_calcs!$B$27)),IF(OR(M75=2,M75=23),(Main!$B$19-Current_limit!O75)*Current_limit!O75/(Main!$B$19*loop_gain!$B$17*(Helper_calcs!$B$26-Helper_calcs!$B$27)),x)))</f>
        <v>400000</v>
      </c>
      <c r="Q75" s="137"/>
    </row>
    <row r="76" spans="1:17" x14ac:dyDescent="0.25">
      <c r="A76">
        <f t="shared" si="8"/>
        <v>1.3500000000000003</v>
      </c>
      <c r="B76">
        <f>Main!$B$20/A76</f>
        <v>3.7037037037037028</v>
      </c>
      <c r="D76" s="137">
        <f t="shared" si="0"/>
        <v>3.7037037037037028</v>
      </c>
      <c r="E76" s="137">
        <f>-B76*Main!$B$19-2*Main!$B$19*loop_gain!$B$17*loop_gain!$B$18</f>
        <v>-109.72444444444443</v>
      </c>
      <c r="F76" s="137">
        <f>2*Main!$B$19*loop_gain!$B$17*loop_gain!$B$18*Helper_calcs!$B$26*Current_limit!B76</f>
        <v>930.84444444444398</v>
      </c>
      <c r="G76" s="137" t="e">
        <f t="shared" si="2"/>
        <v>#NUM!</v>
      </c>
      <c r="H76" s="137" t="e">
        <f>(Main!$B$19-Current_limit!G76)*Current_limit!G76/(Main!$B$19*loop_gain!$B$17*loop_gain!$B$18)</f>
        <v>#NUM!</v>
      </c>
      <c r="I76" s="137" t="e">
        <f t="shared" si="3"/>
        <v>#NUM!</v>
      </c>
      <c r="J76" s="137"/>
      <c r="K76" s="138">
        <f>IF(A76&gt;$B$15,IF(I76&gt;Helper_calcs!$B$27,23,3),0)</f>
        <v>0</v>
      </c>
      <c r="L76" s="139">
        <f t="shared" si="1"/>
        <v>0</v>
      </c>
      <c r="M76" s="139">
        <f t="shared" si="4"/>
        <v>0</v>
      </c>
      <c r="N76" s="137">
        <f t="shared" si="5"/>
        <v>1.3500000000000003</v>
      </c>
      <c r="O76" s="137">
        <f t="shared" si="6"/>
        <v>5</v>
      </c>
      <c r="P76" s="140">
        <f>IF(OR(M76=0,M76=3),loop_gain!$B$18,IF(Current_limit!M76=1,Current_limit!$B$12/(2*(Current_limit!N76-Helper_calcs!$B$27)),IF(OR(M76=2,M76=23),(Main!$B$19-Current_limit!O76)*Current_limit!O76/(Main!$B$19*loop_gain!$B$17*(Helper_calcs!$B$26-Helper_calcs!$B$27)),x)))</f>
        <v>400000</v>
      </c>
      <c r="Q76" s="137"/>
    </row>
    <row r="77" spans="1:17" x14ac:dyDescent="0.25">
      <c r="A77">
        <f t="shared" si="8"/>
        <v>1.3600000000000003</v>
      </c>
      <c r="B77">
        <f>Main!$B$20/A77</f>
        <v>3.676470588235293</v>
      </c>
      <c r="D77" s="137">
        <f t="shared" si="0"/>
        <v>3.676470588235293</v>
      </c>
      <c r="E77" s="137">
        <f>-B77*Main!$B$19-2*Main!$B$19*loop_gain!$B$17*loop_gain!$B$18</f>
        <v>-109.39764705882351</v>
      </c>
      <c r="F77" s="137">
        <f>2*Main!$B$19*loop_gain!$B$17*loop_gain!$B$18*Helper_calcs!$B$26*Current_limit!B77</f>
        <v>923.99999999999955</v>
      </c>
      <c r="G77" s="137" t="e">
        <f t="shared" si="2"/>
        <v>#NUM!</v>
      </c>
      <c r="H77" s="137" t="e">
        <f>(Main!$B$19-Current_limit!G77)*Current_limit!G77/(Main!$B$19*loop_gain!$B$17*loop_gain!$B$18)</f>
        <v>#NUM!</v>
      </c>
      <c r="I77" s="137" t="e">
        <f t="shared" si="3"/>
        <v>#NUM!</v>
      </c>
      <c r="J77" s="137"/>
      <c r="K77" s="138">
        <f>IF(A77&gt;$B$15,IF(I77&gt;Helper_calcs!$B$27,23,3),0)</f>
        <v>0</v>
      </c>
      <c r="L77" s="139">
        <f t="shared" si="1"/>
        <v>0</v>
      </c>
      <c r="M77" s="139">
        <f t="shared" si="4"/>
        <v>0</v>
      </c>
      <c r="N77" s="137">
        <f t="shared" si="5"/>
        <v>1.3600000000000003</v>
      </c>
      <c r="O77" s="137">
        <f t="shared" si="6"/>
        <v>5</v>
      </c>
      <c r="P77" s="140">
        <f>IF(OR(M77=0,M77=3),loop_gain!$B$18,IF(Current_limit!M77=1,Current_limit!$B$12/(2*(Current_limit!N77-Helper_calcs!$B$27)),IF(OR(M77=2,M77=23),(Main!$B$19-Current_limit!O77)*Current_limit!O77/(Main!$B$19*loop_gain!$B$17*(Helper_calcs!$B$26-Helper_calcs!$B$27)),x)))</f>
        <v>400000</v>
      </c>
      <c r="Q77" s="137"/>
    </row>
    <row r="78" spans="1:17" x14ac:dyDescent="0.25">
      <c r="A78">
        <f t="shared" si="8"/>
        <v>1.3700000000000003</v>
      </c>
      <c r="B78">
        <f>Main!$B$20/A78</f>
        <v>3.6496350364963495</v>
      </c>
      <c r="D78" s="137">
        <f t="shared" si="0"/>
        <v>3.6496350364963495</v>
      </c>
      <c r="E78" s="137">
        <f>-B78*Main!$B$19-2*Main!$B$19*loop_gain!$B$17*loop_gain!$B$18</f>
        <v>-109.07562043795619</v>
      </c>
      <c r="F78" s="137">
        <f>2*Main!$B$19*loop_gain!$B$17*loop_gain!$B$18*Helper_calcs!$B$26*Current_limit!B78</f>
        <v>917.25547445255427</v>
      </c>
      <c r="G78" s="137" t="e">
        <f t="shared" si="2"/>
        <v>#NUM!</v>
      </c>
      <c r="H78" s="137" t="e">
        <f>(Main!$B$19-Current_limit!G78)*Current_limit!G78/(Main!$B$19*loop_gain!$B$17*loop_gain!$B$18)</f>
        <v>#NUM!</v>
      </c>
      <c r="I78" s="137" t="e">
        <f t="shared" si="3"/>
        <v>#NUM!</v>
      </c>
      <c r="J78" s="137"/>
      <c r="K78" s="138">
        <f>IF(A78&gt;$B$15,IF(I78&gt;Helper_calcs!$B$27,23,3),0)</f>
        <v>0</v>
      </c>
      <c r="L78" s="139">
        <f t="shared" si="1"/>
        <v>0</v>
      </c>
      <c r="M78" s="139">
        <f t="shared" si="4"/>
        <v>0</v>
      </c>
      <c r="N78" s="137">
        <f t="shared" si="5"/>
        <v>1.3700000000000003</v>
      </c>
      <c r="O78" s="137">
        <f t="shared" si="6"/>
        <v>5</v>
      </c>
      <c r="P78" s="140">
        <f>IF(OR(M78=0,M78=3),loop_gain!$B$18,IF(Current_limit!M78=1,Current_limit!$B$12/(2*(Current_limit!N78-Helper_calcs!$B$27)),IF(OR(M78=2,M78=23),(Main!$B$19-Current_limit!O78)*Current_limit!O78/(Main!$B$19*loop_gain!$B$17*(Helper_calcs!$B$26-Helper_calcs!$B$27)),x)))</f>
        <v>400000</v>
      </c>
      <c r="Q78" s="137"/>
    </row>
    <row r="79" spans="1:17" x14ac:dyDescent="0.25">
      <c r="A79">
        <f t="shared" si="8"/>
        <v>1.3800000000000003</v>
      </c>
      <c r="B79">
        <f>Main!$B$20/A79</f>
        <v>3.6231884057971007</v>
      </c>
      <c r="D79" s="137">
        <f t="shared" si="0"/>
        <v>3.6231884057971007</v>
      </c>
      <c r="E79" s="137">
        <f>-B79*Main!$B$19-2*Main!$B$19*loop_gain!$B$17*loop_gain!$B$18</f>
        <v>-108.75826086956519</v>
      </c>
      <c r="F79" s="137">
        <f>2*Main!$B$19*loop_gain!$B$17*loop_gain!$B$18*Helper_calcs!$B$26*Current_limit!B79</f>
        <v>910.60869565217354</v>
      </c>
      <c r="G79" s="137" t="e">
        <f t="shared" si="2"/>
        <v>#NUM!</v>
      </c>
      <c r="H79" s="137" t="e">
        <f>(Main!$B$19-Current_limit!G79)*Current_limit!G79/(Main!$B$19*loop_gain!$B$17*loop_gain!$B$18)</f>
        <v>#NUM!</v>
      </c>
      <c r="I79" s="137" t="e">
        <f t="shared" si="3"/>
        <v>#NUM!</v>
      </c>
      <c r="J79" s="137"/>
      <c r="K79" s="138">
        <f>IF(A79&gt;$B$15,IF(I79&gt;Helper_calcs!$B$27,23,3),0)</f>
        <v>0</v>
      </c>
      <c r="L79" s="139">
        <f t="shared" si="1"/>
        <v>0</v>
      </c>
      <c r="M79" s="139">
        <f t="shared" si="4"/>
        <v>0</v>
      </c>
      <c r="N79" s="137">
        <f t="shared" si="5"/>
        <v>1.3800000000000003</v>
      </c>
      <c r="O79" s="137">
        <f t="shared" si="6"/>
        <v>5</v>
      </c>
      <c r="P79" s="140">
        <f>IF(OR(M79=0,M79=3),loop_gain!$B$18,IF(Current_limit!M79=1,Current_limit!$B$12/(2*(Current_limit!N79-Helper_calcs!$B$27)),IF(OR(M79=2,M79=23),(Main!$B$19-Current_limit!O79)*Current_limit!O79/(Main!$B$19*loop_gain!$B$17*(Helper_calcs!$B$26-Helper_calcs!$B$27)),x)))</f>
        <v>400000</v>
      </c>
      <c r="Q79" s="137"/>
    </row>
    <row r="80" spans="1:17" x14ac:dyDescent="0.25">
      <c r="A80">
        <f t="shared" si="8"/>
        <v>1.3900000000000003</v>
      </c>
      <c r="B80">
        <f>Main!$B$20/A80</f>
        <v>3.5971223021582723</v>
      </c>
      <c r="D80" s="137">
        <f t="shared" si="0"/>
        <v>3.5971223021582723</v>
      </c>
      <c r="E80" s="137">
        <f>-B80*Main!$B$19-2*Main!$B$19*loop_gain!$B$17*loop_gain!$B$18</f>
        <v>-108.44546762589925</v>
      </c>
      <c r="F80" s="137">
        <f>2*Main!$B$19*loop_gain!$B$17*loop_gain!$B$18*Helper_calcs!$B$26*Current_limit!B80</f>
        <v>904.05755395683411</v>
      </c>
      <c r="G80" s="137" t="e">
        <f t="shared" si="2"/>
        <v>#NUM!</v>
      </c>
      <c r="H80" s="137" t="e">
        <f>(Main!$B$19-Current_limit!G80)*Current_limit!G80/(Main!$B$19*loop_gain!$B$17*loop_gain!$B$18)</f>
        <v>#NUM!</v>
      </c>
      <c r="I80" s="137" t="e">
        <f t="shared" si="3"/>
        <v>#NUM!</v>
      </c>
      <c r="J80" s="137"/>
      <c r="K80" s="138">
        <f>IF(A80&gt;$B$15,IF(I80&gt;Helper_calcs!$B$27,23,3),0)</f>
        <v>0</v>
      </c>
      <c r="L80" s="139">
        <f t="shared" si="1"/>
        <v>0</v>
      </c>
      <c r="M80" s="139">
        <f t="shared" si="4"/>
        <v>0</v>
      </c>
      <c r="N80" s="137">
        <f t="shared" si="5"/>
        <v>1.3900000000000003</v>
      </c>
      <c r="O80" s="137">
        <f t="shared" si="6"/>
        <v>5</v>
      </c>
      <c r="P80" s="140">
        <f>IF(OR(M80=0,M80=3),loop_gain!$B$18,IF(Current_limit!M80=1,Current_limit!$B$12/(2*(Current_limit!N80-Helper_calcs!$B$27)),IF(OR(M80=2,M80=23),(Main!$B$19-Current_limit!O80)*Current_limit!O80/(Main!$B$19*loop_gain!$B$17*(Helper_calcs!$B$26-Helper_calcs!$B$27)),x)))</f>
        <v>400000</v>
      </c>
      <c r="Q80" s="137"/>
    </row>
    <row r="81" spans="1:17" x14ac:dyDescent="0.25">
      <c r="A81">
        <f t="shared" si="8"/>
        <v>1.4000000000000004</v>
      </c>
      <c r="B81">
        <f>Main!$B$20/A81</f>
        <v>3.5714285714285707</v>
      </c>
      <c r="D81" s="137">
        <f t="shared" si="0"/>
        <v>3.5714285714285707</v>
      </c>
      <c r="E81" s="137">
        <f>-B81*Main!$B$19-2*Main!$B$19*loop_gain!$B$17*loop_gain!$B$18</f>
        <v>-108.13714285714283</v>
      </c>
      <c r="F81" s="137">
        <f>2*Main!$B$19*loop_gain!$B$17*loop_gain!$B$18*Helper_calcs!$B$26*Current_limit!B81</f>
        <v>897.59999999999968</v>
      </c>
      <c r="G81" s="137" t="e">
        <f t="shared" si="2"/>
        <v>#NUM!</v>
      </c>
      <c r="H81" s="137" t="e">
        <f>(Main!$B$19-Current_limit!G81)*Current_limit!G81/(Main!$B$19*loop_gain!$B$17*loop_gain!$B$18)</f>
        <v>#NUM!</v>
      </c>
      <c r="I81" s="137" t="e">
        <f t="shared" si="3"/>
        <v>#NUM!</v>
      </c>
      <c r="J81" s="137"/>
      <c r="K81" s="138">
        <f>IF(A81&gt;$B$15,IF(I81&gt;Helper_calcs!$B$27,23,3),0)</f>
        <v>0</v>
      </c>
      <c r="L81" s="139">
        <f t="shared" si="1"/>
        <v>0</v>
      </c>
      <c r="M81" s="139">
        <f t="shared" si="4"/>
        <v>0</v>
      </c>
      <c r="N81" s="137">
        <f t="shared" si="5"/>
        <v>1.4000000000000004</v>
      </c>
      <c r="O81" s="137">
        <f t="shared" si="6"/>
        <v>5</v>
      </c>
      <c r="P81" s="140">
        <f>IF(OR(M81=0,M81=3),loop_gain!$B$18,IF(Current_limit!M81=1,Current_limit!$B$12/(2*(Current_limit!N81-Helper_calcs!$B$27)),IF(OR(M81=2,M81=23),(Main!$B$19-Current_limit!O81)*Current_limit!O81/(Main!$B$19*loop_gain!$B$17*(Helper_calcs!$B$26-Helper_calcs!$B$27)),x)))</f>
        <v>400000</v>
      </c>
      <c r="Q81" s="137"/>
    </row>
    <row r="82" spans="1:17" x14ac:dyDescent="0.25">
      <c r="A82">
        <f t="shared" si="8"/>
        <v>1.4100000000000004</v>
      </c>
      <c r="B82">
        <f>Main!$B$20/A82</f>
        <v>3.5460992907801407</v>
      </c>
      <c r="D82" s="137">
        <f t="shared" si="0"/>
        <v>3.5460992907801407</v>
      </c>
      <c r="E82" s="137">
        <f>-B82*Main!$B$19-2*Main!$B$19*loop_gain!$B$17*loop_gain!$B$18</f>
        <v>-107.83319148936167</v>
      </c>
      <c r="F82" s="137">
        <f>2*Main!$B$19*loop_gain!$B$17*loop_gain!$B$18*Helper_calcs!$B$26*Current_limit!B82</f>
        <v>891.23404255319099</v>
      </c>
      <c r="G82" s="137" t="e">
        <f t="shared" si="2"/>
        <v>#NUM!</v>
      </c>
      <c r="H82" s="137" t="e">
        <f>(Main!$B$19-Current_limit!G82)*Current_limit!G82/(Main!$B$19*loop_gain!$B$17*loop_gain!$B$18)</f>
        <v>#NUM!</v>
      </c>
      <c r="I82" s="137" t="e">
        <f t="shared" si="3"/>
        <v>#NUM!</v>
      </c>
      <c r="J82" s="137"/>
      <c r="K82" s="138">
        <f>IF(A82&gt;$B$15,IF(I82&gt;Helper_calcs!$B$27,23,3),0)</f>
        <v>0</v>
      </c>
      <c r="L82" s="139">
        <f t="shared" si="1"/>
        <v>0</v>
      </c>
      <c r="M82" s="139">
        <f t="shared" si="4"/>
        <v>0</v>
      </c>
      <c r="N82" s="137">
        <f t="shared" si="5"/>
        <v>1.4100000000000004</v>
      </c>
      <c r="O82" s="137">
        <f t="shared" si="6"/>
        <v>5</v>
      </c>
      <c r="P82" s="140">
        <f>IF(OR(M82=0,M82=3),loop_gain!$B$18,IF(Current_limit!M82=1,Current_limit!$B$12/(2*(Current_limit!N82-Helper_calcs!$B$27)),IF(OR(M82=2,M82=23),(Main!$B$19-Current_limit!O82)*Current_limit!O82/(Main!$B$19*loop_gain!$B$17*(Helper_calcs!$B$26-Helper_calcs!$B$27)),x)))</f>
        <v>400000</v>
      </c>
      <c r="Q82" s="137"/>
    </row>
    <row r="83" spans="1:17" x14ac:dyDescent="0.25">
      <c r="A83">
        <f t="shared" si="8"/>
        <v>1.4200000000000004</v>
      </c>
      <c r="B83">
        <f>Main!$B$20/A83</f>
        <v>3.5211267605633791</v>
      </c>
      <c r="D83" s="137">
        <f t="shared" si="0"/>
        <v>3.5211267605633791</v>
      </c>
      <c r="E83" s="137">
        <f>-B83*Main!$B$19-2*Main!$B$19*loop_gain!$B$17*loop_gain!$B$18</f>
        <v>-107.53352112676053</v>
      </c>
      <c r="F83" s="137">
        <f>2*Main!$B$19*loop_gain!$B$17*loop_gain!$B$18*Helper_calcs!$B$26*Current_limit!B83</f>
        <v>884.95774647887276</v>
      </c>
      <c r="G83" s="137" t="e">
        <f t="shared" si="2"/>
        <v>#NUM!</v>
      </c>
      <c r="H83" s="137" t="e">
        <f>(Main!$B$19-Current_limit!G83)*Current_limit!G83/(Main!$B$19*loop_gain!$B$17*loop_gain!$B$18)</f>
        <v>#NUM!</v>
      </c>
      <c r="I83" s="137" t="e">
        <f t="shared" si="3"/>
        <v>#NUM!</v>
      </c>
      <c r="J83" s="137"/>
      <c r="K83" s="138">
        <f>IF(A83&gt;$B$15,IF(I83&gt;Helper_calcs!$B$27,23,3),0)</f>
        <v>0</v>
      </c>
      <c r="L83" s="139">
        <f t="shared" si="1"/>
        <v>0</v>
      </c>
      <c r="M83" s="139">
        <f t="shared" si="4"/>
        <v>0</v>
      </c>
      <c r="N83" s="137">
        <f t="shared" si="5"/>
        <v>1.4200000000000004</v>
      </c>
      <c r="O83" s="137">
        <f t="shared" si="6"/>
        <v>5</v>
      </c>
      <c r="P83" s="140">
        <f>IF(OR(M83=0,M83=3),loop_gain!$B$18,IF(Current_limit!M83=1,Current_limit!$B$12/(2*(Current_limit!N83-Helper_calcs!$B$27)),IF(OR(M83=2,M83=23),(Main!$B$19-Current_limit!O83)*Current_limit!O83/(Main!$B$19*loop_gain!$B$17*(Helper_calcs!$B$26-Helper_calcs!$B$27)),x)))</f>
        <v>400000</v>
      </c>
      <c r="Q83" s="137"/>
    </row>
    <row r="84" spans="1:17" x14ac:dyDescent="0.25">
      <c r="A84">
        <f t="shared" si="8"/>
        <v>1.4300000000000004</v>
      </c>
      <c r="B84">
        <f>Main!$B$20/A84</f>
        <v>3.4965034965034958</v>
      </c>
      <c r="D84" s="137">
        <f t="shared" si="0"/>
        <v>3.4965034965034958</v>
      </c>
      <c r="E84" s="137">
        <f>-B84*Main!$B$19-2*Main!$B$19*loop_gain!$B$17*loop_gain!$B$18</f>
        <v>-107.23804195804193</v>
      </c>
      <c r="F84" s="137">
        <f>2*Main!$B$19*loop_gain!$B$17*loop_gain!$B$18*Helper_calcs!$B$26*Current_limit!B84</f>
        <v>878.76923076923038</v>
      </c>
      <c r="G84" s="137" t="e">
        <f t="shared" si="2"/>
        <v>#NUM!</v>
      </c>
      <c r="H84" s="137" t="e">
        <f>(Main!$B$19-Current_limit!G84)*Current_limit!G84/(Main!$B$19*loop_gain!$B$17*loop_gain!$B$18)</f>
        <v>#NUM!</v>
      </c>
      <c r="I84" s="137" t="e">
        <f t="shared" si="3"/>
        <v>#NUM!</v>
      </c>
      <c r="J84" s="137"/>
      <c r="K84" s="138">
        <f>IF(A84&gt;$B$15,IF(I84&gt;Helper_calcs!$B$27,23,3),0)</f>
        <v>0</v>
      </c>
      <c r="L84" s="139">
        <f t="shared" si="1"/>
        <v>0</v>
      </c>
      <c r="M84" s="139">
        <f t="shared" si="4"/>
        <v>0</v>
      </c>
      <c r="N84" s="137">
        <f t="shared" si="5"/>
        <v>1.4300000000000004</v>
      </c>
      <c r="O84" s="137">
        <f t="shared" si="6"/>
        <v>5</v>
      </c>
      <c r="P84" s="140">
        <f>IF(OR(M84=0,M84=3),loop_gain!$B$18,IF(Current_limit!M84=1,Current_limit!$B$12/(2*(Current_limit!N84-Helper_calcs!$B$27)),IF(OR(M84=2,M84=23),(Main!$B$19-Current_limit!O84)*Current_limit!O84/(Main!$B$19*loop_gain!$B$17*(Helper_calcs!$B$26-Helper_calcs!$B$27)),x)))</f>
        <v>400000</v>
      </c>
      <c r="Q84" s="137"/>
    </row>
    <row r="85" spans="1:17" x14ac:dyDescent="0.25">
      <c r="A85">
        <f t="shared" si="8"/>
        <v>1.4400000000000004</v>
      </c>
      <c r="B85">
        <f>Main!$B$20/A85</f>
        <v>3.4722222222222214</v>
      </c>
      <c r="D85" s="137">
        <f t="shared" si="0"/>
        <v>3.4722222222222214</v>
      </c>
      <c r="E85" s="137">
        <f>-B85*Main!$B$19-2*Main!$B$19*loop_gain!$B$17*loop_gain!$B$18</f>
        <v>-106.94666666666664</v>
      </c>
      <c r="F85" s="137">
        <f>2*Main!$B$19*loop_gain!$B$17*loop_gain!$B$18*Helper_calcs!$B$26*Current_limit!B85</f>
        <v>872.66666666666629</v>
      </c>
      <c r="G85" s="137" t="e">
        <f t="shared" si="2"/>
        <v>#NUM!</v>
      </c>
      <c r="H85" s="137" t="e">
        <f>(Main!$B$19-Current_limit!G85)*Current_limit!G85/(Main!$B$19*loop_gain!$B$17*loop_gain!$B$18)</f>
        <v>#NUM!</v>
      </c>
      <c r="I85" s="137" t="e">
        <f t="shared" si="3"/>
        <v>#NUM!</v>
      </c>
      <c r="J85" s="137"/>
      <c r="K85" s="138">
        <f>IF(A85&gt;$B$15,IF(I85&gt;Helper_calcs!$B$27,23,3),0)</f>
        <v>0</v>
      </c>
      <c r="L85" s="139">
        <f t="shared" si="1"/>
        <v>0</v>
      </c>
      <c r="M85" s="139">
        <f t="shared" si="4"/>
        <v>0</v>
      </c>
      <c r="N85" s="137">
        <f t="shared" si="5"/>
        <v>1.4400000000000004</v>
      </c>
      <c r="O85" s="137">
        <f t="shared" si="6"/>
        <v>5</v>
      </c>
      <c r="P85" s="140">
        <f>IF(OR(M85=0,M85=3),loop_gain!$B$18,IF(Current_limit!M85=1,Current_limit!$B$12/(2*(Current_limit!N85-Helper_calcs!$B$27)),IF(OR(M85=2,M85=23),(Main!$B$19-Current_limit!O85)*Current_limit!O85/(Main!$B$19*loop_gain!$B$17*(Helper_calcs!$B$26-Helper_calcs!$B$27)),x)))</f>
        <v>400000</v>
      </c>
      <c r="Q85" s="137"/>
    </row>
    <row r="86" spans="1:17" x14ac:dyDescent="0.25">
      <c r="A86">
        <f t="shared" si="8"/>
        <v>1.4500000000000004</v>
      </c>
      <c r="B86">
        <f>Main!$B$20/A86</f>
        <v>3.4482758620689644</v>
      </c>
      <c r="D86" s="137">
        <f t="shared" si="0"/>
        <v>3.4482758620689644</v>
      </c>
      <c r="E86" s="137">
        <f>-B86*Main!$B$19-2*Main!$B$19*loop_gain!$B$17*loop_gain!$B$18</f>
        <v>-106.65931034482756</v>
      </c>
      <c r="F86" s="137">
        <f>2*Main!$B$19*loop_gain!$B$17*loop_gain!$B$18*Helper_calcs!$B$26*Current_limit!B86</f>
        <v>866.64827586206854</v>
      </c>
      <c r="G86" s="137" t="e">
        <f t="shared" si="2"/>
        <v>#NUM!</v>
      </c>
      <c r="H86" s="137" t="e">
        <f>(Main!$B$19-Current_limit!G86)*Current_limit!G86/(Main!$B$19*loop_gain!$B$17*loop_gain!$B$18)</f>
        <v>#NUM!</v>
      </c>
      <c r="I86" s="137" t="e">
        <f t="shared" si="3"/>
        <v>#NUM!</v>
      </c>
      <c r="J86" s="137"/>
      <c r="K86" s="138">
        <f>IF(A86&gt;$B$15,IF(I86&gt;Helper_calcs!$B$27,23,3),0)</f>
        <v>0</v>
      </c>
      <c r="L86" s="139">
        <f t="shared" si="1"/>
        <v>0</v>
      </c>
      <c r="M86" s="139">
        <f t="shared" si="4"/>
        <v>0</v>
      </c>
      <c r="N86" s="137">
        <f t="shared" si="5"/>
        <v>1.4500000000000004</v>
      </c>
      <c r="O86" s="137">
        <f t="shared" si="6"/>
        <v>5</v>
      </c>
      <c r="P86" s="140">
        <f>IF(OR(M86=0,M86=3),loop_gain!$B$18,IF(Current_limit!M86=1,Current_limit!$B$12/(2*(Current_limit!N86-Helper_calcs!$B$27)),IF(OR(M86=2,M86=23),(Main!$B$19-Current_limit!O86)*Current_limit!O86/(Main!$B$19*loop_gain!$B$17*(Helper_calcs!$B$26-Helper_calcs!$B$27)),x)))</f>
        <v>400000</v>
      </c>
      <c r="Q86" s="137"/>
    </row>
    <row r="87" spans="1:17" x14ac:dyDescent="0.25">
      <c r="A87">
        <f t="shared" si="8"/>
        <v>1.4600000000000004</v>
      </c>
      <c r="B87">
        <f>Main!$B$20/A87</f>
        <v>3.4246575342465744</v>
      </c>
      <c r="D87" s="137">
        <f t="shared" ref="D87:D150" si="9">B87</f>
        <v>3.4246575342465744</v>
      </c>
      <c r="E87" s="137">
        <f>-B87*Main!$B$19-2*Main!$B$19*loop_gain!$B$17*loop_gain!$B$18</f>
        <v>-106.37589041095887</v>
      </c>
      <c r="F87" s="137">
        <f>2*Main!$B$19*loop_gain!$B$17*loop_gain!$B$18*Helper_calcs!$B$26*Current_limit!B87</f>
        <v>860.71232876712281</v>
      </c>
      <c r="G87" s="137" t="e">
        <f t="shared" si="2"/>
        <v>#NUM!</v>
      </c>
      <c r="H87" s="137" t="e">
        <f>(Main!$B$19-Current_limit!G87)*Current_limit!G87/(Main!$B$19*loop_gain!$B$17*loop_gain!$B$18)</f>
        <v>#NUM!</v>
      </c>
      <c r="I87" s="137" t="e">
        <f t="shared" si="3"/>
        <v>#NUM!</v>
      </c>
      <c r="J87" s="137"/>
      <c r="K87" s="138">
        <f>IF(A87&gt;$B$15,IF(I87&gt;Helper_calcs!$B$27,23,3),0)</f>
        <v>0</v>
      </c>
      <c r="L87" s="139">
        <f t="shared" ref="L87:L150" si="10">IF(A87&gt;$B$13,IF(A87&gt;$B$14,2,1),0)</f>
        <v>0</v>
      </c>
      <c r="M87" s="139">
        <f t="shared" si="4"/>
        <v>0</v>
      </c>
      <c r="N87" s="137">
        <f t="shared" si="5"/>
        <v>1.4600000000000004</v>
      </c>
      <c r="O87" s="137">
        <f t="shared" si="6"/>
        <v>5</v>
      </c>
      <c r="P87" s="140">
        <f>IF(OR(M87=0,M87=3),loop_gain!$B$18,IF(Current_limit!M87=1,Current_limit!$B$12/(2*(Current_limit!N87-Helper_calcs!$B$27)),IF(OR(M87=2,M87=23),(Main!$B$19-Current_limit!O87)*Current_limit!O87/(Main!$B$19*loop_gain!$B$17*(Helper_calcs!$B$26-Helper_calcs!$B$27)),x)))</f>
        <v>400000</v>
      </c>
      <c r="Q87" s="137"/>
    </row>
    <row r="88" spans="1:17" x14ac:dyDescent="0.25">
      <c r="A88">
        <f t="shared" si="8"/>
        <v>1.4700000000000004</v>
      </c>
      <c r="B88">
        <f>Main!$B$20/A88</f>
        <v>3.401360544217686</v>
      </c>
      <c r="D88" s="137">
        <f t="shared" si="9"/>
        <v>3.401360544217686</v>
      </c>
      <c r="E88" s="137">
        <f>-B88*Main!$B$19-2*Main!$B$19*loop_gain!$B$17*loop_gain!$B$18</f>
        <v>-106.09632653061222</v>
      </c>
      <c r="F88" s="137">
        <f>2*Main!$B$19*loop_gain!$B$17*loop_gain!$B$18*Helper_calcs!$B$26*Current_limit!B88</f>
        <v>854.85714285714243</v>
      </c>
      <c r="G88" s="137" t="e">
        <f t="shared" ref="G88:G151" si="11">(-E88-SQRT(E88^2-4*D88*F88))/(2*D88)</f>
        <v>#NUM!</v>
      </c>
      <c r="H88" s="137" t="e">
        <f>(Main!$B$19-Current_limit!G88)*Current_limit!G88/(Main!$B$19*loop_gain!$B$17*loop_gain!$B$18)</f>
        <v>#NUM!</v>
      </c>
      <c r="I88" s="137" t="e">
        <f t="shared" ref="I88:I151" si="12">(G88/B88)-0.5*H88</f>
        <v>#NUM!</v>
      </c>
      <c r="J88" s="137"/>
      <c r="K88" s="138">
        <f>IF(A88&gt;$B$15,IF(I88&gt;Helper_calcs!$B$27,23,3),0)</f>
        <v>0</v>
      </c>
      <c r="L88" s="139">
        <f t="shared" si="10"/>
        <v>0</v>
      </c>
      <c r="M88" s="139">
        <f t="shared" ref="M88:M151" si="13">IF($B$16="N",L88,K88)</f>
        <v>0</v>
      </c>
      <c r="N88" s="137">
        <f t="shared" ref="N88:N151" si="14">IF(OR(M88=0,M88=1),A88,IF(OR(M88=2,M88=23),$B$14,G88/B88))</f>
        <v>1.4700000000000004</v>
      </c>
      <c r="O88" s="137">
        <f t="shared" ref="O88:O151" si="15">N88*B88</f>
        <v>5</v>
      </c>
      <c r="P88" s="140">
        <f>IF(OR(M88=0,M88=3),loop_gain!$B$18,IF(Current_limit!M88=1,Current_limit!$B$12/(2*(Current_limit!N88-Helper_calcs!$B$27)),IF(OR(M88=2,M88=23),(Main!$B$19-Current_limit!O88)*Current_limit!O88/(Main!$B$19*loop_gain!$B$17*(Helper_calcs!$B$26-Helper_calcs!$B$27)),x)))</f>
        <v>400000</v>
      </c>
      <c r="Q88" s="137"/>
    </row>
    <row r="89" spans="1:17" x14ac:dyDescent="0.25">
      <c r="A89">
        <f t="shared" si="8"/>
        <v>1.4800000000000004</v>
      </c>
      <c r="B89">
        <f>Main!$B$20/A89</f>
        <v>3.3783783783783776</v>
      </c>
      <c r="D89" s="137">
        <f t="shared" si="9"/>
        <v>3.3783783783783776</v>
      </c>
      <c r="E89" s="137">
        <f>-B89*Main!$B$19-2*Main!$B$19*loop_gain!$B$17*loop_gain!$B$18</f>
        <v>-105.82054054054052</v>
      </c>
      <c r="F89" s="137">
        <f>2*Main!$B$19*loop_gain!$B$17*loop_gain!$B$18*Helper_calcs!$B$26*Current_limit!B89</f>
        <v>849.0810810810807</v>
      </c>
      <c r="G89" s="137" t="e">
        <f t="shared" si="11"/>
        <v>#NUM!</v>
      </c>
      <c r="H89" s="137" t="e">
        <f>(Main!$B$19-Current_limit!G89)*Current_limit!G89/(Main!$B$19*loop_gain!$B$17*loop_gain!$B$18)</f>
        <v>#NUM!</v>
      </c>
      <c r="I89" s="137" t="e">
        <f t="shared" si="12"/>
        <v>#NUM!</v>
      </c>
      <c r="J89" s="137"/>
      <c r="K89" s="138">
        <f>IF(A89&gt;$B$15,IF(I89&gt;Helper_calcs!$B$27,23,3),0)</f>
        <v>0</v>
      </c>
      <c r="L89" s="139">
        <f t="shared" si="10"/>
        <v>0</v>
      </c>
      <c r="M89" s="139">
        <f t="shared" si="13"/>
        <v>0</v>
      </c>
      <c r="N89" s="137">
        <f t="shared" si="14"/>
        <v>1.4800000000000004</v>
      </c>
      <c r="O89" s="137">
        <f t="shared" si="15"/>
        <v>5</v>
      </c>
      <c r="P89" s="140">
        <f>IF(OR(M89=0,M89=3),loop_gain!$B$18,IF(Current_limit!M89=1,Current_limit!$B$12/(2*(Current_limit!N89-Helper_calcs!$B$27)),IF(OR(M89=2,M89=23),(Main!$B$19-Current_limit!O89)*Current_limit!O89/(Main!$B$19*loop_gain!$B$17*(Helper_calcs!$B$26-Helper_calcs!$B$27)),x)))</f>
        <v>400000</v>
      </c>
      <c r="Q89" s="137"/>
    </row>
    <row r="90" spans="1:17" x14ac:dyDescent="0.25">
      <c r="A90">
        <f t="shared" si="8"/>
        <v>1.4900000000000004</v>
      </c>
      <c r="B90">
        <f>Main!$B$20/A90</f>
        <v>3.3557046979865763</v>
      </c>
      <c r="D90" s="137">
        <f t="shared" si="9"/>
        <v>3.3557046979865763</v>
      </c>
      <c r="E90" s="137">
        <f>-B90*Main!$B$19-2*Main!$B$19*loop_gain!$B$17*loop_gain!$B$18</f>
        <v>-105.5484563758389</v>
      </c>
      <c r="F90" s="137">
        <f>2*Main!$B$19*loop_gain!$B$17*loop_gain!$B$18*Helper_calcs!$B$26*Current_limit!B90</f>
        <v>843.38255033557004</v>
      </c>
      <c r="G90" s="137" t="e">
        <f t="shared" si="11"/>
        <v>#NUM!</v>
      </c>
      <c r="H90" s="137" t="e">
        <f>(Main!$B$19-Current_limit!G90)*Current_limit!G90/(Main!$B$19*loop_gain!$B$17*loop_gain!$B$18)</f>
        <v>#NUM!</v>
      </c>
      <c r="I90" s="137" t="e">
        <f t="shared" si="12"/>
        <v>#NUM!</v>
      </c>
      <c r="J90" s="137"/>
      <c r="K90" s="138">
        <f>IF(A90&gt;$B$15,IF(I90&gt;Helper_calcs!$B$27,23,3),0)</f>
        <v>0</v>
      </c>
      <c r="L90" s="139">
        <f t="shared" si="10"/>
        <v>0</v>
      </c>
      <c r="M90" s="139">
        <f t="shared" si="13"/>
        <v>0</v>
      </c>
      <c r="N90" s="137">
        <f t="shared" si="14"/>
        <v>1.4900000000000004</v>
      </c>
      <c r="O90" s="137">
        <f t="shared" si="15"/>
        <v>5</v>
      </c>
      <c r="P90" s="140">
        <f>IF(OR(M90=0,M90=3),loop_gain!$B$18,IF(Current_limit!M90=1,Current_limit!$B$12/(2*(Current_limit!N90-Helper_calcs!$B$27)),IF(OR(M90=2,M90=23),(Main!$B$19-Current_limit!O90)*Current_limit!O90/(Main!$B$19*loop_gain!$B$17*(Helper_calcs!$B$26-Helper_calcs!$B$27)),x)))</f>
        <v>400000</v>
      </c>
      <c r="Q90" s="137"/>
    </row>
    <row r="91" spans="1:17" x14ac:dyDescent="0.25">
      <c r="A91">
        <f t="shared" si="8"/>
        <v>1.5000000000000004</v>
      </c>
      <c r="B91">
        <f>Main!$B$20/A91</f>
        <v>3.3333333333333321</v>
      </c>
      <c r="D91" s="137">
        <f t="shared" si="9"/>
        <v>3.3333333333333321</v>
      </c>
      <c r="E91" s="137">
        <f>-B91*Main!$B$19-2*Main!$B$19*loop_gain!$B$17*loop_gain!$B$18</f>
        <v>-105.27999999999997</v>
      </c>
      <c r="F91" s="137">
        <f>2*Main!$B$19*loop_gain!$B$17*loop_gain!$B$18*Helper_calcs!$B$26*Current_limit!B91</f>
        <v>837.75999999999954</v>
      </c>
      <c r="G91" s="137" t="e">
        <f t="shared" si="11"/>
        <v>#NUM!</v>
      </c>
      <c r="H91" s="137" t="e">
        <f>(Main!$B$19-Current_limit!G91)*Current_limit!G91/(Main!$B$19*loop_gain!$B$17*loop_gain!$B$18)</f>
        <v>#NUM!</v>
      </c>
      <c r="I91" s="137" t="e">
        <f t="shared" si="12"/>
        <v>#NUM!</v>
      </c>
      <c r="J91" s="137"/>
      <c r="K91" s="138">
        <f>IF(A91&gt;$B$15,IF(I91&gt;Helper_calcs!$B$27,23,3),0)</f>
        <v>0</v>
      </c>
      <c r="L91" s="139">
        <f t="shared" si="10"/>
        <v>0</v>
      </c>
      <c r="M91" s="139">
        <f t="shared" si="13"/>
        <v>0</v>
      </c>
      <c r="N91" s="137">
        <f t="shared" si="14"/>
        <v>1.5000000000000004</v>
      </c>
      <c r="O91" s="137">
        <f t="shared" si="15"/>
        <v>5</v>
      </c>
      <c r="P91" s="140">
        <f>IF(OR(M91=0,M91=3),loop_gain!$B$18,IF(Current_limit!M91=1,Current_limit!$B$12/(2*(Current_limit!N91-Helper_calcs!$B$27)),IF(OR(M91=2,M91=23),(Main!$B$19-Current_limit!O91)*Current_limit!O91/(Main!$B$19*loop_gain!$B$17*(Helper_calcs!$B$26-Helper_calcs!$B$27)),x)))</f>
        <v>400000</v>
      </c>
      <c r="Q91" s="137"/>
    </row>
    <row r="92" spans="1:17" x14ac:dyDescent="0.25">
      <c r="A92">
        <f t="shared" si="8"/>
        <v>1.5100000000000005</v>
      </c>
      <c r="B92">
        <f>Main!$B$20/A92</f>
        <v>3.3112582781456945</v>
      </c>
      <c r="D92" s="137">
        <f t="shared" si="9"/>
        <v>3.3112582781456945</v>
      </c>
      <c r="E92" s="137">
        <f>-B92*Main!$B$19-2*Main!$B$19*loop_gain!$B$17*loop_gain!$B$18</f>
        <v>-105.01509933774832</v>
      </c>
      <c r="F92" s="137">
        <f>2*Main!$B$19*loop_gain!$B$17*loop_gain!$B$18*Helper_calcs!$B$26*Current_limit!B92</f>
        <v>832.21192052980098</v>
      </c>
      <c r="G92" s="137">
        <f t="shared" si="11"/>
        <v>15.503261641153909</v>
      </c>
      <c r="H92" s="137">
        <f>(Main!$B$19-Current_limit!G92)*Current_limit!G92/(Main!$B$19*loop_gain!$B$17*loop_gain!$B$18)</f>
        <v>-1.6639700312569636</v>
      </c>
      <c r="I92" s="137">
        <f t="shared" si="12"/>
        <v>5.5139700312569637</v>
      </c>
      <c r="J92" s="137"/>
      <c r="K92" s="138">
        <f>IF(A92&gt;$B$15,IF(I92&gt;Helper_calcs!$B$27,23,3),0)</f>
        <v>0</v>
      </c>
      <c r="L92" s="139">
        <f t="shared" si="10"/>
        <v>0</v>
      </c>
      <c r="M92" s="139">
        <f t="shared" si="13"/>
        <v>0</v>
      </c>
      <c r="N92" s="137">
        <f t="shared" si="14"/>
        <v>1.5100000000000005</v>
      </c>
      <c r="O92" s="137">
        <f t="shared" si="15"/>
        <v>5</v>
      </c>
      <c r="P92" s="140">
        <f>IF(OR(M92=0,M92=3),loop_gain!$B$18,IF(Current_limit!M92=1,Current_limit!$B$12/(2*(Current_limit!N92-Helper_calcs!$B$27)),IF(OR(M92=2,M92=23),(Main!$B$19-Current_limit!O92)*Current_limit!O92/(Main!$B$19*loop_gain!$B$17*(Helper_calcs!$B$26-Helper_calcs!$B$27)),x)))</f>
        <v>400000</v>
      </c>
      <c r="Q92" s="137"/>
    </row>
    <row r="93" spans="1:17" x14ac:dyDescent="0.25">
      <c r="A93">
        <f t="shared" si="8"/>
        <v>1.5200000000000005</v>
      </c>
      <c r="B93">
        <f>Main!$B$20/A93</f>
        <v>3.2894736842105252</v>
      </c>
      <c r="D93" s="137">
        <f t="shared" si="9"/>
        <v>3.2894736842105252</v>
      </c>
      <c r="E93" s="137">
        <f>-B93*Main!$B$19-2*Main!$B$19*loop_gain!$B$17*loop_gain!$B$18</f>
        <v>-104.75368421052629</v>
      </c>
      <c r="F93" s="137">
        <f>2*Main!$B$19*loop_gain!$B$17*loop_gain!$B$18*Helper_calcs!$B$26*Current_limit!B93</f>
        <v>826.73684210526267</v>
      </c>
      <c r="G93" s="137">
        <f t="shared" si="11"/>
        <v>14.439348297780755</v>
      </c>
      <c r="H93" s="137">
        <f>(Main!$B$19-Current_limit!G93)*Current_limit!G93/(Main!$B$19*loop_gain!$B$17*loop_gain!$B$18)</f>
        <v>-1.0791237650507028</v>
      </c>
      <c r="I93" s="137">
        <f t="shared" si="12"/>
        <v>4.9291237650507025</v>
      </c>
      <c r="J93" s="137"/>
      <c r="K93" s="138">
        <f>IF(A93&gt;$B$15,IF(I93&gt;Helper_calcs!$B$27,23,3),0)</f>
        <v>0</v>
      </c>
      <c r="L93" s="139">
        <f t="shared" si="10"/>
        <v>0</v>
      </c>
      <c r="M93" s="139">
        <f t="shared" si="13"/>
        <v>0</v>
      </c>
      <c r="N93" s="137">
        <f t="shared" si="14"/>
        <v>1.5200000000000005</v>
      </c>
      <c r="O93" s="137">
        <f t="shared" si="15"/>
        <v>5</v>
      </c>
      <c r="P93" s="140">
        <f>IF(OR(M93=0,M93=3),loop_gain!$B$18,IF(Current_limit!M93=1,Current_limit!$B$12/(2*(Current_limit!N93-Helper_calcs!$B$27)),IF(OR(M93=2,M93=23),(Main!$B$19-Current_limit!O93)*Current_limit!O93/(Main!$B$19*loop_gain!$B$17*(Helper_calcs!$B$26-Helper_calcs!$B$27)),x)))</f>
        <v>400000</v>
      </c>
      <c r="Q93" s="137"/>
    </row>
    <row r="94" spans="1:17" x14ac:dyDescent="0.25">
      <c r="A94">
        <f t="shared" si="8"/>
        <v>1.5300000000000005</v>
      </c>
      <c r="B94">
        <f>Main!$B$20/A94</f>
        <v>3.2679738562091494</v>
      </c>
      <c r="D94" s="137">
        <f t="shared" si="9"/>
        <v>3.2679738562091494</v>
      </c>
      <c r="E94" s="137">
        <f>-B94*Main!$B$19-2*Main!$B$19*loop_gain!$B$17*loop_gain!$B$18</f>
        <v>-104.49568627450978</v>
      </c>
      <c r="F94" s="137">
        <f>2*Main!$B$19*loop_gain!$B$17*loop_gain!$B$18*Helper_calcs!$B$26*Current_limit!B94</f>
        <v>821.33333333333292</v>
      </c>
      <c r="G94" s="137">
        <f t="shared" si="11"/>
        <v>13.918292255781459</v>
      </c>
      <c r="H94" s="137">
        <f>(Main!$B$19-Current_limit!G94)*Current_limit!G94/(Main!$B$19*loop_gain!$B$17*loop_gain!$B$18)</f>
        <v>-0.81799486053825476</v>
      </c>
      <c r="I94" s="137">
        <f t="shared" si="12"/>
        <v>4.6679948605382551</v>
      </c>
      <c r="J94" s="137"/>
      <c r="K94" s="138">
        <f>IF(A94&gt;$B$15,IF(I94&gt;Helper_calcs!$B$27,23,3),0)</f>
        <v>0</v>
      </c>
      <c r="L94" s="139">
        <f t="shared" si="10"/>
        <v>0</v>
      </c>
      <c r="M94" s="139">
        <f t="shared" si="13"/>
        <v>0</v>
      </c>
      <c r="N94" s="137">
        <f t="shared" si="14"/>
        <v>1.5300000000000005</v>
      </c>
      <c r="O94" s="137">
        <f t="shared" si="15"/>
        <v>5</v>
      </c>
      <c r="P94" s="140">
        <f>IF(OR(M94=0,M94=3),loop_gain!$B$18,IF(Current_limit!M94=1,Current_limit!$B$12/(2*(Current_limit!N94-Helper_calcs!$B$27)),IF(OR(M94=2,M94=23),(Main!$B$19-Current_limit!O94)*Current_limit!O94/(Main!$B$19*loop_gain!$B$17*(Helper_calcs!$B$26-Helper_calcs!$B$27)),x)))</f>
        <v>400000</v>
      </c>
      <c r="Q94" s="137"/>
    </row>
    <row r="95" spans="1:17" x14ac:dyDescent="0.25">
      <c r="A95">
        <f t="shared" si="8"/>
        <v>1.5400000000000005</v>
      </c>
      <c r="B95">
        <f>Main!$B$20/A95</f>
        <v>3.2467532467532458</v>
      </c>
      <c r="D95" s="137">
        <f t="shared" si="9"/>
        <v>3.2467532467532458</v>
      </c>
      <c r="E95" s="137">
        <f>-B95*Main!$B$19-2*Main!$B$19*loop_gain!$B$17*loop_gain!$B$18</f>
        <v>-104.24103896103894</v>
      </c>
      <c r="F95" s="137">
        <f>2*Main!$B$19*loop_gain!$B$17*loop_gain!$B$18*Helper_calcs!$B$26*Current_limit!B95</f>
        <v>815.99999999999955</v>
      </c>
      <c r="G95" s="137">
        <f t="shared" si="11"/>
        <v>13.528310752868624</v>
      </c>
      <c r="H95" s="137">
        <f>(Main!$B$19-Current_limit!G95)*Current_limit!G95/(Main!$B$19*loop_gain!$B$17*loop_gain!$B$18)</f>
        <v>-0.63343942376707563</v>
      </c>
      <c r="I95" s="137">
        <f t="shared" si="12"/>
        <v>4.4834394237670754</v>
      </c>
      <c r="J95" s="137"/>
      <c r="K95" s="138">
        <f>IF(A95&gt;$B$15,IF(I95&gt;Helper_calcs!$B$27,23,3),0)</f>
        <v>0</v>
      </c>
      <c r="L95" s="139">
        <f t="shared" si="10"/>
        <v>0</v>
      </c>
      <c r="M95" s="139">
        <f t="shared" si="13"/>
        <v>0</v>
      </c>
      <c r="N95" s="137">
        <f t="shared" si="14"/>
        <v>1.5400000000000005</v>
      </c>
      <c r="O95" s="137">
        <f t="shared" si="15"/>
        <v>5</v>
      </c>
      <c r="P95" s="140">
        <f>IF(OR(M95=0,M95=3),loop_gain!$B$18,IF(Current_limit!M95=1,Current_limit!$B$12/(2*(Current_limit!N95-Helper_calcs!$B$27)),IF(OR(M95=2,M95=23),(Main!$B$19-Current_limit!O95)*Current_limit!O95/(Main!$B$19*loop_gain!$B$17*(Helper_calcs!$B$26-Helper_calcs!$B$27)),x)))</f>
        <v>400000</v>
      </c>
      <c r="Q95" s="137"/>
    </row>
    <row r="96" spans="1:17" x14ac:dyDescent="0.25">
      <c r="A96">
        <f t="shared" si="8"/>
        <v>1.5500000000000005</v>
      </c>
      <c r="B96">
        <f>Main!$B$20/A96</f>
        <v>3.2258064516129021</v>
      </c>
      <c r="D96" s="137">
        <f t="shared" si="9"/>
        <v>3.2258064516129021</v>
      </c>
      <c r="E96" s="137">
        <f>-B96*Main!$B$19-2*Main!$B$19*loop_gain!$B$17*loop_gain!$B$18</f>
        <v>-103.98967741935482</v>
      </c>
      <c r="F96" s="137">
        <f>2*Main!$B$19*loop_gain!$B$17*loop_gain!$B$18*Helper_calcs!$B$26*Current_limit!B96</f>
        <v>810.7354838709673</v>
      </c>
      <c r="G96" s="137">
        <f t="shared" si="11"/>
        <v>13.207245837129181</v>
      </c>
      <c r="H96" s="137">
        <f>(Main!$B$19-Current_limit!G96)*Current_limit!G96/(Main!$B$19*loop_gain!$B$17*loop_gain!$B$18)</f>
        <v>-0.48849241902009516</v>
      </c>
      <c r="I96" s="137">
        <f t="shared" si="12"/>
        <v>4.3384924190200955</v>
      </c>
      <c r="J96" s="137"/>
      <c r="K96" s="138">
        <f>IF(A96&gt;$B$15,IF(I96&gt;Helper_calcs!$B$27,23,3),0)</f>
        <v>0</v>
      </c>
      <c r="L96" s="139">
        <f t="shared" si="10"/>
        <v>0</v>
      </c>
      <c r="M96" s="139">
        <f t="shared" si="13"/>
        <v>0</v>
      </c>
      <c r="N96" s="137">
        <f t="shared" si="14"/>
        <v>1.5500000000000005</v>
      </c>
      <c r="O96" s="137">
        <f t="shared" si="15"/>
        <v>5</v>
      </c>
      <c r="P96" s="140">
        <f>IF(OR(M96=0,M96=3),loop_gain!$B$18,IF(Current_limit!M96=1,Current_limit!$B$12/(2*(Current_limit!N96-Helper_calcs!$B$27)),IF(OR(M96=2,M96=23),(Main!$B$19-Current_limit!O96)*Current_limit!O96/(Main!$B$19*loop_gain!$B$17*(Helper_calcs!$B$26-Helper_calcs!$B$27)),x)))</f>
        <v>400000</v>
      </c>
      <c r="Q96" s="137"/>
    </row>
    <row r="97" spans="1:17" x14ac:dyDescent="0.25">
      <c r="A97">
        <f t="shared" ref="A97:A160" si="16">A96+0.01</f>
        <v>1.5600000000000005</v>
      </c>
      <c r="B97">
        <f>Main!$B$20/A97</f>
        <v>3.205128205128204</v>
      </c>
      <c r="D97" s="137">
        <f t="shared" si="9"/>
        <v>3.205128205128204</v>
      </c>
      <c r="E97" s="137">
        <f>-B97*Main!$B$19-2*Main!$B$19*loop_gain!$B$17*loop_gain!$B$18</f>
        <v>-103.74153846153843</v>
      </c>
      <c r="F97" s="137">
        <f>2*Main!$B$19*loop_gain!$B$17*loop_gain!$B$18*Helper_calcs!$B$26*Current_limit!B97</f>
        <v>805.53846153846109</v>
      </c>
      <c r="G97" s="137">
        <f t="shared" si="11"/>
        <v>12.930451089763272</v>
      </c>
      <c r="H97" s="137">
        <f>(Main!$B$19-Current_limit!G97)*Current_limit!G97/(Main!$B$19*loop_gain!$B$17*loop_gain!$B$18)</f>
        <v>-0.36860148001228332</v>
      </c>
      <c r="I97" s="137">
        <f t="shared" si="12"/>
        <v>4.2186014800122846</v>
      </c>
      <c r="J97" s="137"/>
      <c r="K97" s="138">
        <f>IF(A97&gt;$B$15,IF(I97&gt;Helper_calcs!$B$27,23,3),0)</f>
        <v>0</v>
      </c>
      <c r="L97" s="139">
        <f t="shared" si="10"/>
        <v>0</v>
      </c>
      <c r="M97" s="139">
        <f t="shared" si="13"/>
        <v>0</v>
      </c>
      <c r="N97" s="137">
        <f t="shared" si="14"/>
        <v>1.5600000000000005</v>
      </c>
      <c r="O97" s="137">
        <f t="shared" si="15"/>
        <v>5</v>
      </c>
      <c r="P97" s="140">
        <f>IF(OR(M97=0,M97=3),loop_gain!$B$18,IF(Current_limit!M97=1,Current_limit!$B$12/(2*(Current_limit!N97-Helper_calcs!$B$27)),IF(OR(M97=2,M97=23),(Main!$B$19-Current_limit!O97)*Current_limit!O97/(Main!$B$19*loop_gain!$B$17*(Helper_calcs!$B$26-Helper_calcs!$B$27)),x)))</f>
        <v>400000</v>
      </c>
      <c r="Q97" s="137"/>
    </row>
    <row r="98" spans="1:17" x14ac:dyDescent="0.25">
      <c r="A98">
        <f t="shared" si="16"/>
        <v>1.5700000000000005</v>
      </c>
      <c r="B98">
        <f>Main!$B$20/A98</f>
        <v>3.1847133757961772</v>
      </c>
      <c r="D98" s="137">
        <f t="shared" si="9"/>
        <v>3.1847133757961772</v>
      </c>
      <c r="E98" s="137">
        <f>-B98*Main!$B$19-2*Main!$B$19*loop_gain!$B$17*loop_gain!$B$18</f>
        <v>-103.49656050955412</v>
      </c>
      <c r="F98" s="137">
        <f>2*Main!$B$19*loop_gain!$B$17*loop_gain!$B$18*Helper_calcs!$B$26*Current_limit!B98</f>
        <v>800.40764331210141</v>
      </c>
      <c r="G98" s="137">
        <f t="shared" si="11"/>
        <v>12.685155700995896</v>
      </c>
      <c r="H98" s="137">
        <f>(Main!$B$19-Current_limit!G98)*Current_limit!G98/(Main!$B$19*loop_gain!$B$17*loop_gain!$B$18)</f>
        <v>-0.26627778022542681</v>
      </c>
      <c r="I98" s="137">
        <f t="shared" si="12"/>
        <v>4.1162777802254258</v>
      </c>
      <c r="J98" s="137"/>
      <c r="K98" s="138">
        <f>IF(A98&gt;$B$15,IF(I98&gt;Helper_calcs!$B$27,23,3),0)</f>
        <v>0</v>
      </c>
      <c r="L98" s="139">
        <f t="shared" si="10"/>
        <v>0</v>
      </c>
      <c r="M98" s="139">
        <f t="shared" si="13"/>
        <v>0</v>
      </c>
      <c r="N98" s="137">
        <f t="shared" si="14"/>
        <v>1.5700000000000005</v>
      </c>
      <c r="O98" s="137">
        <f t="shared" si="15"/>
        <v>5</v>
      </c>
      <c r="P98" s="140">
        <f>IF(OR(M98=0,M98=3),loop_gain!$B$18,IF(Current_limit!M98=1,Current_limit!$B$12/(2*(Current_limit!N98-Helper_calcs!$B$27)),IF(OR(M98=2,M98=23),(Main!$B$19-Current_limit!O98)*Current_limit!O98/(Main!$B$19*loop_gain!$B$17*(Helper_calcs!$B$26-Helper_calcs!$B$27)),x)))</f>
        <v>400000</v>
      </c>
      <c r="Q98" s="137"/>
    </row>
    <row r="99" spans="1:17" x14ac:dyDescent="0.25">
      <c r="A99">
        <f t="shared" si="16"/>
        <v>1.5800000000000005</v>
      </c>
      <c r="B99">
        <f>Main!$B$20/A99</f>
        <v>3.1645569620253156</v>
      </c>
      <c r="D99" s="137">
        <f t="shared" si="9"/>
        <v>3.1645569620253156</v>
      </c>
      <c r="E99" s="137">
        <f>-B99*Main!$B$19-2*Main!$B$19*loop_gain!$B$17*loop_gain!$B$18</f>
        <v>-103.25468354430377</v>
      </c>
      <c r="F99" s="137">
        <f>2*Main!$B$19*loop_gain!$B$17*loop_gain!$B$18*Helper_calcs!$B$26*Current_limit!B99</f>
        <v>795.34177215189834</v>
      </c>
      <c r="G99" s="137">
        <f t="shared" si="11"/>
        <v>12.463730062654026</v>
      </c>
      <c r="H99" s="137">
        <f>(Main!$B$19-Current_limit!G99)*Current_limit!G99/(Main!$B$19*loop_gain!$B$17*loop_gain!$B$18)</f>
        <v>-0.17707739959734739</v>
      </c>
      <c r="I99" s="137">
        <f t="shared" si="12"/>
        <v>4.0270773995973466</v>
      </c>
      <c r="J99" s="137"/>
      <c r="K99" s="138">
        <f>IF(A99&gt;$B$15,IF(I99&gt;Helper_calcs!$B$27,23,3),0)</f>
        <v>0</v>
      </c>
      <c r="L99" s="139">
        <f t="shared" si="10"/>
        <v>0</v>
      </c>
      <c r="M99" s="139">
        <f t="shared" si="13"/>
        <v>0</v>
      </c>
      <c r="N99" s="137">
        <f t="shared" si="14"/>
        <v>1.5800000000000005</v>
      </c>
      <c r="O99" s="137">
        <f t="shared" si="15"/>
        <v>5</v>
      </c>
      <c r="P99" s="140">
        <f>IF(OR(M99=0,M99=3),loop_gain!$B$18,IF(Current_limit!M99=1,Current_limit!$B$12/(2*(Current_limit!N99-Helper_calcs!$B$27)),IF(OR(M99=2,M99=23),(Main!$B$19-Current_limit!O99)*Current_limit!O99/(Main!$B$19*loop_gain!$B$17*(Helper_calcs!$B$26-Helper_calcs!$B$27)),x)))</f>
        <v>400000</v>
      </c>
      <c r="Q99" s="137"/>
    </row>
    <row r="100" spans="1:17" x14ac:dyDescent="0.25">
      <c r="A100">
        <f t="shared" si="16"/>
        <v>1.5900000000000005</v>
      </c>
      <c r="B100">
        <f>Main!$B$20/A100</f>
        <v>3.1446540880503133</v>
      </c>
      <c r="D100" s="137">
        <f t="shared" si="9"/>
        <v>3.1446540880503133</v>
      </c>
      <c r="E100" s="137">
        <f>-B100*Main!$B$19-2*Main!$B$19*loop_gain!$B$17*loop_gain!$B$18</f>
        <v>-103.01584905660374</v>
      </c>
      <c r="F100" s="137">
        <f>2*Main!$B$19*loop_gain!$B$17*loop_gain!$B$18*Helper_calcs!$B$26*Current_limit!B100</f>
        <v>790.33962264150898</v>
      </c>
      <c r="G100" s="137">
        <f t="shared" si="11"/>
        <v>12.261185939921814</v>
      </c>
      <c r="H100" s="137">
        <f>(Main!$B$19-Current_limit!G100)*Current_limit!G100/(Main!$B$19*loop_gain!$B$17*loop_gain!$B$18)</f>
        <v>-9.8114257790276188E-2</v>
      </c>
      <c r="I100" s="137">
        <f t="shared" si="12"/>
        <v>3.9481142577902766</v>
      </c>
      <c r="J100" s="137"/>
      <c r="K100" s="138">
        <f>IF(A100&gt;$B$15,IF(I100&gt;Helper_calcs!$B$27,23,3),0)</f>
        <v>0</v>
      </c>
      <c r="L100" s="139">
        <f t="shared" si="10"/>
        <v>0</v>
      </c>
      <c r="M100" s="139">
        <f t="shared" si="13"/>
        <v>0</v>
      </c>
      <c r="N100" s="137">
        <f t="shared" si="14"/>
        <v>1.5900000000000005</v>
      </c>
      <c r="O100" s="137">
        <f t="shared" si="15"/>
        <v>5</v>
      </c>
      <c r="P100" s="140">
        <f>IF(OR(M100=0,M100=3),loop_gain!$B$18,IF(Current_limit!M100=1,Current_limit!$B$12/(2*(Current_limit!N100-Helper_calcs!$B$27)),IF(OR(M100=2,M100=23),(Main!$B$19-Current_limit!O100)*Current_limit!O100/(Main!$B$19*loop_gain!$B$17*(Helper_calcs!$B$26-Helper_calcs!$B$27)),x)))</f>
        <v>400000</v>
      </c>
      <c r="Q100" s="137"/>
    </row>
    <row r="101" spans="1:17" x14ac:dyDescent="0.25">
      <c r="A101">
        <f t="shared" si="16"/>
        <v>1.6000000000000005</v>
      </c>
      <c r="B101">
        <f>Main!$B$20/A101</f>
        <v>3.1249999999999991</v>
      </c>
      <c r="D101" s="137">
        <f t="shared" si="9"/>
        <v>3.1249999999999991</v>
      </c>
      <c r="E101" s="137">
        <f>-B101*Main!$B$19-2*Main!$B$19*loop_gain!$B$17*loop_gain!$B$18</f>
        <v>-102.77999999999997</v>
      </c>
      <c r="F101" s="137">
        <f>2*Main!$B$19*loop_gain!$B$17*loop_gain!$B$18*Helper_calcs!$B$26*Current_limit!B101</f>
        <v>785.39999999999964</v>
      </c>
      <c r="G101" s="137">
        <f t="shared" si="11"/>
        <v>12.074050974947193</v>
      </c>
      <c r="H101" s="137">
        <f>(Main!$B$19-Current_limit!G101)*Current_limit!G101/(Main!$B$19*loop_gain!$B$17*loop_gain!$B$18)</f>
        <v>-2.7392623966205426E-2</v>
      </c>
      <c r="I101" s="137">
        <f t="shared" si="12"/>
        <v>3.8773926239662058</v>
      </c>
      <c r="J101" s="137"/>
      <c r="K101" s="138">
        <f>IF(A101&gt;$B$15,IF(I101&gt;Helper_calcs!$B$27,23,3),0)</f>
        <v>0</v>
      </c>
      <c r="L101" s="139">
        <f t="shared" si="10"/>
        <v>0</v>
      </c>
      <c r="M101" s="139">
        <f t="shared" si="13"/>
        <v>0</v>
      </c>
      <c r="N101" s="137">
        <f t="shared" si="14"/>
        <v>1.6000000000000005</v>
      </c>
      <c r="O101" s="137">
        <f t="shared" si="15"/>
        <v>5</v>
      </c>
      <c r="P101" s="140">
        <f>IF(OR(M101=0,M101=3),loop_gain!$B$18,IF(Current_limit!M101=1,Current_limit!$B$12/(2*(Current_limit!N101-Helper_calcs!$B$27)),IF(OR(M101=2,M101=23),(Main!$B$19-Current_limit!O101)*Current_limit!O101/(Main!$B$19*loop_gain!$B$17*(Helper_calcs!$B$26-Helper_calcs!$B$27)),x)))</f>
        <v>400000</v>
      </c>
      <c r="Q101" s="137"/>
    </row>
    <row r="102" spans="1:17" x14ac:dyDescent="0.25">
      <c r="A102">
        <f t="shared" si="16"/>
        <v>1.6100000000000005</v>
      </c>
      <c r="B102">
        <f>Main!$B$20/A102</f>
        <v>3.1055900621118</v>
      </c>
      <c r="D102" s="137">
        <f t="shared" si="9"/>
        <v>3.1055900621118</v>
      </c>
      <c r="E102" s="137">
        <f>-B102*Main!$B$19-2*Main!$B$19*loop_gain!$B$17*loop_gain!$B$18</f>
        <v>-102.54708074534159</v>
      </c>
      <c r="F102" s="137">
        <f>2*Main!$B$19*loop_gain!$B$17*loop_gain!$B$18*Helper_calcs!$B$26*Current_limit!B102</f>
        <v>780.5217391304343</v>
      </c>
      <c r="G102" s="137">
        <f t="shared" si="11"/>
        <v>11.899793500616246</v>
      </c>
      <c r="H102" s="137">
        <f>(Main!$B$19-Current_limit!G102)*Current_limit!G102/(Main!$B$19*loop_gain!$B$17*loop_gain!$B$18)</f>
        <v>3.6532985603134227E-2</v>
      </c>
      <c r="I102" s="137">
        <f t="shared" si="12"/>
        <v>3.8134670143968656</v>
      </c>
      <c r="J102" s="137"/>
      <c r="K102" s="138">
        <f>IF(A102&gt;$B$15,IF(I102&gt;Helper_calcs!$B$27,23,3),0)</f>
        <v>0</v>
      </c>
      <c r="L102" s="139">
        <f t="shared" si="10"/>
        <v>0</v>
      </c>
      <c r="M102" s="139">
        <f t="shared" si="13"/>
        <v>0</v>
      </c>
      <c r="N102" s="137">
        <f t="shared" si="14"/>
        <v>1.6100000000000005</v>
      </c>
      <c r="O102" s="137">
        <f t="shared" si="15"/>
        <v>5</v>
      </c>
      <c r="P102" s="140">
        <f>IF(OR(M102=0,M102=3),loop_gain!$B$18,IF(Current_limit!M102=1,Current_limit!$B$12/(2*(Current_limit!N102-Helper_calcs!$B$27)),IF(OR(M102=2,M102=23),(Main!$B$19-Current_limit!O102)*Current_limit!O102/(Main!$B$19*loop_gain!$B$17*(Helper_calcs!$B$26-Helper_calcs!$B$27)),x)))</f>
        <v>400000</v>
      </c>
      <c r="Q102" s="137"/>
    </row>
    <row r="103" spans="1:17" x14ac:dyDescent="0.25">
      <c r="A103">
        <f t="shared" si="16"/>
        <v>1.6200000000000006</v>
      </c>
      <c r="B103">
        <f>Main!$B$20/A103</f>
        <v>3.0864197530864188</v>
      </c>
      <c r="D103" s="137">
        <f t="shared" si="9"/>
        <v>3.0864197530864188</v>
      </c>
      <c r="E103" s="137">
        <f>-B103*Main!$B$19-2*Main!$B$19*loop_gain!$B$17*loop_gain!$B$18</f>
        <v>-102.31703703703701</v>
      </c>
      <c r="F103" s="137">
        <f>2*Main!$B$19*loop_gain!$B$17*loop_gain!$B$18*Helper_calcs!$B$26*Current_limit!B103</f>
        <v>775.70370370370335</v>
      </c>
      <c r="G103" s="137">
        <f t="shared" si="11"/>
        <v>11.736500720211009</v>
      </c>
      <c r="H103" s="137">
        <f>(Main!$B$19-Current_limit!G103)*Current_limit!G103/(Main!$B$19*loop_gain!$B$17*loop_gain!$B$18)</f>
        <v>9.4747533303265338E-2</v>
      </c>
      <c r="I103" s="137">
        <f t="shared" si="12"/>
        <v>3.7552524666967351</v>
      </c>
      <c r="J103" s="137"/>
      <c r="K103" s="138">
        <f>IF(A103&gt;$B$15,IF(I103&gt;Helper_calcs!$B$27,23,3),0)</f>
        <v>0</v>
      </c>
      <c r="L103" s="139">
        <f t="shared" si="10"/>
        <v>0</v>
      </c>
      <c r="M103" s="139">
        <f t="shared" si="13"/>
        <v>0</v>
      </c>
      <c r="N103" s="137">
        <f t="shared" si="14"/>
        <v>1.6200000000000006</v>
      </c>
      <c r="O103" s="137">
        <f t="shared" si="15"/>
        <v>5</v>
      </c>
      <c r="P103" s="140">
        <f>IF(OR(M103=0,M103=3),loop_gain!$B$18,IF(Current_limit!M103=1,Current_limit!$B$12/(2*(Current_limit!N103-Helper_calcs!$B$27)),IF(OR(M103=2,M103=23),(Main!$B$19-Current_limit!O103)*Current_limit!O103/(Main!$B$19*loop_gain!$B$17*(Helper_calcs!$B$26-Helper_calcs!$B$27)),x)))</f>
        <v>400000</v>
      </c>
      <c r="Q103" s="137"/>
    </row>
    <row r="104" spans="1:17" x14ac:dyDescent="0.25">
      <c r="A104">
        <f t="shared" si="16"/>
        <v>1.6300000000000006</v>
      </c>
      <c r="B104">
        <f>Main!$B$20/A104</f>
        <v>3.0674846625766863</v>
      </c>
      <c r="D104" s="137">
        <f t="shared" si="9"/>
        <v>3.0674846625766863</v>
      </c>
      <c r="E104" s="137">
        <f>-B104*Main!$B$19-2*Main!$B$19*loop_gain!$B$17*loop_gain!$B$18</f>
        <v>-102.08981595092023</v>
      </c>
      <c r="F104" s="137">
        <f>2*Main!$B$19*loop_gain!$B$17*loop_gain!$B$18*Helper_calcs!$B$26*Current_limit!B104</f>
        <v>770.94478527607328</v>
      </c>
      <c r="G104" s="137">
        <f t="shared" si="11"/>
        <v>11.582685906732639</v>
      </c>
      <c r="H104" s="137">
        <f>(Main!$B$19-Current_limit!G104)*Current_limit!G104/(Main!$B$19*loop_gain!$B$17*loop_gain!$B$18)</f>
        <v>0.14808878881031787</v>
      </c>
      <c r="I104" s="137">
        <f t="shared" si="12"/>
        <v>3.7019112111896821</v>
      </c>
      <c r="J104" s="137"/>
      <c r="K104" s="138">
        <f>IF(A104&gt;$B$15,IF(I104&gt;Helper_calcs!$B$27,23,3),0)</f>
        <v>0</v>
      </c>
      <c r="L104" s="139">
        <f t="shared" si="10"/>
        <v>0</v>
      </c>
      <c r="M104" s="139">
        <f t="shared" si="13"/>
        <v>0</v>
      </c>
      <c r="N104" s="137">
        <f t="shared" si="14"/>
        <v>1.6300000000000006</v>
      </c>
      <c r="O104" s="137">
        <f t="shared" si="15"/>
        <v>5</v>
      </c>
      <c r="P104" s="140">
        <f>IF(OR(M104=0,M104=3),loop_gain!$B$18,IF(Current_limit!M104=1,Current_limit!$B$12/(2*(Current_limit!N104-Helper_calcs!$B$27)),IF(OR(M104=2,M104=23),(Main!$B$19-Current_limit!O104)*Current_limit!O104/(Main!$B$19*loop_gain!$B$17*(Helper_calcs!$B$26-Helper_calcs!$B$27)),x)))</f>
        <v>400000</v>
      </c>
      <c r="Q104" s="137"/>
    </row>
    <row r="105" spans="1:17" x14ac:dyDescent="0.25">
      <c r="A105">
        <f t="shared" si="16"/>
        <v>1.6400000000000006</v>
      </c>
      <c r="B105">
        <f>Main!$B$20/A105</f>
        <v>3.0487804878048772</v>
      </c>
      <c r="D105" s="137">
        <f t="shared" si="9"/>
        <v>3.0487804878048772</v>
      </c>
      <c r="E105" s="137">
        <f>-B105*Main!$B$19-2*Main!$B$19*loop_gain!$B$17*loop_gain!$B$18</f>
        <v>-101.86536585365852</v>
      </c>
      <c r="F105" s="137">
        <f>2*Main!$B$19*loop_gain!$B$17*loop_gain!$B$18*Helper_calcs!$B$26*Current_limit!B105</f>
        <v>766.24390243902405</v>
      </c>
      <c r="G105" s="137">
        <f t="shared" si="11"/>
        <v>11.437166537709315</v>
      </c>
      <c r="H105" s="137">
        <f>(Main!$B$19-Current_limit!G105)*Current_limit!G105/(Main!$B$19*loop_gain!$B$17*loop_gain!$B$18)</f>
        <v>0.19721875126268701</v>
      </c>
      <c r="I105" s="137">
        <f t="shared" si="12"/>
        <v>3.6527812487373126</v>
      </c>
      <c r="J105" s="137"/>
      <c r="K105" s="138">
        <f>IF(A105&gt;$B$15,IF(I105&gt;Helper_calcs!$B$27,23,3),0)</f>
        <v>0</v>
      </c>
      <c r="L105" s="139">
        <f t="shared" si="10"/>
        <v>0</v>
      </c>
      <c r="M105" s="139">
        <f t="shared" si="13"/>
        <v>0</v>
      </c>
      <c r="N105" s="137">
        <f t="shared" si="14"/>
        <v>1.6400000000000006</v>
      </c>
      <c r="O105" s="137">
        <f t="shared" si="15"/>
        <v>5</v>
      </c>
      <c r="P105" s="140">
        <f>IF(OR(M105=0,M105=3),loop_gain!$B$18,IF(Current_limit!M105=1,Current_limit!$B$12/(2*(Current_limit!N105-Helper_calcs!$B$27)),IF(OR(M105=2,M105=23),(Main!$B$19-Current_limit!O105)*Current_limit!O105/(Main!$B$19*loop_gain!$B$17*(Helper_calcs!$B$26-Helper_calcs!$B$27)),x)))</f>
        <v>400000</v>
      </c>
      <c r="Q105" s="137"/>
    </row>
    <row r="106" spans="1:17" x14ac:dyDescent="0.25">
      <c r="A106">
        <f t="shared" si="16"/>
        <v>1.6500000000000006</v>
      </c>
      <c r="B106">
        <f>Main!$B$20/A106</f>
        <v>3.0303030303030294</v>
      </c>
      <c r="D106" s="137">
        <f t="shared" si="9"/>
        <v>3.0303030303030294</v>
      </c>
      <c r="E106" s="137">
        <f>-B106*Main!$B$19-2*Main!$B$19*loop_gain!$B$17*loop_gain!$B$18</f>
        <v>-101.64363636363635</v>
      </c>
      <c r="F106" s="137">
        <f>2*Main!$B$19*loop_gain!$B$17*loop_gain!$B$18*Helper_calcs!$B$26*Current_limit!B106</f>
        <v>761.59999999999957</v>
      </c>
      <c r="G106" s="137">
        <f t="shared" si="11"/>
        <v>11.298983863917639</v>
      </c>
      <c r="H106" s="137">
        <f>(Main!$B$19-Current_limit!G106)*Current_limit!G106/(Main!$B$19*loop_gain!$B$17*loop_gain!$B$18)</f>
        <v>0.2426706498143531</v>
      </c>
      <c r="I106" s="137">
        <f t="shared" si="12"/>
        <v>3.6073293501856458</v>
      </c>
      <c r="J106" s="137"/>
      <c r="K106" s="138">
        <f>IF(A106&gt;$B$15,IF(I106&gt;Helper_calcs!$B$27,23,3),0)</f>
        <v>0</v>
      </c>
      <c r="L106" s="139">
        <f t="shared" si="10"/>
        <v>0</v>
      </c>
      <c r="M106" s="139">
        <f t="shared" si="13"/>
        <v>0</v>
      </c>
      <c r="N106" s="137">
        <f t="shared" si="14"/>
        <v>1.6500000000000006</v>
      </c>
      <c r="O106" s="137">
        <f t="shared" si="15"/>
        <v>5</v>
      </c>
      <c r="P106" s="140">
        <f>IF(OR(M106=0,M106=3),loop_gain!$B$18,IF(Current_limit!M106=1,Current_limit!$B$12/(2*(Current_limit!N106-Helper_calcs!$B$27)),IF(OR(M106=2,M106=23),(Main!$B$19-Current_limit!O106)*Current_limit!O106/(Main!$B$19*loop_gain!$B$17*(Helper_calcs!$B$26-Helper_calcs!$B$27)),x)))</f>
        <v>400000</v>
      </c>
      <c r="Q106" s="137"/>
    </row>
    <row r="107" spans="1:17" x14ac:dyDescent="0.25">
      <c r="A107">
        <f t="shared" si="16"/>
        <v>1.6600000000000006</v>
      </c>
      <c r="B107">
        <f>Main!$B$20/A107</f>
        <v>3.0120481927710832</v>
      </c>
      <c r="D107" s="137">
        <f t="shared" si="9"/>
        <v>3.0120481927710832</v>
      </c>
      <c r="E107" s="137">
        <f>-B107*Main!$B$19-2*Main!$B$19*loop_gain!$B$17*loop_gain!$B$18</f>
        <v>-101.42457831325299</v>
      </c>
      <c r="F107" s="137">
        <f>2*Main!$B$19*loop_gain!$B$17*loop_gain!$B$18*Helper_calcs!$B$26*Current_limit!B107</f>
        <v>757.01204819277064</v>
      </c>
      <c r="G107" s="137">
        <f t="shared" si="11"/>
        <v>11.167347897958269</v>
      </c>
      <c r="H107" s="137">
        <f>(Main!$B$19-Current_limit!G107)*Current_limit!G107/(Main!$B$19*loop_gain!$B$17*loop_gain!$B$18)</f>
        <v>0.28488099575570652</v>
      </c>
      <c r="I107" s="137">
        <f t="shared" si="12"/>
        <v>3.5651190042442935</v>
      </c>
      <c r="J107" s="137"/>
      <c r="K107" s="138">
        <f>IF(A107&gt;$B$15,IF(I107&gt;Helper_calcs!$B$27,23,3),0)</f>
        <v>0</v>
      </c>
      <c r="L107" s="139">
        <f t="shared" si="10"/>
        <v>0</v>
      </c>
      <c r="M107" s="139">
        <f t="shared" si="13"/>
        <v>0</v>
      </c>
      <c r="N107" s="137">
        <f t="shared" si="14"/>
        <v>1.6600000000000006</v>
      </c>
      <c r="O107" s="137">
        <f t="shared" si="15"/>
        <v>5</v>
      </c>
      <c r="P107" s="140">
        <f>IF(OR(M107=0,M107=3),loop_gain!$B$18,IF(Current_limit!M107=1,Current_limit!$B$12/(2*(Current_limit!N107-Helper_calcs!$B$27)),IF(OR(M107=2,M107=23),(Main!$B$19-Current_limit!O107)*Current_limit!O107/(Main!$B$19*loop_gain!$B$17*(Helper_calcs!$B$26-Helper_calcs!$B$27)),x)))</f>
        <v>400000</v>
      </c>
      <c r="Q107" s="137"/>
    </row>
    <row r="108" spans="1:17" x14ac:dyDescent="0.25">
      <c r="A108">
        <f t="shared" si="16"/>
        <v>1.6700000000000006</v>
      </c>
      <c r="B108">
        <f>Main!$B$20/A108</f>
        <v>2.9940119760479029</v>
      </c>
      <c r="D108" s="137">
        <f t="shared" si="9"/>
        <v>2.9940119760479029</v>
      </c>
      <c r="E108" s="137">
        <f>-B108*Main!$B$19-2*Main!$B$19*loop_gain!$B$17*loop_gain!$B$18</f>
        <v>-101.20814371257482</v>
      </c>
      <c r="F108" s="137">
        <f>2*Main!$B$19*loop_gain!$B$17*loop_gain!$B$18*Helper_calcs!$B$26*Current_limit!B108</f>
        <v>752.47904191616715</v>
      </c>
      <c r="G108" s="137">
        <f t="shared" si="11"/>
        <v>11.041598645770907</v>
      </c>
      <c r="H108" s="137">
        <f>(Main!$B$19-Current_limit!G108)*Current_limit!G108/(Main!$B$19*loop_gain!$B$17*loop_gain!$B$18)</f>
        <v>0.3242121046250292</v>
      </c>
      <c r="I108" s="137">
        <f t="shared" si="12"/>
        <v>3.5257878953749704</v>
      </c>
      <c r="J108" s="137"/>
      <c r="K108" s="138">
        <f>IF(A108&gt;$B$15,IF(I108&gt;Helper_calcs!$B$27,23,3),0)</f>
        <v>0</v>
      </c>
      <c r="L108" s="139">
        <f t="shared" si="10"/>
        <v>0</v>
      </c>
      <c r="M108" s="139">
        <f t="shared" si="13"/>
        <v>0</v>
      </c>
      <c r="N108" s="137">
        <f t="shared" si="14"/>
        <v>1.6700000000000006</v>
      </c>
      <c r="O108" s="137">
        <f t="shared" si="15"/>
        <v>5</v>
      </c>
      <c r="P108" s="140">
        <f>IF(OR(M108=0,M108=3),loop_gain!$B$18,IF(Current_limit!M108=1,Current_limit!$B$12/(2*(Current_limit!N108-Helper_calcs!$B$27)),IF(OR(M108=2,M108=23),(Main!$B$19-Current_limit!O108)*Current_limit!O108/(Main!$B$19*loop_gain!$B$17*(Helper_calcs!$B$26-Helper_calcs!$B$27)),x)))</f>
        <v>400000</v>
      </c>
      <c r="Q108" s="137"/>
    </row>
    <row r="109" spans="1:17" x14ac:dyDescent="0.25">
      <c r="A109">
        <f t="shared" si="16"/>
        <v>1.6800000000000006</v>
      </c>
      <c r="B109">
        <f>Main!$B$20/A109</f>
        <v>2.9761904761904749</v>
      </c>
      <c r="D109" s="137">
        <f t="shared" si="9"/>
        <v>2.9761904761904749</v>
      </c>
      <c r="E109" s="137">
        <f>-B109*Main!$B$19-2*Main!$B$19*loop_gain!$B$17*loop_gain!$B$18</f>
        <v>-100.9942857142857</v>
      </c>
      <c r="F109" s="137">
        <f>2*Main!$B$19*loop_gain!$B$17*loop_gain!$B$18*Helper_calcs!$B$26*Current_limit!B109</f>
        <v>747.99999999999955</v>
      </c>
      <c r="G109" s="137">
        <f t="shared" si="11"/>
        <v>10.921178079512554</v>
      </c>
      <c r="H109" s="137">
        <f>(Main!$B$19-Current_limit!G109)*Current_limit!G109/(Main!$B$19*loop_gain!$B$17*loop_gain!$B$18)</f>
        <v>0.36096833056755923</v>
      </c>
      <c r="I109" s="137">
        <f t="shared" si="12"/>
        <v>3.4890316694324404</v>
      </c>
      <c r="J109" s="137"/>
      <c r="K109" s="138">
        <f>IF(A109&gt;$B$15,IF(I109&gt;Helper_calcs!$B$27,23,3),0)</f>
        <v>0</v>
      </c>
      <c r="L109" s="139">
        <f t="shared" si="10"/>
        <v>0</v>
      </c>
      <c r="M109" s="139">
        <f t="shared" si="13"/>
        <v>0</v>
      </c>
      <c r="N109" s="137">
        <f t="shared" si="14"/>
        <v>1.6800000000000006</v>
      </c>
      <c r="O109" s="137">
        <f t="shared" si="15"/>
        <v>5</v>
      </c>
      <c r="P109" s="140">
        <f>IF(OR(M109=0,M109=3),loop_gain!$B$18,IF(Current_limit!M109=1,Current_limit!$B$12/(2*(Current_limit!N109-Helper_calcs!$B$27)),IF(OR(M109=2,M109=23),(Main!$B$19-Current_limit!O109)*Current_limit!O109/(Main!$B$19*loop_gain!$B$17*(Helper_calcs!$B$26-Helper_calcs!$B$27)),x)))</f>
        <v>400000</v>
      </c>
      <c r="Q109" s="137"/>
    </row>
    <row r="110" spans="1:17" x14ac:dyDescent="0.25">
      <c r="A110">
        <f t="shared" si="16"/>
        <v>1.6900000000000006</v>
      </c>
      <c r="B110">
        <f>Main!$B$20/A110</f>
        <v>2.9585798816568039</v>
      </c>
      <c r="D110" s="137">
        <f t="shared" si="9"/>
        <v>2.9585798816568039</v>
      </c>
      <c r="E110" s="137">
        <f>-B110*Main!$B$19-2*Main!$B$19*loop_gain!$B$17*loop_gain!$B$18</f>
        <v>-100.78295857988164</v>
      </c>
      <c r="F110" s="137">
        <f>2*Main!$B$19*loop_gain!$B$17*loop_gain!$B$18*Helper_calcs!$B$26*Current_limit!B110</f>
        <v>743.57396449704106</v>
      </c>
      <c r="G110" s="137">
        <f t="shared" si="11"/>
        <v>10.805609425194065</v>
      </c>
      <c r="H110" s="137">
        <f>(Main!$B$19-Current_limit!G110)*Current_limit!G110/(Main!$B$19*loop_gain!$B$17*loop_gain!$B$18)</f>
        <v>0.3954080285688103</v>
      </c>
      <c r="I110" s="137">
        <f t="shared" si="12"/>
        <v>3.4545919714311899</v>
      </c>
      <c r="J110" s="137"/>
      <c r="K110" s="138">
        <f>IF(A110&gt;$B$15,IF(I110&gt;Helper_calcs!$B$27,23,3),0)</f>
        <v>0</v>
      </c>
      <c r="L110" s="139">
        <f t="shared" si="10"/>
        <v>0</v>
      </c>
      <c r="M110" s="139">
        <f t="shared" si="13"/>
        <v>0</v>
      </c>
      <c r="N110" s="137">
        <f t="shared" si="14"/>
        <v>1.6900000000000006</v>
      </c>
      <c r="O110" s="137">
        <f t="shared" si="15"/>
        <v>5</v>
      </c>
      <c r="P110" s="140">
        <f>IF(OR(M110=0,M110=3),loop_gain!$B$18,IF(Current_limit!M110=1,Current_limit!$B$12/(2*(Current_limit!N110-Helper_calcs!$B$27)),IF(OR(M110=2,M110=23),(Main!$B$19-Current_limit!O110)*Current_limit!O110/(Main!$B$19*loop_gain!$B$17*(Helper_calcs!$B$26-Helper_calcs!$B$27)),x)))</f>
        <v>400000</v>
      </c>
      <c r="Q110" s="137"/>
    </row>
    <row r="111" spans="1:17" x14ac:dyDescent="0.25">
      <c r="A111">
        <f t="shared" si="16"/>
        <v>1.7000000000000006</v>
      </c>
      <c r="B111">
        <f>Main!$B$20/A111</f>
        <v>2.9411764705882342</v>
      </c>
      <c r="D111" s="137">
        <f t="shared" si="9"/>
        <v>2.9411764705882342</v>
      </c>
      <c r="E111" s="137">
        <f>-B111*Main!$B$19-2*Main!$B$19*loop_gain!$B$17*loop_gain!$B$18</f>
        <v>-100.5741176470588</v>
      </c>
      <c r="F111" s="137">
        <f>2*Main!$B$19*loop_gain!$B$17*loop_gain!$B$18*Helper_calcs!$B$26*Current_limit!B111</f>
        <v>739.19999999999959</v>
      </c>
      <c r="G111" s="137">
        <f t="shared" si="11"/>
        <v>10.69448155973981</v>
      </c>
      <c r="H111" s="137">
        <f>(Main!$B$19-Current_limit!G111)*Current_limit!G111/(Main!$B$19*loop_gain!$B$17*loop_gain!$B$18)</f>
        <v>0.42775253937692664</v>
      </c>
      <c r="I111" s="137">
        <f t="shared" si="12"/>
        <v>3.4222474606230731</v>
      </c>
      <c r="J111" s="137"/>
      <c r="K111" s="138">
        <f>IF(A111&gt;$B$15,IF(I111&gt;Helper_calcs!$B$27,23,3),0)</f>
        <v>0</v>
      </c>
      <c r="L111" s="139">
        <f t="shared" si="10"/>
        <v>0</v>
      </c>
      <c r="M111" s="139">
        <f t="shared" si="13"/>
        <v>0</v>
      </c>
      <c r="N111" s="137">
        <f t="shared" si="14"/>
        <v>1.7000000000000006</v>
      </c>
      <c r="O111" s="137">
        <f t="shared" si="15"/>
        <v>5</v>
      </c>
      <c r="P111" s="140">
        <f>IF(OR(M111=0,M111=3),loop_gain!$B$18,IF(Current_limit!M111=1,Current_limit!$B$12/(2*(Current_limit!N111-Helper_calcs!$B$27)),IF(OR(M111=2,M111=23),(Main!$B$19-Current_limit!O111)*Current_limit!O111/(Main!$B$19*loop_gain!$B$17*(Helper_calcs!$B$26-Helper_calcs!$B$27)),x)))</f>
        <v>400000</v>
      </c>
      <c r="Q111" s="137"/>
    </row>
    <row r="112" spans="1:17" x14ac:dyDescent="0.25">
      <c r="A112">
        <f t="shared" si="16"/>
        <v>1.7100000000000006</v>
      </c>
      <c r="B112">
        <f>Main!$B$20/A112</f>
        <v>2.9239766081871332</v>
      </c>
      <c r="D112" s="137">
        <f t="shared" si="9"/>
        <v>2.9239766081871332</v>
      </c>
      <c r="E112" s="137">
        <f>-B112*Main!$B$19-2*Main!$B$19*loop_gain!$B$17*loop_gain!$B$18</f>
        <v>-100.36771929824559</v>
      </c>
      <c r="F112" s="137">
        <f>2*Main!$B$19*loop_gain!$B$17*loop_gain!$B$18*Helper_calcs!$B$26*Current_limit!B112</f>
        <v>734.87719298245565</v>
      </c>
      <c r="G112" s="137">
        <f t="shared" si="11"/>
        <v>10.587437057170966</v>
      </c>
      <c r="H112" s="137">
        <f>(Main!$B$19-Current_limit!G112)*Current_limit!G112/(Main!$B$19*loop_gain!$B$17*loop_gain!$B$18)</f>
        <v>0.4581930528950548</v>
      </c>
      <c r="I112" s="137">
        <f t="shared" si="12"/>
        <v>3.3918069471049446</v>
      </c>
      <c r="J112" s="137"/>
      <c r="K112" s="138">
        <f>IF(A112&gt;$B$15,IF(I112&gt;Helper_calcs!$B$27,23,3),0)</f>
        <v>0</v>
      </c>
      <c r="L112" s="139">
        <f t="shared" si="10"/>
        <v>0</v>
      </c>
      <c r="M112" s="139">
        <f t="shared" si="13"/>
        <v>0</v>
      </c>
      <c r="N112" s="137">
        <f t="shared" si="14"/>
        <v>1.7100000000000006</v>
      </c>
      <c r="O112" s="137">
        <f t="shared" si="15"/>
        <v>5</v>
      </c>
      <c r="P112" s="140">
        <f>IF(OR(M112=0,M112=3),loop_gain!$B$18,IF(Current_limit!M112=1,Current_limit!$B$12/(2*(Current_limit!N112-Helper_calcs!$B$27)),IF(OR(M112=2,M112=23),(Main!$B$19-Current_limit!O112)*Current_limit!O112/(Main!$B$19*loop_gain!$B$17*(Helper_calcs!$B$26-Helper_calcs!$B$27)),x)))</f>
        <v>400000</v>
      </c>
      <c r="Q112" s="137"/>
    </row>
    <row r="113" spans="1:17" x14ac:dyDescent="0.25">
      <c r="A113">
        <f t="shared" si="16"/>
        <v>1.7200000000000006</v>
      </c>
      <c r="B113">
        <f>Main!$B$20/A113</f>
        <v>2.9069767441860455</v>
      </c>
      <c r="D113" s="137">
        <f t="shared" si="9"/>
        <v>2.9069767441860455</v>
      </c>
      <c r="E113" s="137">
        <f>-B113*Main!$B$19-2*Main!$B$19*loop_gain!$B$17*loop_gain!$B$18</f>
        <v>-100.16372093023253</v>
      </c>
      <c r="F113" s="137">
        <f>2*Main!$B$19*loop_gain!$B$17*loop_gain!$B$18*Helper_calcs!$B$26*Current_limit!B113</f>
        <v>730.60465116279033</v>
      </c>
      <c r="G113" s="137">
        <f t="shared" si="11"/>
        <v>10.484162892527307</v>
      </c>
      <c r="H113" s="137">
        <f>(Main!$B$19-Current_limit!G113)*Current_limit!G113/(Main!$B$19*loop_gain!$B$17*loop_gain!$B$18)</f>
        <v>0.48689592994121145</v>
      </c>
      <c r="I113" s="137">
        <f t="shared" si="12"/>
        <v>3.3631040700587889</v>
      </c>
      <c r="J113" s="137"/>
      <c r="K113" s="138">
        <f>IF(A113&gt;$B$15,IF(I113&gt;Helper_calcs!$B$27,23,3),0)</f>
        <v>0</v>
      </c>
      <c r="L113" s="139">
        <f t="shared" si="10"/>
        <v>0</v>
      </c>
      <c r="M113" s="139">
        <f t="shared" si="13"/>
        <v>0</v>
      </c>
      <c r="N113" s="137">
        <f t="shared" si="14"/>
        <v>1.7200000000000006</v>
      </c>
      <c r="O113" s="137">
        <f t="shared" si="15"/>
        <v>5</v>
      </c>
      <c r="P113" s="140">
        <f>IF(OR(M113=0,M113=3),loop_gain!$B$18,IF(Current_limit!M113=1,Current_limit!$B$12/(2*(Current_limit!N113-Helper_calcs!$B$27)),IF(OR(M113=2,M113=23),(Main!$B$19-Current_limit!O113)*Current_limit!O113/(Main!$B$19*loop_gain!$B$17*(Helper_calcs!$B$26-Helper_calcs!$B$27)),x)))</f>
        <v>400000</v>
      </c>
      <c r="Q113" s="137"/>
    </row>
    <row r="114" spans="1:17" x14ac:dyDescent="0.25">
      <c r="A114">
        <f t="shared" si="16"/>
        <v>1.7300000000000006</v>
      </c>
      <c r="B114">
        <f>Main!$B$20/A114</f>
        <v>2.8901734104046231</v>
      </c>
      <c r="D114" s="137">
        <f t="shared" si="9"/>
        <v>2.8901734104046231</v>
      </c>
      <c r="E114" s="137">
        <f>-B114*Main!$B$19-2*Main!$B$19*loop_gain!$B$17*loop_gain!$B$18</f>
        <v>-99.962080924855456</v>
      </c>
      <c r="F114" s="137">
        <f>2*Main!$B$19*loop_gain!$B$17*loop_gain!$B$18*Helper_calcs!$B$26*Current_limit!B114</f>
        <v>726.3815028901729</v>
      </c>
      <c r="G114" s="137">
        <f t="shared" si="11"/>
        <v>10.384383115475156</v>
      </c>
      <c r="H114" s="137">
        <f>(Main!$B$19-Current_limit!G114)*Current_limit!G114/(Main!$B$19*loop_gain!$B$17*loop_gain!$B$18)</f>
        <v>0.51400688409118767</v>
      </c>
      <c r="I114" s="137">
        <f t="shared" si="12"/>
        <v>3.3359931159088116</v>
      </c>
      <c r="J114" s="137"/>
      <c r="K114" s="138">
        <f>IF(A114&gt;$B$15,IF(I114&gt;Helper_calcs!$B$27,23,3),0)</f>
        <v>0</v>
      </c>
      <c r="L114" s="139">
        <f t="shared" si="10"/>
        <v>0</v>
      </c>
      <c r="M114" s="139">
        <f t="shared" si="13"/>
        <v>0</v>
      </c>
      <c r="N114" s="137">
        <f t="shared" si="14"/>
        <v>1.7300000000000006</v>
      </c>
      <c r="O114" s="137">
        <f t="shared" si="15"/>
        <v>5</v>
      </c>
      <c r="P114" s="140">
        <f>IF(OR(M114=0,M114=3),loop_gain!$B$18,IF(Current_limit!M114=1,Current_limit!$B$12/(2*(Current_limit!N114-Helper_calcs!$B$27)),IF(OR(M114=2,M114=23),(Main!$B$19-Current_limit!O114)*Current_limit!O114/(Main!$B$19*loop_gain!$B$17*(Helper_calcs!$B$26-Helper_calcs!$B$27)),x)))</f>
        <v>400000</v>
      </c>
      <c r="Q114" s="137"/>
    </row>
    <row r="115" spans="1:17" x14ac:dyDescent="0.25">
      <c r="A115">
        <f t="shared" si="16"/>
        <v>1.7400000000000007</v>
      </c>
      <c r="B115">
        <f>Main!$B$20/A115</f>
        <v>2.8735632183908035</v>
      </c>
      <c r="D115" s="137">
        <f t="shared" si="9"/>
        <v>2.8735632183908035</v>
      </c>
      <c r="E115" s="137">
        <f>-B115*Main!$B$19-2*Main!$B$19*loop_gain!$B$17*loop_gain!$B$18</f>
        <v>-99.762758620689624</v>
      </c>
      <c r="F115" s="137">
        <f>2*Main!$B$19*loop_gain!$B$17*loop_gain!$B$18*Helper_calcs!$B$26*Current_limit!B115</f>
        <v>722.20689655172373</v>
      </c>
      <c r="G115" s="137">
        <f t="shared" si="11"/>
        <v>10.287853006596707</v>
      </c>
      <c r="H115" s="137">
        <f>(Main!$B$19-Current_limit!G115)*Current_limit!G115/(Main!$B$19*loop_gain!$B$17*loop_gain!$B$18)</f>
        <v>0.53965430740868814</v>
      </c>
      <c r="I115" s="137">
        <f t="shared" si="12"/>
        <v>3.3103456925913113</v>
      </c>
      <c r="J115" s="137"/>
      <c r="K115" s="138">
        <f>IF(A115&gt;$B$15,IF(I115&gt;Helper_calcs!$B$27,23,3),0)</f>
        <v>0</v>
      </c>
      <c r="L115" s="139">
        <f t="shared" si="10"/>
        <v>0</v>
      </c>
      <c r="M115" s="139">
        <f t="shared" si="13"/>
        <v>0</v>
      </c>
      <c r="N115" s="137">
        <f t="shared" si="14"/>
        <v>1.7400000000000007</v>
      </c>
      <c r="O115" s="137">
        <f t="shared" si="15"/>
        <v>5</v>
      </c>
      <c r="P115" s="140">
        <f>IF(OR(M115=0,M115=3),loop_gain!$B$18,IF(Current_limit!M115=1,Current_limit!$B$12/(2*(Current_limit!N115-Helper_calcs!$B$27)),IF(OR(M115=2,M115=23),(Main!$B$19-Current_limit!O115)*Current_limit!O115/(Main!$B$19*loop_gain!$B$17*(Helper_calcs!$B$26-Helper_calcs!$B$27)),x)))</f>
        <v>400000</v>
      </c>
      <c r="Q115" s="137"/>
    </row>
    <row r="116" spans="1:17" x14ac:dyDescent="0.25">
      <c r="A116">
        <f t="shared" si="16"/>
        <v>1.7500000000000007</v>
      </c>
      <c r="B116">
        <f>Main!$B$20/A116</f>
        <v>2.8571428571428559</v>
      </c>
      <c r="D116" s="137">
        <f t="shared" si="9"/>
        <v>2.8571428571428559</v>
      </c>
      <c r="E116" s="137">
        <f>-B116*Main!$B$19-2*Main!$B$19*loop_gain!$B$17*loop_gain!$B$18</f>
        <v>-99.56571428571425</v>
      </c>
      <c r="F116" s="137">
        <f>2*Main!$B$19*loop_gain!$B$17*loop_gain!$B$18*Helper_calcs!$B$26*Current_limit!B116</f>
        <v>718.07999999999947</v>
      </c>
      <c r="G116" s="137">
        <f t="shared" si="11"/>
        <v>10.194354365530764</v>
      </c>
      <c r="H116" s="137">
        <f>(Main!$B$19-Current_limit!G116)*Current_limit!G116/(Main!$B$19*loop_gain!$B$17*loop_gain!$B$18)</f>
        <v>0.56395194412846295</v>
      </c>
      <c r="I116" s="137">
        <f t="shared" si="12"/>
        <v>3.2860480558715373</v>
      </c>
      <c r="J116" s="137"/>
      <c r="K116" s="138">
        <f>IF(A116&gt;$B$15,IF(I116&gt;Helper_calcs!$B$27,23,3),0)</f>
        <v>0</v>
      </c>
      <c r="L116" s="139">
        <f t="shared" si="10"/>
        <v>0</v>
      </c>
      <c r="M116" s="139">
        <f t="shared" si="13"/>
        <v>0</v>
      </c>
      <c r="N116" s="137">
        <f t="shared" si="14"/>
        <v>1.7500000000000007</v>
      </c>
      <c r="O116" s="137">
        <f t="shared" si="15"/>
        <v>5</v>
      </c>
      <c r="P116" s="140">
        <f>IF(OR(M116=0,M116=3),loop_gain!$B$18,IF(Current_limit!M116=1,Current_limit!$B$12/(2*(Current_limit!N116-Helper_calcs!$B$27)),IF(OR(M116=2,M116=23),(Main!$B$19-Current_limit!O116)*Current_limit!O116/(Main!$B$19*loop_gain!$B$17*(Helper_calcs!$B$26-Helper_calcs!$B$27)),x)))</f>
        <v>400000</v>
      </c>
      <c r="Q116" s="137"/>
    </row>
    <row r="117" spans="1:17" x14ac:dyDescent="0.25">
      <c r="A117">
        <f t="shared" si="16"/>
        <v>1.7600000000000007</v>
      </c>
      <c r="B117">
        <f>Main!$B$20/A117</f>
        <v>2.8409090909090899</v>
      </c>
      <c r="D117" s="137">
        <f t="shared" si="9"/>
        <v>2.8409090909090899</v>
      </c>
      <c r="E117" s="137">
        <f>-B117*Main!$B$19-2*Main!$B$19*loop_gain!$B$17*loop_gain!$B$18</f>
        <v>-99.370909090909066</v>
      </c>
      <c r="F117" s="137">
        <f>2*Main!$B$19*loop_gain!$B$17*loop_gain!$B$18*Helper_calcs!$B$26*Current_limit!B117</f>
        <v>713.99999999999966</v>
      </c>
      <c r="G117" s="137">
        <f t="shared" si="11"/>
        <v>10.103691674185999</v>
      </c>
      <c r="H117" s="137">
        <f>(Main!$B$19-Current_limit!G117)*Current_limit!G117/(Main!$B$19*loop_gain!$B$17*loop_gain!$B$18)</f>
        <v>0.58700106137305508</v>
      </c>
      <c r="I117" s="137">
        <f t="shared" si="12"/>
        <v>3.2629989386269456</v>
      </c>
      <c r="J117" s="137"/>
      <c r="K117" s="138">
        <f>IF(A117&gt;$B$15,IF(I117&gt;Helper_calcs!$B$27,23,3),0)</f>
        <v>0</v>
      </c>
      <c r="L117" s="139">
        <f t="shared" si="10"/>
        <v>0</v>
      </c>
      <c r="M117" s="139">
        <f t="shared" si="13"/>
        <v>0</v>
      </c>
      <c r="N117" s="137">
        <f t="shared" si="14"/>
        <v>1.7600000000000007</v>
      </c>
      <c r="O117" s="137">
        <f t="shared" si="15"/>
        <v>5</v>
      </c>
      <c r="P117" s="140">
        <f>IF(OR(M117=0,M117=3),loop_gain!$B$18,IF(Current_limit!M117=1,Current_limit!$B$12/(2*(Current_limit!N117-Helper_calcs!$B$27)),IF(OR(M117=2,M117=23),(Main!$B$19-Current_limit!O117)*Current_limit!O117/(Main!$B$19*loop_gain!$B$17*(Helper_calcs!$B$26-Helper_calcs!$B$27)),x)))</f>
        <v>400000</v>
      </c>
      <c r="Q117" s="137"/>
    </row>
    <row r="118" spans="1:17" x14ac:dyDescent="0.25">
      <c r="A118">
        <f t="shared" si="16"/>
        <v>1.7700000000000007</v>
      </c>
      <c r="B118">
        <f>Main!$B$20/A118</f>
        <v>2.8248587570621457</v>
      </c>
      <c r="D118" s="137">
        <f t="shared" si="9"/>
        <v>2.8248587570621457</v>
      </c>
      <c r="E118" s="137">
        <f>-B118*Main!$B$19-2*Main!$B$19*loop_gain!$B$17*loop_gain!$B$18</f>
        <v>-99.178305084745745</v>
      </c>
      <c r="F118" s="137">
        <f>2*Main!$B$19*loop_gain!$B$17*loop_gain!$B$18*Helper_calcs!$B$26*Current_limit!B118</f>
        <v>709.96610169491476</v>
      </c>
      <c r="G118" s="137">
        <f t="shared" si="11"/>
        <v>10.015688944357775</v>
      </c>
      <c r="H118" s="137">
        <f>(Main!$B$19-Current_limit!G118)*Current_limit!G118/(Main!$B$19*loop_gain!$B$17*loop_gain!$B$18)</f>
        <v>0.60889222739469184</v>
      </c>
      <c r="I118" s="137">
        <f t="shared" si="12"/>
        <v>3.2411077726053081</v>
      </c>
      <c r="J118" s="137"/>
      <c r="K118" s="138">
        <f>IF(A118&gt;$B$15,IF(I118&gt;Helper_calcs!$B$27,23,3),0)</f>
        <v>0</v>
      </c>
      <c r="L118" s="139">
        <f t="shared" si="10"/>
        <v>0</v>
      </c>
      <c r="M118" s="139">
        <f t="shared" si="13"/>
        <v>0</v>
      </c>
      <c r="N118" s="137">
        <f t="shared" si="14"/>
        <v>1.7700000000000007</v>
      </c>
      <c r="O118" s="137">
        <f t="shared" si="15"/>
        <v>5</v>
      </c>
      <c r="P118" s="140">
        <f>IF(OR(M118=0,M118=3),loop_gain!$B$18,IF(Current_limit!M118=1,Current_limit!$B$12/(2*(Current_limit!N118-Helper_calcs!$B$27)),IF(OR(M118=2,M118=23),(Main!$B$19-Current_limit!O118)*Current_limit!O118/(Main!$B$19*loop_gain!$B$17*(Helper_calcs!$B$26-Helper_calcs!$B$27)),x)))</f>
        <v>400000</v>
      </c>
      <c r="Q118" s="137"/>
    </row>
    <row r="119" spans="1:17" x14ac:dyDescent="0.25">
      <c r="A119">
        <f t="shared" si="16"/>
        <v>1.7800000000000007</v>
      </c>
      <c r="B119">
        <f>Main!$B$20/A119</f>
        <v>2.8089887640449427</v>
      </c>
      <c r="D119" s="137">
        <f t="shared" si="9"/>
        <v>2.8089887640449427</v>
      </c>
      <c r="E119" s="137">
        <f>-B119*Main!$B$19-2*Main!$B$19*loop_gain!$B$17*loop_gain!$B$18</f>
        <v>-98.987865168539301</v>
      </c>
      <c r="F119" s="137">
        <f>2*Main!$B$19*loop_gain!$B$17*loop_gain!$B$18*Helper_calcs!$B$26*Current_limit!B119</f>
        <v>705.97752808988719</v>
      </c>
      <c r="G119" s="137">
        <f t="shared" si="11"/>
        <v>9.930187106299261</v>
      </c>
      <c r="H119" s="137">
        <f>(Main!$B$19-Current_limit!G119)*Current_limit!G119/(Main!$B$19*loop_gain!$B$17*loop_gain!$B$18)</f>
        <v>0.62970678031492178</v>
      </c>
      <c r="I119" s="137">
        <f t="shared" si="12"/>
        <v>3.2202932196850775</v>
      </c>
      <c r="J119" s="137"/>
      <c r="K119" s="138">
        <f>IF(A119&gt;$B$15,IF(I119&gt;Helper_calcs!$B$27,23,3),0)</f>
        <v>0</v>
      </c>
      <c r="L119" s="139">
        <f t="shared" si="10"/>
        <v>0</v>
      </c>
      <c r="M119" s="139">
        <f t="shared" si="13"/>
        <v>0</v>
      </c>
      <c r="N119" s="137">
        <f t="shared" si="14"/>
        <v>1.7800000000000007</v>
      </c>
      <c r="O119" s="137">
        <f t="shared" si="15"/>
        <v>5</v>
      </c>
      <c r="P119" s="140">
        <f>IF(OR(M119=0,M119=3),loop_gain!$B$18,IF(Current_limit!M119=1,Current_limit!$B$12/(2*(Current_limit!N119-Helper_calcs!$B$27)),IF(OR(M119=2,M119=23),(Main!$B$19-Current_limit!O119)*Current_limit!O119/(Main!$B$19*loop_gain!$B$17*(Helper_calcs!$B$26-Helper_calcs!$B$27)),x)))</f>
        <v>400000</v>
      </c>
      <c r="Q119" s="137"/>
    </row>
    <row r="120" spans="1:17" x14ac:dyDescent="0.25">
      <c r="A120">
        <f t="shared" si="16"/>
        <v>1.7900000000000007</v>
      </c>
      <c r="B120">
        <f>Main!$B$20/A120</f>
        <v>2.7932960893854739</v>
      </c>
      <c r="D120" s="137">
        <f t="shared" si="9"/>
        <v>2.7932960893854739</v>
      </c>
      <c r="E120" s="137">
        <f>-B120*Main!$B$19-2*Main!$B$19*loop_gain!$B$17*loop_gain!$B$18</f>
        <v>-98.79955307262567</v>
      </c>
      <c r="F120" s="137">
        <f>2*Main!$B$19*loop_gain!$B$17*loop_gain!$B$18*Helper_calcs!$B$26*Current_limit!B120</f>
        <v>702.03351955307221</v>
      </c>
      <c r="G120" s="137">
        <f t="shared" si="11"/>
        <v>9.8470418290195596</v>
      </c>
      <c r="H120" s="137">
        <f>(Main!$B$19-Current_limit!G120)*Current_limit!G120/(Main!$B$19*loop_gain!$B$17*loop_gain!$B$18)</f>
        <v>0.64951805042199284</v>
      </c>
      <c r="I120" s="137">
        <f t="shared" si="12"/>
        <v>3.2004819495780072</v>
      </c>
      <c r="J120" s="137"/>
      <c r="K120" s="138">
        <f>IF(A120&gt;$B$15,IF(I120&gt;Helper_calcs!$B$27,23,3),0)</f>
        <v>0</v>
      </c>
      <c r="L120" s="139">
        <f t="shared" si="10"/>
        <v>0</v>
      </c>
      <c r="M120" s="139">
        <f t="shared" si="13"/>
        <v>0</v>
      </c>
      <c r="N120" s="137">
        <f t="shared" si="14"/>
        <v>1.7900000000000007</v>
      </c>
      <c r="O120" s="137">
        <f t="shared" si="15"/>
        <v>5</v>
      </c>
      <c r="P120" s="140">
        <f>IF(OR(M120=0,M120=3),loop_gain!$B$18,IF(Current_limit!M120=1,Current_limit!$B$12/(2*(Current_limit!N120-Helper_calcs!$B$27)),IF(OR(M120=2,M120=23),(Main!$B$19-Current_limit!O120)*Current_limit!O120/(Main!$B$19*loop_gain!$B$17*(Helper_calcs!$B$26-Helper_calcs!$B$27)),x)))</f>
        <v>400000</v>
      </c>
      <c r="Q120" s="137"/>
    </row>
    <row r="121" spans="1:17" x14ac:dyDescent="0.25">
      <c r="A121">
        <f t="shared" si="16"/>
        <v>1.8000000000000007</v>
      </c>
      <c r="B121">
        <f>Main!$B$20/A121</f>
        <v>2.7777777777777768</v>
      </c>
      <c r="D121" s="137">
        <f t="shared" si="9"/>
        <v>2.7777777777777768</v>
      </c>
      <c r="E121" s="137">
        <f>-B121*Main!$B$19-2*Main!$B$19*loop_gain!$B$17*loop_gain!$B$18</f>
        <v>-98.613333333333316</v>
      </c>
      <c r="F121" s="137">
        <f>2*Main!$B$19*loop_gain!$B$17*loop_gain!$B$18*Helper_calcs!$B$26*Current_limit!B121</f>
        <v>698.13333333333298</v>
      </c>
      <c r="G121" s="137">
        <f t="shared" si="11"/>
        <v>9.7661216882175186</v>
      </c>
      <c r="H121" s="137">
        <f>(Main!$B$19-Current_limit!G121)*Current_limit!G121/(Main!$B$19*loop_gain!$B$17*loop_gain!$B$18)</f>
        <v>0.66839238448338334</v>
      </c>
      <c r="I121" s="137">
        <f t="shared" si="12"/>
        <v>3.181607615516616</v>
      </c>
      <c r="J121" s="137"/>
      <c r="K121" s="138">
        <f>IF(A121&gt;$B$15,IF(I121&gt;Helper_calcs!$B$27,23,3),0)</f>
        <v>0</v>
      </c>
      <c r="L121" s="139">
        <f t="shared" si="10"/>
        <v>0</v>
      </c>
      <c r="M121" s="139">
        <f t="shared" si="13"/>
        <v>0</v>
      </c>
      <c r="N121" s="137">
        <f t="shared" si="14"/>
        <v>1.8000000000000007</v>
      </c>
      <c r="O121" s="137">
        <f t="shared" si="15"/>
        <v>5</v>
      </c>
      <c r="P121" s="140">
        <f>IF(OR(M121=0,M121=3),loop_gain!$B$18,IF(Current_limit!M121=1,Current_limit!$B$12/(2*(Current_limit!N121-Helper_calcs!$B$27)),IF(OR(M121=2,M121=23),(Main!$B$19-Current_limit!O121)*Current_limit!O121/(Main!$B$19*loop_gain!$B$17*(Helper_calcs!$B$26-Helper_calcs!$B$27)),x)))</f>
        <v>400000</v>
      </c>
      <c r="Q121" s="137"/>
    </row>
    <row r="122" spans="1:17" x14ac:dyDescent="0.25">
      <c r="A122">
        <f t="shared" si="16"/>
        <v>1.8100000000000007</v>
      </c>
      <c r="B122">
        <f>Main!$B$20/A122</f>
        <v>2.7624309392265181</v>
      </c>
      <c r="D122" s="137">
        <f t="shared" si="9"/>
        <v>2.7624309392265181</v>
      </c>
      <c r="E122" s="137">
        <f>-B122*Main!$B$19-2*Main!$B$19*loop_gain!$B$17*loop_gain!$B$18</f>
        <v>-98.4291712707182</v>
      </c>
      <c r="F122" s="137">
        <f>2*Main!$B$19*loop_gain!$B$17*loop_gain!$B$18*Helper_calcs!$B$26*Current_limit!B122</f>
        <v>694.27624309392218</v>
      </c>
      <c r="G122" s="137">
        <f t="shared" si="11"/>
        <v>9.6873066164502433</v>
      </c>
      <c r="H122" s="137">
        <f>(Main!$B$19-Current_limit!G122)*Current_limit!G122/(Main!$B$19*loop_gain!$B$17*loop_gain!$B$18)</f>
        <v>0.68639000969002029</v>
      </c>
      <c r="I122" s="137">
        <f t="shared" si="12"/>
        <v>3.1636099903099795</v>
      </c>
      <c r="J122" s="137"/>
      <c r="K122" s="138">
        <f>IF(A122&gt;$B$15,IF(I122&gt;Helper_calcs!$B$27,23,3),0)</f>
        <v>0</v>
      </c>
      <c r="L122" s="139">
        <f t="shared" si="10"/>
        <v>0</v>
      </c>
      <c r="M122" s="139">
        <f t="shared" si="13"/>
        <v>0</v>
      </c>
      <c r="N122" s="137">
        <f t="shared" si="14"/>
        <v>1.8100000000000007</v>
      </c>
      <c r="O122" s="137">
        <f t="shared" si="15"/>
        <v>5</v>
      </c>
      <c r="P122" s="140">
        <f>IF(OR(M122=0,M122=3),loop_gain!$B$18,IF(Current_limit!M122=1,Current_limit!$B$12/(2*(Current_limit!N122-Helper_calcs!$B$27)),IF(OR(M122=2,M122=23),(Main!$B$19-Current_limit!O122)*Current_limit!O122/(Main!$B$19*loop_gain!$B$17*(Helper_calcs!$B$26-Helper_calcs!$B$27)),x)))</f>
        <v>400000</v>
      </c>
      <c r="Q122" s="137"/>
    </row>
    <row r="123" spans="1:17" x14ac:dyDescent="0.25">
      <c r="A123">
        <f t="shared" si="16"/>
        <v>1.8200000000000007</v>
      </c>
      <c r="B123">
        <f>Main!$B$20/A123</f>
        <v>2.7472527472527464</v>
      </c>
      <c r="D123" s="137">
        <f t="shared" si="9"/>
        <v>2.7472527472527464</v>
      </c>
      <c r="E123" s="137">
        <f>-B123*Main!$B$19-2*Main!$B$19*loop_gain!$B$17*loop_gain!$B$18</f>
        <v>-98.247032967032936</v>
      </c>
      <c r="F123" s="137">
        <f>2*Main!$B$19*loop_gain!$B$17*loop_gain!$B$18*Helper_calcs!$B$26*Current_limit!B123</f>
        <v>690.46153846153811</v>
      </c>
      <c r="G123" s="137">
        <f t="shared" si="11"/>
        <v>9.6104865841912002</v>
      </c>
      <c r="H123" s="137">
        <f>(Main!$B$19-Current_limit!G123)*Current_limit!G123/(Main!$B$19*loop_gain!$B$17*loop_gain!$B$18)</f>
        <v>0.703565766708804</v>
      </c>
      <c r="I123" s="137">
        <f t="shared" si="12"/>
        <v>3.1464342332911959</v>
      </c>
      <c r="J123" s="137"/>
      <c r="K123" s="138">
        <f>IF(A123&gt;$B$15,IF(I123&gt;Helper_calcs!$B$27,23,3),0)</f>
        <v>0</v>
      </c>
      <c r="L123" s="139">
        <f t="shared" si="10"/>
        <v>0</v>
      </c>
      <c r="M123" s="139">
        <f t="shared" si="13"/>
        <v>0</v>
      </c>
      <c r="N123" s="137">
        <f t="shared" si="14"/>
        <v>1.8200000000000007</v>
      </c>
      <c r="O123" s="137">
        <f t="shared" si="15"/>
        <v>5</v>
      </c>
      <c r="P123" s="140">
        <f>IF(OR(M123=0,M123=3),loop_gain!$B$18,IF(Current_limit!M123=1,Current_limit!$B$12/(2*(Current_limit!N123-Helper_calcs!$B$27)),IF(OR(M123=2,M123=23),(Main!$B$19-Current_limit!O123)*Current_limit!O123/(Main!$B$19*loop_gain!$B$17*(Helper_calcs!$B$26-Helper_calcs!$B$27)),x)))</f>
        <v>400000</v>
      </c>
      <c r="Q123" s="137"/>
    </row>
    <row r="124" spans="1:17" x14ac:dyDescent="0.25">
      <c r="A124">
        <f t="shared" si="16"/>
        <v>1.8300000000000007</v>
      </c>
      <c r="B124">
        <f>Main!$B$20/A124</f>
        <v>2.732240437158469</v>
      </c>
      <c r="D124" s="137">
        <f t="shared" si="9"/>
        <v>2.732240437158469</v>
      </c>
      <c r="E124" s="137">
        <f>-B124*Main!$B$19-2*Main!$B$19*loop_gain!$B$17*loop_gain!$B$18</f>
        <v>-98.066885245901616</v>
      </c>
      <c r="F124" s="137">
        <f>2*Main!$B$19*loop_gain!$B$17*loop_gain!$B$18*Helper_calcs!$B$26*Current_limit!B124</f>
        <v>686.68852459016352</v>
      </c>
      <c r="G124" s="137">
        <f t="shared" si="11"/>
        <v>9.5355604711153035</v>
      </c>
      <c r="H124" s="137">
        <f>(Main!$B$19-Current_limit!G124)*Current_limit!G124/(Main!$B$19*loop_gain!$B$17*loop_gain!$B$18)</f>
        <v>0.71996973514359486</v>
      </c>
      <c r="I124" s="137">
        <f t="shared" si="12"/>
        <v>3.1300302648564049</v>
      </c>
      <c r="J124" s="137"/>
      <c r="K124" s="138">
        <f>IF(A124&gt;$B$15,IF(I124&gt;Helper_calcs!$B$27,23,3),0)</f>
        <v>0</v>
      </c>
      <c r="L124" s="139">
        <f t="shared" si="10"/>
        <v>0</v>
      </c>
      <c r="M124" s="139">
        <f t="shared" si="13"/>
        <v>0</v>
      </c>
      <c r="N124" s="137">
        <f t="shared" si="14"/>
        <v>1.8300000000000007</v>
      </c>
      <c r="O124" s="137">
        <f t="shared" si="15"/>
        <v>5</v>
      </c>
      <c r="P124" s="140">
        <f>IF(OR(M124=0,M124=3),loop_gain!$B$18,IF(Current_limit!M124=1,Current_limit!$B$12/(2*(Current_limit!N124-Helper_calcs!$B$27)),IF(OR(M124=2,M124=23),(Main!$B$19-Current_limit!O124)*Current_limit!O124/(Main!$B$19*loop_gain!$B$17*(Helper_calcs!$B$26-Helper_calcs!$B$27)),x)))</f>
        <v>400000</v>
      </c>
      <c r="Q124" s="137"/>
    </row>
    <row r="125" spans="1:17" x14ac:dyDescent="0.25">
      <c r="A125">
        <f t="shared" si="16"/>
        <v>1.8400000000000007</v>
      </c>
      <c r="B125">
        <f>Main!$B$20/A125</f>
        <v>2.7173913043478248</v>
      </c>
      <c r="D125" s="137">
        <f t="shared" si="9"/>
        <v>2.7173913043478248</v>
      </c>
      <c r="E125" s="137">
        <f>-B125*Main!$B$19-2*Main!$B$19*loop_gain!$B$17*loop_gain!$B$18</f>
        <v>-97.88869565217388</v>
      </c>
      <c r="F125" s="137">
        <f>2*Main!$B$19*loop_gain!$B$17*loop_gain!$B$18*Helper_calcs!$B$26*Current_limit!B125</f>
        <v>682.95652173912993</v>
      </c>
      <c r="G125" s="137">
        <f t="shared" si="11"/>
        <v>9.4624350951461391</v>
      </c>
      <c r="H125" s="137">
        <f>(Main!$B$19-Current_limit!G125)*Current_limit!G125/(Main!$B$19*loop_gain!$B$17*loop_gain!$B$18)</f>
        <v>0.73564776997243719</v>
      </c>
      <c r="I125" s="137">
        <f t="shared" si="12"/>
        <v>3.1143522300275621</v>
      </c>
      <c r="J125" s="137"/>
      <c r="K125" s="138">
        <f>IF(A125&gt;$B$15,IF(I125&gt;Helper_calcs!$B$27,23,3),0)</f>
        <v>0</v>
      </c>
      <c r="L125" s="139">
        <f t="shared" si="10"/>
        <v>0</v>
      </c>
      <c r="M125" s="139">
        <f t="shared" si="13"/>
        <v>0</v>
      </c>
      <c r="N125" s="137">
        <f t="shared" si="14"/>
        <v>1.8400000000000007</v>
      </c>
      <c r="O125" s="137">
        <f t="shared" si="15"/>
        <v>5</v>
      </c>
      <c r="P125" s="140">
        <f>IF(OR(M125=0,M125=3),loop_gain!$B$18,IF(Current_limit!M125=1,Current_limit!$B$12/(2*(Current_limit!N125-Helper_calcs!$B$27)),IF(OR(M125=2,M125=23),(Main!$B$19-Current_limit!O125)*Current_limit!O125/(Main!$B$19*loop_gain!$B$17*(Helper_calcs!$B$26-Helper_calcs!$B$27)),x)))</f>
        <v>400000</v>
      </c>
      <c r="Q125" s="137"/>
    </row>
    <row r="126" spans="1:17" x14ac:dyDescent="0.25">
      <c r="A126">
        <f t="shared" si="16"/>
        <v>1.8500000000000008</v>
      </c>
      <c r="B126">
        <f>Main!$B$20/A126</f>
        <v>2.7027027027027017</v>
      </c>
      <c r="D126" s="137">
        <f t="shared" si="9"/>
        <v>2.7027027027027017</v>
      </c>
      <c r="E126" s="137">
        <f>-B126*Main!$B$19-2*Main!$B$19*loop_gain!$B$17*loop_gain!$B$18</f>
        <v>-97.712432432432408</v>
      </c>
      <c r="F126" s="137">
        <f>2*Main!$B$19*loop_gain!$B$17*loop_gain!$B$18*Helper_calcs!$B$26*Current_limit!B126</f>
        <v>679.26486486486442</v>
      </c>
      <c r="G126" s="137">
        <f t="shared" si="11"/>
        <v>9.3910243731489267</v>
      </c>
      <c r="H126" s="137">
        <f>(Main!$B$19-Current_limit!G126)*Current_limit!G126/(Main!$B$19*loop_gain!$B$17*loop_gain!$B$18)</f>
        <v>0.75064196386978965</v>
      </c>
      <c r="I126" s="137">
        <f t="shared" si="12"/>
        <v>3.0993580361302095</v>
      </c>
      <c r="J126" s="137"/>
      <c r="K126" s="138">
        <f>IF(A126&gt;$B$15,IF(I126&gt;Helper_calcs!$B$27,23,3),0)</f>
        <v>0</v>
      </c>
      <c r="L126" s="139">
        <f t="shared" si="10"/>
        <v>0</v>
      </c>
      <c r="M126" s="139">
        <f t="shared" si="13"/>
        <v>0</v>
      </c>
      <c r="N126" s="137">
        <f t="shared" si="14"/>
        <v>1.8500000000000008</v>
      </c>
      <c r="O126" s="137">
        <f t="shared" si="15"/>
        <v>5</v>
      </c>
      <c r="P126" s="140">
        <f>IF(OR(M126=0,M126=3),loop_gain!$B$18,IF(Current_limit!M126=1,Current_limit!$B$12/(2*(Current_limit!N126-Helper_calcs!$B$27)),IF(OR(M126=2,M126=23),(Main!$B$19-Current_limit!O126)*Current_limit!O126/(Main!$B$19*loop_gain!$B$17*(Helper_calcs!$B$26-Helper_calcs!$B$27)),x)))</f>
        <v>400000</v>
      </c>
      <c r="Q126" s="137"/>
    </row>
    <row r="127" spans="1:17" x14ac:dyDescent="0.25">
      <c r="A127">
        <f t="shared" si="16"/>
        <v>1.8600000000000008</v>
      </c>
      <c r="B127">
        <f>Main!$B$20/A127</f>
        <v>2.6881720430107516</v>
      </c>
      <c r="D127" s="137">
        <f t="shared" si="9"/>
        <v>2.6881720430107516</v>
      </c>
      <c r="E127" s="137">
        <f>-B127*Main!$B$19-2*Main!$B$19*loop_gain!$B$17*loop_gain!$B$18</f>
        <v>-97.538064516128998</v>
      </c>
      <c r="F127" s="137">
        <f>2*Main!$B$19*loop_gain!$B$17*loop_gain!$B$18*Helper_calcs!$B$26*Current_limit!B127</f>
        <v>675.61290322580601</v>
      </c>
      <c r="G127" s="137">
        <f t="shared" si="11"/>
        <v>9.3212485921110542</v>
      </c>
      <c r="H127" s="137">
        <f>(Main!$B$19-Current_limit!G127)*Current_limit!G127/(Main!$B$19*loop_gain!$B$17*loop_gain!$B$18)</f>
        <v>0.7649910474693733</v>
      </c>
      <c r="I127" s="137">
        <f t="shared" si="12"/>
        <v>3.0850089525306266</v>
      </c>
      <c r="J127" s="137"/>
      <c r="K127" s="138">
        <f>IF(A127&gt;$B$15,IF(I127&gt;Helper_calcs!$B$27,23,3),0)</f>
        <v>0</v>
      </c>
      <c r="L127" s="139">
        <f t="shared" si="10"/>
        <v>0</v>
      </c>
      <c r="M127" s="139">
        <f t="shared" si="13"/>
        <v>0</v>
      </c>
      <c r="N127" s="137">
        <f t="shared" si="14"/>
        <v>1.8600000000000008</v>
      </c>
      <c r="O127" s="137">
        <f t="shared" si="15"/>
        <v>5</v>
      </c>
      <c r="P127" s="140">
        <f>IF(OR(M127=0,M127=3),loop_gain!$B$18,IF(Current_limit!M127=1,Current_limit!$B$12/(2*(Current_limit!N127-Helper_calcs!$B$27)),IF(OR(M127=2,M127=23),(Main!$B$19-Current_limit!O127)*Current_limit!O127/(Main!$B$19*loop_gain!$B$17*(Helper_calcs!$B$26-Helper_calcs!$B$27)),x)))</f>
        <v>400000</v>
      </c>
      <c r="Q127" s="137"/>
    </row>
    <row r="128" spans="1:17" x14ac:dyDescent="0.25">
      <c r="A128">
        <f t="shared" si="16"/>
        <v>1.8700000000000008</v>
      </c>
      <c r="B128">
        <f>Main!$B$20/A128</f>
        <v>2.673796791443849</v>
      </c>
      <c r="D128" s="137">
        <f t="shared" si="9"/>
        <v>2.673796791443849</v>
      </c>
      <c r="E128" s="137">
        <f>-B128*Main!$B$19-2*Main!$B$19*loop_gain!$B$17*loop_gain!$B$18</f>
        <v>-97.365561497326183</v>
      </c>
      <c r="F128" s="137">
        <f>2*Main!$B$19*loop_gain!$B$17*loop_gain!$B$18*Helper_calcs!$B$26*Current_limit!B128</f>
        <v>671.99999999999955</v>
      </c>
      <c r="G128" s="137">
        <f t="shared" si="11"/>
        <v>9.2530337735550354</v>
      </c>
      <c r="H128" s="137">
        <f>(Main!$B$19-Current_limit!G128)*Current_limit!G128/(Main!$B$19*loop_gain!$B$17*loop_gain!$B$18)</f>
        <v>0.77873073738082998</v>
      </c>
      <c r="I128" s="137">
        <f t="shared" si="12"/>
        <v>3.07126926261917</v>
      </c>
      <c r="J128" s="137"/>
      <c r="K128" s="138">
        <f>IF(A128&gt;$B$15,IF(I128&gt;Helper_calcs!$B$27,23,3),0)</f>
        <v>0</v>
      </c>
      <c r="L128" s="139">
        <f t="shared" si="10"/>
        <v>0</v>
      </c>
      <c r="M128" s="139">
        <f t="shared" si="13"/>
        <v>0</v>
      </c>
      <c r="N128" s="137">
        <f t="shared" si="14"/>
        <v>1.8700000000000008</v>
      </c>
      <c r="O128" s="137">
        <f t="shared" si="15"/>
        <v>5</v>
      </c>
      <c r="P128" s="140">
        <f>IF(OR(M128=0,M128=3),loop_gain!$B$18,IF(Current_limit!M128=1,Current_limit!$B$12/(2*(Current_limit!N128-Helper_calcs!$B$27)),IF(OR(M128=2,M128=23),(Main!$B$19-Current_limit!O128)*Current_limit!O128/(Main!$B$19*loop_gain!$B$17*(Helper_calcs!$B$26-Helper_calcs!$B$27)),x)))</f>
        <v>400000</v>
      </c>
      <c r="Q128" s="137"/>
    </row>
    <row r="129" spans="1:17" x14ac:dyDescent="0.25">
      <c r="A129">
        <f t="shared" si="16"/>
        <v>1.8800000000000008</v>
      </c>
      <c r="B129">
        <f>Main!$B$20/A129</f>
        <v>2.6595744680851054</v>
      </c>
      <c r="D129" s="137">
        <f t="shared" si="9"/>
        <v>2.6595744680851054</v>
      </c>
      <c r="E129" s="137">
        <f>-B129*Main!$B$19-2*Main!$B$19*loop_gain!$B$17*loop_gain!$B$18</f>
        <v>-97.194893617021251</v>
      </c>
      <c r="F129" s="137">
        <f>2*Main!$B$19*loop_gain!$B$17*loop_gain!$B$18*Helper_calcs!$B$26*Current_limit!B129</f>
        <v>668.42553191489321</v>
      </c>
      <c r="G129" s="137">
        <f t="shared" si="11"/>
        <v>9.1863111170242089</v>
      </c>
      <c r="H129" s="137">
        <f>(Main!$B$19-Current_limit!G129)*Current_limit!G129/(Main!$B$19*loop_gain!$B$17*loop_gain!$B$18)</f>
        <v>0.79189403999779229</v>
      </c>
      <c r="I129" s="137">
        <f t="shared" si="12"/>
        <v>3.0581059600022078</v>
      </c>
      <c r="J129" s="137"/>
      <c r="K129" s="138">
        <f>IF(A129&gt;$B$15,IF(I129&gt;Helper_calcs!$B$27,23,3),0)</f>
        <v>0</v>
      </c>
      <c r="L129" s="139">
        <f t="shared" si="10"/>
        <v>0</v>
      </c>
      <c r="M129" s="139">
        <f t="shared" si="13"/>
        <v>0</v>
      </c>
      <c r="N129" s="137">
        <f t="shared" si="14"/>
        <v>1.8800000000000008</v>
      </c>
      <c r="O129" s="137">
        <f t="shared" si="15"/>
        <v>5</v>
      </c>
      <c r="P129" s="140">
        <f>IF(OR(M129=0,M129=3),loop_gain!$B$18,IF(Current_limit!M129=1,Current_limit!$B$12/(2*(Current_limit!N129-Helper_calcs!$B$27)),IF(OR(M129=2,M129=23),(Main!$B$19-Current_limit!O129)*Current_limit!O129/(Main!$B$19*loop_gain!$B$17*(Helper_calcs!$B$26-Helper_calcs!$B$27)),x)))</f>
        <v>400000</v>
      </c>
      <c r="Q129" s="137"/>
    </row>
    <row r="130" spans="1:17" x14ac:dyDescent="0.25">
      <c r="A130">
        <f t="shared" si="16"/>
        <v>1.8900000000000008</v>
      </c>
      <c r="B130">
        <f>Main!$B$20/A130</f>
        <v>2.6455026455026442</v>
      </c>
      <c r="D130" s="137">
        <f t="shared" si="9"/>
        <v>2.6455026455026442</v>
      </c>
      <c r="E130" s="137">
        <f>-B130*Main!$B$19-2*Main!$B$19*loop_gain!$B$17*loop_gain!$B$18</f>
        <v>-97.02603174603172</v>
      </c>
      <c r="F130" s="137">
        <f>2*Main!$B$19*loop_gain!$B$17*loop_gain!$B$18*Helper_calcs!$B$26*Current_limit!B130</f>
        <v>664.88888888888846</v>
      </c>
      <c r="G130" s="137">
        <f t="shared" si="11"/>
        <v>9.1210165109533605</v>
      </c>
      <c r="H130" s="137">
        <f>(Main!$B$19-Current_limit!G130)*Current_limit!G130/(Main!$B$19*loop_gain!$B$17*loop_gain!$B$18)</f>
        <v>0.804511517719256</v>
      </c>
      <c r="I130" s="137">
        <f t="shared" si="12"/>
        <v>3.045488482280744</v>
      </c>
      <c r="J130" s="137"/>
      <c r="K130" s="138">
        <f>IF(A130&gt;$B$15,IF(I130&gt;Helper_calcs!$B$27,23,3),0)</f>
        <v>0</v>
      </c>
      <c r="L130" s="139">
        <f t="shared" si="10"/>
        <v>0</v>
      </c>
      <c r="M130" s="139">
        <f t="shared" si="13"/>
        <v>0</v>
      </c>
      <c r="N130" s="137">
        <f t="shared" si="14"/>
        <v>1.8900000000000008</v>
      </c>
      <c r="O130" s="137">
        <f t="shared" si="15"/>
        <v>5</v>
      </c>
      <c r="P130" s="140">
        <f>IF(OR(M130=0,M130=3),loop_gain!$B$18,IF(Current_limit!M130=1,Current_limit!$B$12/(2*(Current_limit!N130-Helper_calcs!$B$27)),IF(OR(M130=2,M130=23),(Main!$B$19-Current_limit!O130)*Current_limit!O130/(Main!$B$19*loop_gain!$B$17*(Helper_calcs!$B$26-Helper_calcs!$B$27)),x)))</f>
        <v>400000</v>
      </c>
      <c r="Q130" s="137"/>
    </row>
    <row r="131" spans="1:17" x14ac:dyDescent="0.25">
      <c r="A131">
        <f t="shared" si="16"/>
        <v>1.9000000000000008</v>
      </c>
      <c r="B131">
        <f>Main!$B$20/A131</f>
        <v>2.6315789473684199</v>
      </c>
      <c r="D131" s="137">
        <f t="shared" si="9"/>
        <v>2.6315789473684199</v>
      </c>
      <c r="E131" s="137">
        <f>-B131*Main!$B$19-2*Main!$B$19*loop_gain!$B$17*loop_gain!$B$18</f>
        <v>-96.858947368421028</v>
      </c>
      <c r="F131" s="137">
        <f>2*Main!$B$19*loop_gain!$B$17*loop_gain!$B$18*Helper_calcs!$B$26*Current_limit!B131</f>
        <v>661.38947368421009</v>
      </c>
      <c r="G131" s="137">
        <f t="shared" si="11"/>
        <v>9.0570901012239275</v>
      </c>
      <c r="H131" s="137">
        <f>(Main!$B$19-Current_limit!G131)*Current_limit!G131/(Main!$B$19*loop_gain!$B$17*loop_gain!$B$18)</f>
        <v>0.81661152306981255</v>
      </c>
      <c r="I131" s="137">
        <f t="shared" si="12"/>
        <v>3.0333884769301878</v>
      </c>
      <c r="J131" s="137"/>
      <c r="K131" s="138">
        <f>IF(A131&gt;$B$15,IF(I131&gt;Helper_calcs!$B$27,23,3),0)</f>
        <v>0</v>
      </c>
      <c r="L131" s="139">
        <f t="shared" si="10"/>
        <v>0</v>
      </c>
      <c r="M131" s="139">
        <f t="shared" si="13"/>
        <v>0</v>
      </c>
      <c r="N131" s="137">
        <f t="shared" si="14"/>
        <v>1.9000000000000008</v>
      </c>
      <c r="O131" s="137">
        <f t="shared" si="15"/>
        <v>5</v>
      </c>
      <c r="P131" s="140">
        <f>IF(OR(M131=0,M131=3),loop_gain!$B$18,IF(Current_limit!M131=1,Current_limit!$B$12/(2*(Current_limit!N131-Helper_calcs!$B$27)),IF(OR(M131=2,M131=23),(Main!$B$19-Current_limit!O131)*Current_limit!O131/(Main!$B$19*loop_gain!$B$17*(Helper_calcs!$B$26-Helper_calcs!$B$27)),x)))</f>
        <v>400000</v>
      </c>
      <c r="Q131" s="137"/>
    </row>
    <row r="132" spans="1:17" x14ac:dyDescent="0.25">
      <c r="A132">
        <f t="shared" si="16"/>
        <v>1.9100000000000008</v>
      </c>
      <c r="B132">
        <f>Main!$B$20/A132</f>
        <v>2.6178010471204178</v>
      </c>
      <c r="D132" s="137">
        <f t="shared" si="9"/>
        <v>2.6178010471204178</v>
      </c>
      <c r="E132" s="137">
        <f>-B132*Main!$B$19-2*Main!$B$19*loop_gain!$B$17*loop_gain!$B$18</f>
        <v>-96.693612565444994</v>
      </c>
      <c r="F132" s="137">
        <f>2*Main!$B$19*loop_gain!$B$17*loop_gain!$B$18*Helper_calcs!$B$26*Current_limit!B132</f>
        <v>657.92670157068028</v>
      </c>
      <c r="G132" s="137">
        <f t="shared" si="11"/>
        <v>8.9944759093105713</v>
      </c>
      <c r="H132" s="137">
        <f>(Main!$B$19-Current_limit!G132)*Current_limit!G132/(Main!$B$19*loop_gain!$B$17*loop_gain!$B$18)</f>
        <v>0.82822040528672281</v>
      </c>
      <c r="I132" s="137">
        <f t="shared" si="12"/>
        <v>3.0217795947132782</v>
      </c>
      <c r="J132" s="137"/>
      <c r="K132" s="138">
        <f>IF(A132&gt;$B$15,IF(I132&gt;Helper_calcs!$B$27,23,3),0)</f>
        <v>0</v>
      </c>
      <c r="L132" s="139">
        <f t="shared" si="10"/>
        <v>0</v>
      </c>
      <c r="M132" s="139">
        <f t="shared" si="13"/>
        <v>0</v>
      </c>
      <c r="N132" s="137">
        <f t="shared" si="14"/>
        <v>1.9100000000000008</v>
      </c>
      <c r="O132" s="137">
        <f t="shared" si="15"/>
        <v>5</v>
      </c>
      <c r="P132" s="140">
        <f>IF(OR(M132=0,M132=3),loop_gain!$B$18,IF(Current_limit!M132=1,Current_limit!$B$12/(2*(Current_limit!N132-Helper_calcs!$B$27)),IF(OR(M132=2,M132=23),(Main!$B$19-Current_limit!O132)*Current_limit!O132/(Main!$B$19*loop_gain!$B$17*(Helper_calcs!$B$26-Helper_calcs!$B$27)),x)))</f>
        <v>400000</v>
      </c>
      <c r="Q132" s="137"/>
    </row>
    <row r="133" spans="1:17" x14ac:dyDescent="0.25">
      <c r="A133">
        <f t="shared" si="16"/>
        <v>1.9200000000000008</v>
      </c>
      <c r="B133">
        <f>Main!$B$20/A133</f>
        <v>2.6041666666666656</v>
      </c>
      <c r="D133" s="137">
        <f t="shared" si="9"/>
        <v>2.6041666666666656</v>
      </c>
      <c r="E133" s="137">
        <f>-B133*Main!$B$19-2*Main!$B$19*loop_gain!$B$17*loop_gain!$B$18</f>
        <v>-96.529999999999973</v>
      </c>
      <c r="F133" s="137">
        <f>2*Main!$B$19*loop_gain!$B$17*loop_gain!$B$18*Helper_calcs!$B$26*Current_limit!B133</f>
        <v>654.49999999999955</v>
      </c>
      <c r="G133" s="137">
        <f t="shared" si="11"/>
        <v>8.9331214932338945</v>
      </c>
      <c r="H133" s="137">
        <f>(Main!$B$19-Current_limit!G133)*Current_limit!G133/(Main!$B$19*loop_gain!$B$17*loop_gain!$B$18)</f>
        <v>0.83936269319636569</v>
      </c>
      <c r="I133" s="137">
        <f t="shared" si="12"/>
        <v>3.0106373068036341</v>
      </c>
      <c r="J133" s="137"/>
      <c r="K133" s="138">
        <f>IF(A133&gt;$B$15,IF(I133&gt;Helper_calcs!$B$27,23,3),0)</f>
        <v>0</v>
      </c>
      <c r="L133" s="139">
        <f t="shared" si="10"/>
        <v>0</v>
      </c>
      <c r="M133" s="139">
        <f t="shared" si="13"/>
        <v>0</v>
      </c>
      <c r="N133" s="137">
        <f t="shared" si="14"/>
        <v>1.9200000000000008</v>
      </c>
      <c r="O133" s="137">
        <f t="shared" si="15"/>
        <v>5</v>
      </c>
      <c r="P133" s="140">
        <f>IF(OR(M133=0,M133=3),loop_gain!$B$18,IF(Current_limit!M133=1,Current_limit!$B$12/(2*(Current_limit!N133-Helper_calcs!$B$27)),IF(OR(M133=2,M133=23),(Main!$B$19-Current_limit!O133)*Current_limit!O133/(Main!$B$19*loop_gain!$B$17*(Helper_calcs!$B$26-Helper_calcs!$B$27)),x)))</f>
        <v>400000</v>
      </c>
      <c r="Q133" s="137"/>
    </row>
    <row r="134" spans="1:17" x14ac:dyDescent="0.25">
      <c r="A134">
        <f t="shared" si="16"/>
        <v>1.9300000000000008</v>
      </c>
      <c r="B134">
        <f>Main!$B$20/A134</f>
        <v>2.5906735751295327</v>
      </c>
      <c r="D134" s="137">
        <f t="shared" si="9"/>
        <v>2.5906735751295327</v>
      </c>
      <c r="E134" s="137">
        <f>-B134*Main!$B$19-2*Main!$B$19*loop_gain!$B$17*loop_gain!$B$18</f>
        <v>-96.368082901554374</v>
      </c>
      <c r="F134" s="137">
        <f>2*Main!$B$19*loop_gain!$B$17*loop_gain!$B$18*Helper_calcs!$B$26*Current_limit!B134</f>
        <v>651.10880829015503</v>
      </c>
      <c r="G134" s="137">
        <f t="shared" si="11"/>
        <v>8.8729776456039495</v>
      </c>
      <c r="H134" s="137">
        <f>(Main!$B$19-Current_limit!G134)*Current_limit!G134/(Main!$B$19*loop_gain!$B$17*loop_gain!$B$18)</f>
        <v>0.85006125759374973</v>
      </c>
      <c r="I134" s="137">
        <f t="shared" si="12"/>
        <v>2.9999387424062509</v>
      </c>
      <c r="J134" s="137"/>
      <c r="K134" s="138">
        <f>IF(A134&gt;$B$15,IF(I134&gt;Helper_calcs!$B$27,23,3),0)</f>
        <v>0</v>
      </c>
      <c r="L134" s="139">
        <f t="shared" si="10"/>
        <v>0</v>
      </c>
      <c r="M134" s="139">
        <f t="shared" si="13"/>
        <v>0</v>
      </c>
      <c r="N134" s="137">
        <f t="shared" si="14"/>
        <v>1.9300000000000008</v>
      </c>
      <c r="O134" s="137">
        <f t="shared" si="15"/>
        <v>5</v>
      </c>
      <c r="P134" s="140">
        <f>IF(OR(M134=0,M134=3),loop_gain!$B$18,IF(Current_limit!M134=1,Current_limit!$B$12/(2*(Current_limit!N134-Helper_calcs!$B$27)),IF(OR(M134=2,M134=23),(Main!$B$19-Current_limit!O134)*Current_limit!O134/(Main!$B$19*loop_gain!$B$17*(Helper_calcs!$B$26-Helper_calcs!$B$27)),x)))</f>
        <v>400000</v>
      </c>
      <c r="Q134" s="137"/>
    </row>
    <row r="135" spans="1:17" x14ac:dyDescent="0.25">
      <c r="A135">
        <f t="shared" si="16"/>
        <v>1.9400000000000008</v>
      </c>
      <c r="B135">
        <f>Main!$B$20/A135</f>
        <v>2.5773195876288648</v>
      </c>
      <c r="D135" s="137">
        <f t="shared" si="9"/>
        <v>2.5773195876288648</v>
      </c>
      <c r="E135" s="137">
        <f>-B135*Main!$B$19-2*Main!$B$19*loop_gain!$B$17*loop_gain!$B$18</f>
        <v>-96.207835051546368</v>
      </c>
      <c r="F135" s="137">
        <f>2*Main!$B$19*loop_gain!$B$17*loop_gain!$B$18*Helper_calcs!$B$26*Current_limit!B135</f>
        <v>647.7525773195872</v>
      </c>
      <c r="G135" s="137">
        <f t="shared" si="11"/>
        <v>8.8139981239189904</v>
      </c>
      <c r="H135" s="137">
        <f>(Main!$B$19-Current_limit!G135)*Current_limit!G135/(Main!$B$19*loop_gain!$B$17*loop_gain!$B$18)</f>
        <v>0.86033745583886057</v>
      </c>
      <c r="I135" s="137">
        <f t="shared" si="12"/>
        <v>2.9896625441611397</v>
      </c>
      <c r="J135" s="137"/>
      <c r="K135" s="138">
        <f>IF(A135&gt;$B$15,IF(I135&gt;Helper_calcs!$B$27,23,3),0)</f>
        <v>0</v>
      </c>
      <c r="L135" s="139">
        <f t="shared" si="10"/>
        <v>0</v>
      </c>
      <c r="M135" s="139">
        <f t="shared" si="13"/>
        <v>0</v>
      </c>
      <c r="N135" s="137">
        <f t="shared" si="14"/>
        <v>1.9400000000000008</v>
      </c>
      <c r="O135" s="137">
        <f t="shared" si="15"/>
        <v>5</v>
      </c>
      <c r="P135" s="140">
        <f>IF(OR(M135=0,M135=3),loop_gain!$B$18,IF(Current_limit!M135=1,Current_limit!$B$12/(2*(Current_limit!N135-Helper_calcs!$B$27)),IF(OR(M135=2,M135=23),(Main!$B$19-Current_limit!O135)*Current_limit!O135/(Main!$B$19*loop_gain!$B$17*(Helper_calcs!$B$26-Helper_calcs!$B$27)),x)))</f>
        <v>400000</v>
      </c>
      <c r="Q135" s="137"/>
    </row>
    <row r="136" spans="1:17" x14ac:dyDescent="0.25">
      <c r="A136">
        <f t="shared" si="16"/>
        <v>1.9500000000000008</v>
      </c>
      <c r="B136">
        <f>Main!$B$20/A136</f>
        <v>2.564102564102563</v>
      </c>
      <c r="D136" s="137">
        <f t="shared" si="9"/>
        <v>2.564102564102563</v>
      </c>
      <c r="E136" s="137">
        <f>-B136*Main!$B$19-2*Main!$B$19*loop_gain!$B$17*loop_gain!$B$18</f>
        <v>-96.049230769230746</v>
      </c>
      <c r="F136" s="137">
        <f>2*Main!$B$19*loop_gain!$B$17*loop_gain!$B$18*Helper_calcs!$B$26*Current_limit!B136</f>
        <v>644.43076923076876</v>
      </c>
      <c r="G136" s="137">
        <f t="shared" si="11"/>
        <v>8.7561394090115279</v>
      </c>
      <c r="H136" s="137">
        <f>(Main!$B$19-Current_limit!G136)*Current_limit!G136/(Main!$B$19*loop_gain!$B$17*loop_gain!$B$18)</f>
        <v>0.87021126097100465</v>
      </c>
      <c r="I136" s="137">
        <f t="shared" si="12"/>
        <v>2.9797887390289954</v>
      </c>
      <c r="J136" s="137"/>
      <c r="K136" s="138">
        <f>IF(A136&gt;$B$15,IF(I136&gt;Helper_calcs!$B$27,23,3),0)</f>
        <v>0</v>
      </c>
      <c r="L136" s="139">
        <f t="shared" si="10"/>
        <v>0</v>
      </c>
      <c r="M136" s="139">
        <f t="shared" si="13"/>
        <v>0</v>
      </c>
      <c r="N136" s="137">
        <f t="shared" si="14"/>
        <v>1.9500000000000008</v>
      </c>
      <c r="O136" s="137">
        <f t="shared" si="15"/>
        <v>5</v>
      </c>
      <c r="P136" s="140">
        <f>IF(OR(M136=0,M136=3),loop_gain!$B$18,IF(Current_limit!M136=1,Current_limit!$B$12/(2*(Current_limit!N136-Helper_calcs!$B$27)),IF(OR(M136=2,M136=23),(Main!$B$19-Current_limit!O136)*Current_limit!O136/(Main!$B$19*loop_gain!$B$17*(Helper_calcs!$B$26-Helper_calcs!$B$27)),x)))</f>
        <v>400000</v>
      </c>
      <c r="Q136" s="137"/>
    </row>
    <row r="137" spans="1:17" x14ac:dyDescent="0.25">
      <c r="A137">
        <f t="shared" si="16"/>
        <v>1.9600000000000009</v>
      </c>
      <c r="B137">
        <f>Main!$B$20/A137</f>
        <v>2.5510204081632644</v>
      </c>
      <c r="D137" s="137">
        <f t="shared" si="9"/>
        <v>2.5510204081632644</v>
      </c>
      <c r="E137" s="137">
        <f>-B137*Main!$B$19-2*Main!$B$19*loop_gain!$B$17*loop_gain!$B$18</f>
        <v>-95.892244897959159</v>
      </c>
      <c r="F137" s="137">
        <f>2*Main!$B$19*loop_gain!$B$17*loop_gain!$B$18*Helper_calcs!$B$26*Current_limit!B137</f>
        <v>641.14285714285677</v>
      </c>
      <c r="G137" s="137">
        <f t="shared" si="11"/>
        <v>8.6993604881373194</v>
      </c>
      <c r="H137" s="137">
        <f>(Main!$B$19-Current_limit!G137)*Current_limit!G137/(Main!$B$19*loop_gain!$B$17*loop_gain!$B$18)</f>
        <v>0.87970137730033882</v>
      </c>
      <c r="I137" s="137">
        <f t="shared" si="12"/>
        <v>2.9702986226996613</v>
      </c>
      <c r="J137" s="137"/>
      <c r="K137" s="138">
        <f>IF(A137&gt;$B$15,IF(I137&gt;Helper_calcs!$B$27,23,3),0)</f>
        <v>0</v>
      </c>
      <c r="L137" s="139">
        <f t="shared" si="10"/>
        <v>0</v>
      </c>
      <c r="M137" s="139">
        <f t="shared" si="13"/>
        <v>0</v>
      </c>
      <c r="N137" s="137">
        <f t="shared" si="14"/>
        <v>1.9600000000000009</v>
      </c>
      <c r="O137" s="137">
        <f t="shared" si="15"/>
        <v>5</v>
      </c>
      <c r="P137" s="140">
        <f>IF(OR(M137=0,M137=3),loop_gain!$B$18,IF(Current_limit!M137=1,Current_limit!$B$12/(2*(Current_limit!N137-Helper_calcs!$B$27)),IF(OR(M137=2,M137=23),(Main!$B$19-Current_limit!O137)*Current_limit!O137/(Main!$B$19*loop_gain!$B$17*(Helper_calcs!$B$26-Helper_calcs!$B$27)),x)))</f>
        <v>400000</v>
      </c>
      <c r="Q137" s="137"/>
    </row>
    <row r="138" spans="1:17" x14ac:dyDescent="0.25">
      <c r="A138">
        <f t="shared" si="16"/>
        <v>1.9700000000000009</v>
      </c>
      <c r="B138">
        <f>Main!$B$20/A138</f>
        <v>2.5380710659898464</v>
      </c>
      <c r="D138" s="137">
        <f t="shared" si="9"/>
        <v>2.5380710659898464</v>
      </c>
      <c r="E138" s="137">
        <f>-B138*Main!$B$19-2*Main!$B$19*loop_gain!$B$17*loop_gain!$B$18</f>
        <v>-95.736852791878135</v>
      </c>
      <c r="F138" s="137">
        <f>2*Main!$B$19*loop_gain!$B$17*loop_gain!$B$18*Helper_calcs!$B$26*Current_limit!B138</f>
        <v>637.88832487309594</v>
      </c>
      <c r="G138" s="137">
        <f t="shared" si="11"/>
        <v>8.6436226597070522</v>
      </c>
      <c r="H138" s="137">
        <f>(Main!$B$19-Current_limit!G138)*Current_limit!G138/(Main!$B$19*loop_gain!$B$17*loop_gain!$B$18)</f>
        <v>0.88882534415084002</v>
      </c>
      <c r="I138" s="137">
        <f t="shared" si="12"/>
        <v>2.9611746558491601</v>
      </c>
      <c r="J138" s="137"/>
      <c r="K138" s="138">
        <f>IF(A138&gt;$B$15,IF(I138&gt;Helper_calcs!$B$27,23,3),0)</f>
        <v>0</v>
      </c>
      <c r="L138" s="139">
        <f t="shared" si="10"/>
        <v>0</v>
      </c>
      <c r="M138" s="139">
        <f t="shared" si="13"/>
        <v>0</v>
      </c>
      <c r="N138" s="137">
        <f t="shared" si="14"/>
        <v>1.9700000000000009</v>
      </c>
      <c r="O138" s="137">
        <f t="shared" si="15"/>
        <v>5</v>
      </c>
      <c r="P138" s="140">
        <f>IF(OR(M138=0,M138=3),loop_gain!$B$18,IF(Current_limit!M138=1,Current_limit!$B$12/(2*(Current_limit!N138-Helper_calcs!$B$27)),IF(OR(M138=2,M138=23),(Main!$B$19-Current_limit!O138)*Current_limit!O138/(Main!$B$19*loop_gain!$B$17*(Helper_calcs!$B$26-Helper_calcs!$B$27)),x)))</f>
        <v>400000</v>
      </c>
      <c r="Q138" s="137"/>
    </row>
    <row r="139" spans="1:17" x14ac:dyDescent="0.25">
      <c r="A139">
        <f t="shared" si="16"/>
        <v>1.9800000000000009</v>
      </c>
      <c r="B139">
        <f>Main!$B$20/A139</f>
        <v>2.5252525252525242</v>
      </c>
      <c r="D139" s="137">
        <f t="shared" si="9"/>
        <v>2.5252525252525242</v>
      </c>
      <c r="E139" s="137">
        <f>-B139*Main!$B$19-2*Main!$B$19*loop_gain!$B$17*loop_gain!$B$18</f>
        <v>-95.583030303030284</v>
      </c>
      <c r="F139" s="137">
        <f>2*Main!$B$19*loop_gain!$B$17*loop_gain!$B$18*Helper_calcs!$B$26*Current_limit!B139</f>
        <v>634.66666666666629</v>
      </c>
      <c r="G139" s="137">
        <f t="shared" si="11"/>
        <v>8.5888893570824063</v>
      </c>
      <c r="H139" s="137">
        <f>(Main!$B$19-Current_limit!G139)*Current_limit!G139/(Main!$B$19*loop_gain!$B$17*loop_gain!$B$18)</f>
        <v>0.89759962919073077</v>
      </c>
      <c r="I139" s="137">
        <f t="shared" si="12"/>
        <v>2.952400370809269</v>
      </c>
      <c r="J139" s="137"/>
      <c r="K139" s="138">
        <f>IF(A139&gt;$B$15,IF(I139&gt;Helper_calcs!$B$27,23,3),0)</f>
        <v>0</v>
      </c>
      <c r="L139" s="139">
        <f t="shared" si="10"/>
        <v>0</v>
      </c>
      <c r="M139" s="139">
        <f t="shared" si="13"/>
        <v>0</v>
      </c>
      <c r="N139" s="137">
        <f t="shared" si="14"/>
        <v>1.9800000000000009</v>
      </c>
      <c r="O139" s="137">
        <f t="shared" si="15"/>
        <v>5</v>
      </c>
      <c r="P139" s="140">
        <f>IF(OR(M139=0,M139=3),loop_gain!$B$18,IF(Current_limit!M139=1,Current_limit!$B$12/(2*(Current_limit!N139-Helper_calcs!$B$27)),IF(OR(M139=2,M139=23),(Main!$B$19-Current_limit!O139)*Current_limit!O139/(Main!$B$19*loop_gain!$B$17*(Helper_calcs!$B$26-Helper_calcs!$B$27)),x)))</f>
        <v>400000</v>
      </c>
      <c r="Q139" s="137"/>
    </row>
    <row r="140" spans="1:17" x14ac:dyDescent="0.25">
      <c r="A140">
        <f t="shared" si="16"/>
        <v>1.9900000000000009</v>
      </c>
      <c r="B140">
        <f>Main!$B$20/A140</f>
        <v>2.5125628140703506</v>
      </c>
      <c r="D140" s="137">
        <f t="shared" si="9"/>
        <v>2.5125628140703506</v>
      </c>
      <c r="E140" s="137">
        <f>-B140*Main!$B$19-2*Main!$B$19*loop_gain!$B$17*loop_gain!$B$18</f>
        <v>-95.430753768844198</v>
      </c>
      <c r="F140" s="137">
        <f>2*Main!$B$19*loop_gain!$B$17*loop_gain!$B$18*Helper_calcs!$B$26*Current_limit!B140</f>
        <v>631.47738693467295</v>
      </c>
      <c r="G140" s="137">
        <f t="shared" si="11"/>
        <v>8.5351259892132312</v>
      </c>
      <c r="H140" s="137">
        <f>(Main!$B$19-Current_limit!G140)*Current_limit!G140/(Main!$B$19*loop_gain!$B$17*loop_gain!$B$18)</f>
        <v>0.90603971258626359</v>
      </c>
      <c r="I140" s="137">
        <f t="shared" si="12"/>
        <v>2.9439602874137356</v>
      </c>
      <c r="J140" s="137"/>
      <c r="K140" s="138">
        <f>IF(A140&gt;$B$15,IF(I140&gt;Helper_calcs!$B$27,23,3),0)</f>
        <v>0</v>
      </c>
      <c r="L140" s="139">
        <f t="shared" si="10"/>
        <v>0</v>
      </c>
      <c r="M140" s="139">
        <f t="shared" si="13"/>
        <v>0</v>
      </c>
      <c r="N140" s="137">
        <f t="shared" si="14"/>
        <v>1.9900000000000009</v>
      </c>
      <c r="O140" s="137">
        <f t="shared" si="15"/>
        <v>5</v>
      </c>
      <c r="P140" s="140">
        <f>IF(OR(M140=0,M140=3),loop_gain!$B$18,IF(Current_limit!M140=1,Current_limit!$B$12/(2*(Current_limit!N140-Helper_calcs!$B$27)),IF(OR(M140=2,M140=23),(Main!$B$19-Current_limit!O140)*Current_limit!O140/(Main!$B$19*loop_gain!$B$17*(Helper_calcs!$B$26-Helper_calcs!$B$27)),x)))</f>
        <v>400000</v>
      </c>
      <c r="Q140" s="137"/>
    </row>
    <row r="141" spans="1:17" x14ac:dyDescent="0.25">
      <c r="A141">
        <f t="shared" si="16"/>
        <v>2.0000000000000009</v>
      </c>
      <c r="B141">
        <f>Main!$B$20/A141</f>
        <v>2.4999999999999991</v>
      </c>
      <c r="D141" s="137">
        <f t="shared" si="9"/>
        <v>2.4999999999999991</v>
      </c>
      <c r="E141" s="137">
        <f>-B141*Main!$B$19-2*Main!$B$19*loop_gain!$B$17*loop_gain!$B$18</f>
        <v>-95.279999999999973</v>
      </c>
      <c r="F141" s="137">
        <f>2*Main!$B$19*loop_gain!$B$17*loop_gain!$B$18*Helper_calcs!$B$26*Current_limit!B141</f>
        <v>628.3199999999996</v>
      </c>
      <c r="G141" s="137">
        <f t="shared" si="11"/>
        <v>8.482299796192434</v>
      </c>
      <c r="H141" s="137">
        <f>(Main!$B$19-Current_limit!G141)*Current_limit!G141/(Main!$B$19*loop_gain!$B$17*loop_gain!$B$18)</f>
        <v>0.91416016304604797</v>
      </c>
      <c r="I141" s="137">
        <f t="shared" si="12"/>
        <v>2.9358398369539511</v>
      </c>
      <c r="J141" s="137"/>
      <c r="K141" s="138">
        <f>IF(A141&gt;$B$15,IF(I141&gt;Helper_calcs!$B$27,23,3),0)</f>
        <v>0</v>
      </c>
      <c r="L141" s="139">
        <f t="shared" si="10"/>
        <v>0</v>
      </c>
      <c r="M141" s="139">
        <f t="shared" si="13"/>
        <v>0</v>
      </c>
      <c r="N141" s="137">
        <f t="shared" si="14"/>
        <v>2.0000000000000009</v>
      </c>
      <c r="O141" s="137">
        <f t="shared" si="15"/>
        <v>5</v>
      </c>
      <c r="P141" s="140">
        <f>IF(OR(M141=0,M141=3),loop_gain!$B$18,IF(Current_limit!M141=1,Current_limit!$B$12/(2*(Current_limit!N141-Helper_calcs!$B$27)),IF(OR(M141=2,M141=23),(Main!$B$19-Current_limit!O141)*Current_limit!O141/(Main!$B$19*loop_gain!$B$17*(Helper_calcs!$B$26-Helper_calcs!$B$27)),x)))</f>
        <v>400000</v>
      </c>
      <c r="Q141" s="137"/>
    </row>
    <row r="142" spans="1:17" x14ac:dyDescent="0.25">
      <c r="A142">
        <f t="shared" si="16"/>
        <v>2.0100000000000007</v>
      </c>
      <c r="B142">
        <f>Main!$B$20/A142</f>
        <v>2.4875621890547257</v>
      </c>
      <c r="D142" s="137">
        <f t="shared" si="9"/>
        <v>2.4875621890547257</v>
      </c>
      <c r="E142" s="137">
        <f>-B142*Main!$B$19-2*Main!$B$19*loop_gain!$B$17*loop_gain!$B$18</f>
        <v>-95.130746268656694</v>
      </c>
      <c r="F142" s="137">
        <f>2*Main!$B$19*loop_gain!$B$17*loop_gain!$B$18*Helper_calcs!$B$26*Current_limit!B142</f>
        <v>625.19402985074601</v>
      </c>
      <c r="G142" s="137">
        <f t="shared" si="11"/>
        <v>8.4303797180592852</v>
      </c>
      <c r="H142" s="137">
        <f>(Main!$B$19-Current_limit!G142)*Current_limit!G142/(Main!$B$19*loop_gain!$B$17*loop_gain!$B$18)</f>
        <v>0.92197470668033321</v>
      </c>
      <c r="I142" s="137">
        <f t="shared" si="12"/>
        <v>2.9280252933196667</v>
      </c>
      <c r="J142" s="137"/>
      <c r="K142" s="138">
        <f>IF(A142&gt;$B$15,IF(I142&gt;Helper_calcs!$B$27,23,3),0)</f>
        <v>0</v>
      </c>
      <c r="L142" s="139">
        <f t="shared" si="10"/>
        <v>0</v>
      </c>
      <c r="M142" s="139">
        <f t="shared" si="13"/>
        <v>0</v>
      </c>
      <c r="N142" s="137">
        <f t="shared" si="14"/>
        <v>2.0100000000000007</v>
      </c>
      <c r="O142" s="137">
        <f t="shared" si="15"/>
        <v>5</v>
      </c>
      <c r="P142" s="140">
        <f>IF(OR(M142=0,M142=3),loop_gain!$B$18,IF(Current_limit!M142=1,Current_limit!$B$12/(2*(Current_limit!N142-Helper_calcs!$B$27)),IF(OR(M142=2,M142=23),(Main!$B$19-Current_limit!O142)*Current_limit!O142/(Main!$B$19*loop_gain!$B$17*(Helper_calcs!$B$26-Helper_calcs!$B$27)),x)))</f>
        <v>400000</v>
      </c>
      <c r="Q142" s="137"/>
    </row>
    <row r="143" spans="1:17" x14ac:dyDescent="0.25">
      <c r="A143">
        <f t="shared" si="16"/>
        <v>2.0200000000000005</v>
      </c>
      <c r="B143">
        <f>Main!$B$20/A143</f>
        <v>2.4752475247524748</v>
      </c>
      <c r="D143" s="137">
        <f t="shared" si="9"/>
        <v>2.4752475247524748</v>
      </c>
      <c r="E143" s="137">
        <f>-B143*Main!$B$19-2*Main!$B$19*loop_gain!$B$17*loop_gain!$B$18</f>
        <v>-94.982970297029681</v>
      </c>
      <c r="F143" s="137">
        <f>2*Main!$B$19*loop_gain!$B$17*loop_gain!$B$18*Helper_calcs!$B$26*Current_limit!B143</f>
        <v>622.09900990098981</v>
      </c>
      <c r="G143" s="137">
        <f t="shared" si="11"/>
        <v>8.3793362753980105</v>
      </c>
      <c r="H143" s="137">
        <f>(Main!$B$19-Current_limit!G143)*Current_limit!G143/(Main!$B$19*loop_gain!$B$17*loop_gain!$B$18)</f>
        <v>0.92949628947840468</v>
      </c>
      <c r="I143" s="137">
        <f t="shared" si="12"/>
        <v>2.9205037105215945</v>
      </c>
      <c r="J143" s="137"/>
      <c r="K143" s="138">
        <f>IF(A143&gt;$B$15,IF(I143&gt;Helper_calcs!$B$27,23,3),0)</f>
        <v>0</v>
      </c>
      <c r="L143" s="139">
        <f t="shared" si="10"/>
        <v>0</v>
      </c>
      <c r="M143" s="139">
        <f t="shared" si="13"/>
        <v>0</v>
      </c>
      <c r="N143" s="137">
        <f t="shared" si="14"/>
        <v>2.0200000000000005</v>
      </c>
      <c r="O143" s="137">
        <f t="shared" si="15"/>
        <v>5</v>
      </c>
      <c r="P143" s="140">
        <f>IF(OR(M143=0,M143=3),loop_gain!$B$18,IF(Current_limit!M143=1,Current_limit!$B$12/(2*(Current_limit!N143-Helper_calcs!$B$27)),IF(OR(M143=2,M143=23),(Main!$B$19-Current_limit!O143)*Current_limit!O143/(Main!$B$19*loop_gain!$B$17*(Helper_calcs!$B$26-Helper_calcs!$B$27)),x)))</f>
        <v>400000</v>
      </c>
      <c r="Q143" s="137"/>
    </row>
    <row r="144" spans="1:17" x14ac:dyDescent="0.25">
      <c r="A144">
        <f t="shared" si="16"/>
        <v>2.0300000000000002</v>
      </c>
      <c r="B144">
        <f>Main!$B$20/A144</f>
        <v>2.4630541871921179</v>
      </c>
      <c r="D144" s="137">
        <f t="shared" si="9"/>
        <v>2.4630541871921179</v>
      </c>
      <c r="E144" s="137">
        <f>-B144*Main!$B$19-2*Main!$B$19*loop_gain!$B$17*loop_gain!$B$18</f>
        <v>-94.836650246305396</v>
      </c>
      <c r="F144" s="137">
        <f>2*Main!$B$19*loop_gain!$B$17*loop_gain!$B$18*Helper_calcs!$B$26*Current_limit!B144</f>
        <v>619.03448275862047</v>
      </c>
      <c r="G144" s="137">
        <f t="shared" si="11"/>
        <v>8.3291414604631679</v>
      </c>
      <c r="H144" s="137">
        <f>(Main!$B$19-Current_limit!G144)*Current_limit!G144/(Main!$B$19*loop_gain!$B$17*loop_gain!$B$18)</f>
        <v>0.93673713410390647</v>
      </c>
      <c r="I144" s="137">
        <f t="shared" si="12"/>
        <v>2.9132628658960935</v>
      </c>
      <c r="J144" s="137"/>
      <c r="K144" s="138">
        <f>IF(A144&gt;$B$15,IF(I144&gt;Helper_calcs!$B$27,23,3),0)</f>
        <v>0</v>
      </c>
      <c r="L144" s="139">
        <f t="shared" si="10"/>
        <v>0</v>
      </c>
      <c r="M144" s="139">
        <f t="shared" si="13"/>
        <v>0</v>
      </c>
      <c r="N144" s="137">
        <f t="shared" si="14"/>
        <v>2.0300000000000002</v>
      </c>
      <c r="O144" s="137">
        <f t="shared" si="15"/>
        <v>5</v>
      </c>
      <c r="P144" s="140">
        <f>IF(OR(M144=0,M144=3),loop_gain!$B$18,IF(Current_limit!M144=1,Current_limit!$B$12/(2*(Current_limit!N144-Helper_calcs!$B$27)),IF(OR(M144=2,M144=23),(Main!$B$19-Current_limit!O144)*Current_limit!O144/(Main!$B$19*loop_gain!$B$17*(Helper_calcs!$B$26-Helper_calcs!$B$27)),x)))</f>
        <v>400000</v>
      </c>
      <c r="Q144" s="137"/>
    </row>
    <row r="145" spans="1:17" x14ac:dyDescent="0.25">
      <c r="A145">
        <f t="shared" si="16"/>
        <v>2.04</v>
      </c>
      <c r="B145">
        <f>Main!$B$20/A145</f>
        <v>2.4509803921568629</v>
      </c>
      <c r="D145" s="137">
        <f t="shared" si="9"/>
        <v>2.4509803921568629</v>
      </c>
      <c r="E145" s="137">
        <f>-B145*Main!$B$19-2*Main!$B$19*loop_gain!$B$17*loop_gain!$B$18</f>
        <v>-94.691764705882349</v>
      </c>
      <c r="F145" s="137">
        <f>2*Main!$B$19*loop_gain!$B$17*loop_gain!$B$18*Helper_calcs!$B$26*Current_limit!B145</f>
        <v>615.99999999999989</v>
      </c>
      <c r="G145" s="137">
        <f t="shared" si="11"/>
        <v>8.2797686377210926</v>
      </c>
      <c r="H145" s="137">
        <f>(Main!$B$19-Current_limit!G145)*Current_limit!G145/(Main!$B$19*loop_gain!$B$17*loop_gain!$B$18)</f>
        <v>0.94370879161958698</v>
      </c>
      <c r="I145" s="137">
        <f t="shared" si="12"/>
        <v>2.906291208380412</v>
      </c>
      <c r="J145" s="137"/>
      <c r="K145" s="138">
        <f>IF(A145&gt;$B$15,IF(I145&gt;Helper_calcs!$B$27,23,3),0)</f>
        <v>0</v>
      </c>
      <c r="L145" s="139">
        <f t="shared" si="10"/>
        <v>0</v>
      </c>
      <c r="M145" s="139">
        <f t="shared" si="13"/>
        <v>0</v>
      </c>
      <c r="N145" s="137">
        <f t="shared" si="14"/>
        <v>2.04</v>
      </c>
      <c r="O145" s="137">
        <f t="shared" si="15"/>
        <v>5</v>
      </c>
      <c r="P145" s="140">
        <f>IF(OR(M145=0,M145=3),loop_gain!$B$18,IF(Current_limit!M145=1,Current_limit!$B$12/(2*(Current_limit!N145-Helper_calcs!$B$27)),IF(OR(M145=2,M145=23),(Main!$B$19-Current_limit!O145)*Current_limit!O145/(Main!$B$19*loop_gain!$B$17*(Helper_calcs!$B$26-Helper_calcs!$B$27)),x)))</f>
        <v>400000</v>
      </c>
      <c r="Q145" s="137"/>
    </row>
    <row r="146" spans="1:17" x14ac:dyDescent="0.25">
      <c r="A146">
        <f t="shared" si="16"/>
        <v>2.0499999999999998</v>
      </c>
      <c r="B146">
        <f>Main!$B$20/A146</f>
        <v>2.4390243902439028</v>
      </c>
      <c r="D146" s="137">
        <f t="shared" si="9"/>
        <v>2.4390243902439028</v>
      </c>
      <c r="E146" s="137">
        <f>-B146*Main!$B$19-2*Main!$B$19*loop_gain!$B$17*loop_gain!$B$18</f>
        <v>-94.548292682926814</v>
      </c>
      <c r="F146" s="137">
        <f>2*Main!$B$19*loop_gain!$B$17*loop_gain!$B$18*Helper_calcs!$B$26*Current_limit!B146</f>
        <v>612.99512195121952</v>
      </c>
      <c r="G146" s="137">
        <f t="shared" si="11"/>
        <v>8.2311924528327456</v>
      </c>
      <c r="H146" s="137">
        <f>(Main!$B$19-Current_limit!G146)*Current_limit!G146/(Main!$B$19*loop_gain!$B$17*loop_gain!$B$18)</f>
        <v>0.95042218867715078</v>
      </c>
      <c r="I146" s="137">
        <f t="shared" si="12"/>
        <v>2.8995778113228496</v>
      </c>
      <c r="J146" s="137"/>
      <c r="K146" s="138">
        <f>IF(A146&gt;$B$15,IF(I146&gt;Helper_calcs!$B$27,23,3),0)</f>
        <v>0</v>
      </c>
      <c r="L146" s="139">
        <f t="shared" si="10"/>
        <v>0</v>
      </c>
      <c r="M146" s="139">
        <f t="shared" si="13"/>
        <v>0</v>
      </c>
      <c r="N146" s="137">
        <f t="shared" si="14"/>
        <v>2.0499999999999998</v>
      </c>
      <c r="O146" s="137">
        <f t="shared" si="15"/>
        <v>5</v>
      </c>
      <c r="P146" s="140">
        <f>IF(OR(M146=0,M146=3),loop_gain!$B$18,IF(Current_limit!M146=1,Current_limit!$B$12/(2*(Current_limit!N146-Helper_calcs!$B$27)),IF(OR(M146=2,M146=23),(Main!$B$19-Current_limit!O146)*Current_limit!O146/(Main!$B$19*loop_gain!$B$17*(Helper_calcs!$B$26-Helper_calcs!$B$27)),x)))</f>
        <v>400000</v>
      </c>
      <c r="Q146" s="137"/>
    </row>
    <row r="147" spans="1:17" x14ac:dyDescent="0.25">
      <c r="A147">
        <f t="shared" si="16"/>
        <v>2.0599999999999996</v>
      </c>
      <c r="B147">
        <f>Main!$B$20/A147</f>
        <v>2.4271844660194177</v>
      </c>
      <c r="D147" s="137">
        <f t="shared" si="9"/>
        <v>2.4271844660194177</v>
      </c>
      <c r="E147" s="137">
        <f>-B147*Main!$B$19-2*Main!$B$19*loop_gain!$B$17*loop_gain!$B$18</f>
        <v>-94.406213592233001</v>
      </c>
      <c r="F147" s="137">
        <f>2*Main!$B$19*loop_gain!$B$17*loop_gain!$B$18*Helper_calcs!$B$26*Current_limit!B147</f>
        <v>610.01941747572812</v>
      </c>
      <c r="G147" s="137">
        <f t="shared" si="11"/>
        <v>8.1833887492199509</v>
      </c>
      <c r="H147" s="137">
        <f>(Main!$B$19-Current_limit!G147)*Current_limit!G147/(Main!$B$19*loop_gain!$B$17*loop_gain!$B$18)</f>
        <v>0.95688767064276181</v>
      </c>
      <c r="I147" s="137">
        <f t="shared" si="12"/>
        <v>2.8931123293572383</v>
      </c>
      <c r="J147" s="137"/>
      <c r="K147" s="138">
        <f>IF(A147&gt;$B$15,IF(I147&gt;Helper_calcs!$B$27,23,3),0)</f>
        <v>0</v>
      </c>
      <c r="L147" s="139">
        <f t="shared" si="10"/>
        <v>0</v>
      </c>
      <c r="M147" s="139">
        <f t="shared" si="13"/>
        <v>0</v>
      </c>
      <c r="N147" s="137">
        <f t="shared" si="14"/>
        <v>2.0599999999999996</v>
      </c>
      <c r="O147" s="137">
        <f t="shared" si="15"/>
        <v>5</v>
      </c>
      <c r="P147" s="140">
        <f>IF(OR(M147=0,M147=3),loop_gain!$B$18,IF(Current_limit!M147=1,Current_limit!$B$12/(2*(Current_limit!N147-Helper_calcs!$B$27)),IF(OR(M147=2,M147=23),(Main!$B$19-Current_limit!O147)*Current_limit!O147/(Main!$B$19*loop_gain!$B$17*(Helper_calcs!$B$26-Helper_calcs!$B$27)),x)))</f>
        <v>400000</v>
      </c>
      <c r="Q147" s="137"/>
    </row>
    <row r="148" spans="1:17" x14ac:dyDescent="0.25">
      <c r="A148">
        <f t="shared" si="16"/>
        <v>2.0699999999999994</v>
      </c>
      <c r="B148">
        <f>Main!$B$20/A148</f>
        <v>2.4154589371980681</v>
      </c>
      <c r="D148" s="137">
        <f t="shared" si="9"/>
        <v>2.4154589371980681</v>
      </c>
      <c r="E148" s="137">
        <f>-B148*Main!$B$19-2*Main!$B$19*loop_gain!$B$17*loop_gain!$B$18</f>
        <v>-94.265507246376814</v>
      </c>
      <c r="F148" s="137">
        <f>2*Main!$B$19*loop_gain!$B$17*loop_gain!$B$18*Helper_calcs!$B$26*Current_limit!B148</f>
        <v>607.07246376811599</v>
      </c>
      <c r="G148" s="137">
        <f t="shared" si="11"/>
        <v>8.136334491458376</v>
      </c>
      <c r="H148" s="137">
        <f>(Main!$B$19-Current_limit!G148)*Current_limit!G148/(Main!$B$19*loop_gain!$B$17*loop_gain!$B$18)</f>
        <v>0.96311504107246604</v>
      </c>
      <c r="I148" s="137">
        <f t="shared" si="12"/>
        <v>2.8868849589275341</v>
      </c>
      <c r="J148" s="137"/>
      <c r="K148" s="138">
        <f>IF(A148&gt;$B$15,IF(I148&gt;Helper_calcs!$B$27,23,3),0)</f>
        <v>0</v>
      </c>
      <c r="L148" s="139">
        <f t="shared" si="10"/>
        <v>0</v>
      </c>
      <c r="M148" s="139">
        <f t="shared" si="13"/>
        <v>0</v>
      </c>
      <c r="N148" s="137">
        <f t="shared" si="14"/>
        <v>2.0699999999999994</v>
      </c>
      <c r="O148" s="137">
        <f t="shared" si="15"/>
        <v>5</v>
      </c>
      <c r="P148" s="140">
        <f>IF(OR(M148=0,M148=3),loop_gain!$B$18,IF(Current_limit!M148=1,Current_limit!$B$12/(2*(Current_limit!N148-Helper_calcs!$B$27)),IF(OR(M148=2,M148=23),(Main!$B$19-Current_limit!O148)*Current_limit!O148/(Main!$B$19*loop_gain!$B$17*(Helper_calcs!$B$26-Helper_calcs!$B$27)),x)))</f>
        <v>400000</v>
      </c>
      <c r="Q148" s="137"/>
    </row>
    <row r="149" spans="1:17" x14ac:dyDescent="0.25">
      <c r="A149">
        <f t="shared" si="16"/>
        <v>2.0799999999999992</v>
      </c>
      <c r="B149">
        <f>Main!$B$20/A149</f>
        <v>2.4038461538461546</v>
      </c>
      <c r="D149" s="137">
        <f t="shared" si="9"/>
        <v>2.4038461538461546</v>
      </c>
      <c r="E149" s="137">
        <f>-B149*Main!$B$19-2*Main!$B$19*loop_gain!$B$17*loop_gain!$B$18</f>
        <v>-94.126153846153841</v>
      </c>
      <c r="F149" s="137">
        <f>2*Main!$B$19*loop_gain!$B$17*loop_gain!$B$18*Helper_calcs!$B$26*Current_limit!B149</f>
        <v>604.15384615384619</v>
      </c>
      <c r="G149" s="137">
        <f t="shared" si="11"/>
        <v>8.0900076948278947</v>
      </c>
      <c r="H149" s="137">
        <f>(Main!$B$19-Current_limit!G149)*Current_limit!G149/(Main!$B$19*loop_gain!$B$17*loop_gain!$B$18)</f>
        <v>0.96911359790319229</v>
      </c>
      <c r="I149" s="137">
        <f t="shared" si="12"/>
        <v>2.8808864020968072</v>
      </c>
      <c r="J149" s="137"/>
      <c r="K149" s="138">
        <f>IF(A149&gt;$B$15,IF(I149&gt;Helper_calcs!$B$27,23,3),0)</f>
        <v>0</v>
      </c>
      <c r="L149" s="139">
        <f t="shared" si="10"/>
        <v>0</v>
      </c>
      <c r="M149" s="139">
        <f t="shared" si="13"/>
        <v>0</v>
      </c>
      <c r="N149" s="137">
        <f t="shared" si="14"/>
        <v>2.0799999999999992</v>
      </c>
      <c r="O149" s="137">
        <f t="shared" si="15"/>
        <v>5</v>
      </c>
      <c r="P149" s="140">
        <f>IF(OR(M149=0,M149=3),loop_gain!$B$18,IF(Current_limit!M149=1,Current_limit!$B$12/(2*(Current_limit!N149-Helper_calcs!$B$27)),IF(OR(M149=2,M149=23),(Main!$B$19-Current_limit!O149)*Current_limit!O149/(Main!$B$19*loop_gain!$B$17*(Helper_calcs!$B$26-Helper_calcs!$B$27)),x)))</f>
        <v>400000</v>
      </c>
      <c r="Q149" s="137"/>
    </row>
    <row r="150" spans="1:17" x14ac:dyDescent="0.25">
      <c r="A150">
        <f t="shared" si="16"/>
        <v>2.089999999999999</v>
      </c>
      <c r="B150">
        <f>Main!$B$20/A150</f>
        <v>2.3923444976076569</v>
      </c>
      <c r="D150" s="137">
        <f t="shared" si="9"/>
        <v>2.3923444976076569</v>
      </c>
      <c r="E150" s="137">
        <f>-B150*Main!$B$19-2*Main!$B$19*loop_gain!$B$17*loop_gain!$B$18</f>
        <v>-93.988133971291873</v>
      </c>
      <c r="F150" s="137">
        <f>2*Main!$B$19*loop_gain!$B$17*loop_gain!$B$18*Helper_calcs!$B$26*Current_limit!B150</f>
        <v>601.26315789473711</v>
      </c>
      <c r="G150" s="137">
        <f t="shared" si="11"/>
        <v>8.0443873604273382</v>
      </c>
      <c r="H150" s="137">
        <f>(Main!$B$19-Current_limit!G150)*Current_limit!G150/(Main!$B$19*loop_gain!$B$17*loop_gain!$B$18)</f>
        <v>0.97489216668274958</v>
      </c>
      <c r="I150" s="137">
        <f t="shared" si="12"/>
        <v>2.8751078333172506</v>
      </c>
      <c r="J150" s="137"/>
      <c r="K150" s="138">
        <f>IF(A150&gt;$B$15,IF(I150&gt;Helper_calcs!$B$27,23,3),0)</f>
        <v>0</v>
      </c>
      <c r="L150" s="139">
        <f t="shared" si="10"/>
        <v>0</v>
      </c>
      <c r="M150" s="139">
        <f t="shared" si="13"/>
        <v>0</v>
      </c>
      <c r="N150" s="137">
        <f t="shared" si="14"/>
        <v>2.089999999999999</v>
      </c>
      <c r="O150" s="137">
        <f t="shared" si="15"/>
        <v>5</v>
      </c>
      <c r="P150" s="140">
        <f>IF(OR(M150=0,M150=3),loop_gain!$B$18,IF(Current_limit!M150=1,Current_limit!$B$12/(2*(Current_limit!N150-Helper_calcs!$B$27)),IF(OR(M150=2,M150=23),(Main!$B$19-Current_limit!O150)*Current_limit!O150/(Main!$B$19*loop_gain!$B$17*(Helper_calcs!$B$26-Helper_calcs!$B$27)),x)))</f>
        <v>400000</v>
      </c>
      <c r="Q150" s="137"/>
    </row>
    <row r="151" spans="1:17" x14ac:dyDescent="0.25">
      <c r="A151">
        <f t="shared" si="16"/>
        <v>2.0999999999999988</v>
      </c>
      <c r="B151">
        <f>Main!$B$20/A151</f>
        <v>2.3809523809523823</v>
      </c>
      <c r="D151" s="137">
        <f t="shared" ref="D151:D214" si="17">B151</f>
        <v>2.3809523809523823</v>
      </c>
      <c r="E151" s="137">
        <f>-B151*Main!$B$19-2*Main!$B$19*loop_gain!$B$17*loop_gain!$B$18</f>
        <v>-93.851428571428571</v>
      </c>
      <c r="F151" s="137">
        <f>2*Main!$B$19*loop_gain!$B$17*loop_gain!$B$18*Helper_calcs!$B$26*Current_limit!B151</f>
        <v>598.4000000000002</v>
      </c>
      <c r="G151" s="137">
        <f t="shared" si="11"/>
        <v>7.9994534153267169</v>
      </c>
      <c r="H151" s="137">
        <f>(Main!$B$19-Current_limit!G151)*Current_limit!G151/(Main!$B$19*loop_gain!$B$17*loop_gain!$B$18)</f>
        <v>0.98045913112556182</v>
      </c>
      <c r="I151" s="137">
        <f t="shared" si="12"/>
        <v>2.8695408688744384</v>
      </c>
      <c r="J151" s="137"/>
      <c r="K151" s="138">
        <f>IF(A151&gt;$B$15,IF(I151&gt;Helper_calcs!$B$27,23,3),0)</f>
        <v>0</v>
      </c>
      <c r="L151" s="139">
        <f t="shared" ref="L151:L214" si="18">IF(A151&gt;$B$13,IF(A151&gt;$B$14,2,1),0)</f>
        <v>0</v>
      </c>
      <c r="M151" s="139">
        <f t="shared" si="13"/>
        <v>0</v>
      </c>
      <c r="N151" s="137">
        <f t="shared" si="14"/>
        <v>2.0999999999999988</v>
      </c>
      <c r="O151" s="137">
        <f t="shared" si="15"/>
        <v>5</v>
      </c>
      <c r="P151" s="140">
        <f>IF(OR(M151=0,M151=3),loop_gain!$B$18,IF(Current_limit!M151=1,Current_limit!$B$12/(2*(Current_limit!N151-Helper_calcs!$B$27)),IF(OR(M151=2,M151=23),(Main!$B$19-Current_limit!O151)*Current_limit!O151/(Main!$B$19*loop_gain!$B$17*(Helper_calcs!$B$26-Helper_calcs!$B$27)),x)))</f>
        <v>400000</v>
      </c>
      <c r="Q151" s="137"/>
    </row>
    <row r="152" spans="1:17" x14ac:dyDescent="0.25">
      <c r="A152">
        <f t="shared" si="16"/>
        <v>2.1099999999999985</v>
      </c>
      <c r="B152">
        <f>Main!$B$20/A152</f>
        <v>2.3696682464454994</v>
      </c>
      <c r="D152" s="137">
        <f t="shared" si="17"/>
        <v>2.3696682464454994</v>
      </c>
      <c r="E152" s="137">
        <f>-B152*Main!$B$19-2*Main!$B$19*loop_gain!$B$17*loop_gain!$B$18</f>
        <v>-93.71601895734598</v>
      </c>
      <c r="F152" s="137">
        <f>2*Main!$B$19*loop_gain!$B$17*loop_gain!$B$18*Helper_calcs!$B$26*Current_limit!B152</f>
        <v>595.5639810426544</v>
      </c>
      <c r="G152" s="137">
        <f t="shared" ref="G152:G215" si="19">(-E152-SQRT(E152^2-4*D152*F152))/(2*D152)</f>
        <v>7.9551866572880927</v>
      </c>
      <c r="H152" s="137">
        <f>(Main!$B$19-Current_limit!G152)*Current_limit!G152/(Main!$B$19*loop_gain!$B$17*loop_gain!$B$18)</f>
        <v>0.98582246124885486</v>
      </c>
      <c r="I152" s="137">
        <f t="shared" ref="I152:I215" si="20">(G152/B152)-0.5*H152</f>
        <v>2.8641775387511452</v>
      </c>
      <c r="J152" s="137"/>
      <c r="K152" s="138">
        <f>IF(A152&gt;$B$15,IF(I152&gt;Helper_calcs!$B$27,23,3),0)</f>
        <v>0</v>
      </c>
      <c r="L152" s="139">
        <f t="shared" si="18"/>
        <v>0</v>
      </c>
      <c r="M152" s="139">
        <f t="shared" ref="M152:M215" si="21">IF($B$16="N",L152,K152)</f>
        <v>0</v>
      </c>
      <c r="N152" s="137">
        <f t="shared" ref="N152:N215" si="22">IF(OR(M152=0,M152=1),A152,IF(OR(M152=2,M152=23),$B$14,G152/B152))</f>
        <v>2.1099999999999985</v>
      </c>
      <c r="O152" s="137">
        <f t="shared" ref="O152:O215" si="23">N152*B152</f>
        <v>5</v>
      </c>
      <c r="P152" s="140">
        <f>IF(OR(M152=0,M152=3),loop_gain!$B$18,IF(Current_limit!M152=1,Current_limit!$B$12/(2*(Current_limit!N152-Helper_calcs!$B$27)),IF(OR(M152=2,M152=23),(Main!$B$19-Current_limit!O152)*Current_limit!O152/(Main!$B$19*loop_gain!$B$17*(Helper_calcs!$B$26-Helper_calcs!$B$27)),x)))</f>
        <v>400000</v>
      </c>
      <c r="Q152" s="137"/>
    </row>
    <row r="153" spans="1:17" x14ac:dyDescent="0.25">
      <c r="A153">
        <f t="shared" si="16"/>
        <v>2.1199999999999983</v>
      </c>
      <c r="B153">
        <f>Main!$B$20/A153</f>
        <v>2.3584905660377378</v>
      </c>
      <c r="D153" s="137">
        <f t="shared" si="17"/>
        <v>2.3584905660377378</v>
      </c>
      <c r="E153" s="137">
        <f>-B153*Main!$B$19-2*Main!$B$19*loop_gain!$B$17*loop_gain!$B$18</f>
        <v>-93.581886792452849</v>
      </c>
      <c r="F153" s="137">
        <f>2*Main!$B$19*loop_gain!$B$17*loop_gain!$B$18*Helper_calcs!$B$26*Current_limit!B153</f>
        <v>592.75471698113245</v>
      </c>
      <c r="G153" s="137">
        <f t="shared" si="19"/>
        <v>7.9115687036367115</v>
      </c>
      <c r="H153" s="137">
        <f>(Main!$B$19-Current_limit!G153)*Current_limit!G153/(Main!$B$19*loop_gain!$B$17*loop_gain!$B$18)</f>
        <v>0.99098973931607448</v>
      </c>
      <c r="I153" s="137">
        <f t="shared" si="20"/>
        <v>2.8590102606839256</v>
      </c>
      <c r="J153" s="137"/>
      <c r="K153" s="138">
        <f>IF(A153&gt;$B$15,IF(I153&gt;Helper_calcs!$B$27,23,3),0)</f>
        <v>0</v>
      </c>
      <c r="L153" s="139">
        <f t="shared" si="18"/>
        <v>0</v>
      </c>
      <c r="M153" s="139">
        <f t="shared" si="21"/>
        <v>0</v>
      </c>
      <c r="N153" s="137">
        <f t="shared" si="22"/>
        <v>2.1199999999999983</v>
      </c>
      <c r="O153" s="137">
        <f t="shared" si="23"/>
        <v>5</v>
      </c>
      <c r="P153" s="140">
        <f>IF(OR(M153=0,M153=3),loop_gain!$B$18,IF(Current_limit!M153=1,Current_limit!$B$12/(2*(Current_limit!N153-Helper_calcs!$B$27)),IF(OR(M153=2,M153=23),(Main!$B$19-Current_limit!O153)*Current_limit!O153/(Main!$B$19*loop_gain!$B$17*(Helper_calcs!$B$26-Helper_calcs!$B$27)),x)))</f>
        <v>400000</v>
      </c>
      <c r="Q153" s="137"/>
    </row>
    <row r="154" spans="1:17" x14ac:dyDescent="0.25">
      <c r="A154">
        <f t="shared" si="16"/>
        <v>2.1299999999999981</v>
      </c>
      <c r="B154">
        <f>Main!$B$20/A154</f>
        <v>2.3474178403755888</v>
      </c>
      <c r="D154" s="137">
        <f t="shared" si="17"/>
        <v>2.3474178403755888</v>
      </c>
      <c r="E154" s="137">
        <f>-B154*Main!$B$19-2*Main!$B$19*loop_gain!$B$17*loop_gain!$B$18</f>
        <v>-93.449014084507056</v>
      </c>
      <c r="F154" s="137">
        <f>2*Main!$B$19*loop_gain!$B$17*loop_gain!$B$18*Helper_calcs!$B$26*Current_limit!B154</f>
        <v>589.97183098591586</v>
      </c>
      <c r="G154" s="137">
        <f t="shared" si="19"/>
        <v>7.8685819439087172</v>
      </c>
      <c r="H154" s="137">
        <f>(Main!$B$19-Current_limit!G154)*Current_limit!G154/(Main!$B$19*loop_gain!$B$17*loop_gain!$B$18)</f>
        <v>0.99596818378977703</v>
      </c>
      <c r="I154" s="137">
        <f t="shared" si="20"/>
        <v>2.8540318162102225</v>
      </c>
      <c r="J154" s="137"/>
      <c r="K154" s="138">
        <f>IF(A154&gt;$B$15,IF(I154&gt;Helper_calcs!$B$27,23,3),0)</f>
        <v>0</v>
      </c>
      <c r="L154" s="139">
        <f t="shared" si="18"/>
        <v>0</v>
      </c>
      <c r="M154" s="139">
        <f t="shared" si="21"/>
        <v>0</v>
      </c>
      <c r="N154" s="137">
        <f t="shared" si="22"/>
        <v>2.1299999999999981</v>
      </c>
      <c r="O154" s="137">
        <f t="shared" si="23"/>
        <v>5</v>
      </c>
      <c r="P154" s="140">
        <f>IF(OR(M154=0,M154=3),loop_gain!$B$18,IF(Current_limit!M154=1,Current_limit!$B$12/(2*(Current_limit!N154-Helper_calcs!$B$27)),IF(OR(M154=2,M154=23),(Main!$B$19-Current_limit!O154)*Current_limit!O154/(Main!$B$19*loop_gain!$B$17*(Helper_calcs!$B$26-Helper_calcs!$B$27)),x)))</f>
        <v>400000</v>
      </c>
      <c r="Q154" s="137"/>
    </row>
    <row r="155" spans="1:17" x14ac:dyDescent="0.25">
      <c r="A155">
        <f t="shared" si="16"/>
        <v>2.1399999999999979</v>
      </c>
      <c r="B155">
        <f>Main!$B$20/A155</f>
        <v>2.3364485981308434</v>
      </c>
      <c r="D155" s="137">
        <f t="shared" si="17"/>
        <v>2.3364485981308434</v>
      </c>
      <c r="E155" s="137">
        <f>-B155*Main!$B$19-2*Main!$B$19*loop_gain!$B$17*loop_gain!$B$18</f>
        <v>-93.317383177570107</v>
      </c>
      <c r="F155" s="137">
        <f>2*Main!$B$19*loop_gain!$B$17*loop_gain!$B$18*Helper_calcs!$B$26*Current_limit!B155</f>
        <v>587.21495327102843</v>
      </c>
      <c r="G155" s="137">
        <f t="shared" si="19"/>
        <v>7.8262094959407156</v>
      </c>
      <c r="H155" s="137">
        <f>(Main!$B$19-Current_limit!G155)*Current_limit!G155/(Main!$B$19*loop_gain!$B$17*loop_gain!$B$18)</f>
        <v>1.0007646714747538</v>
      </c>
      <c r="I155" s="137">
        <f t="shared" si="20"/>
        <v>2.8492353285252463</v>
      </c>
      <c r="J155" s="137"/>
      <c r="K155" s="138">
        <f>IF(A155&gt;$B$15,IF(I155&gt;Helper_calcs!$B$27,23,3),0)</f>
        <v>0</v>
      </c>
      <c r="L155" s="139">
        <f t="shared" si="18"/>
        <v>0</v>
      </c>
      <c r="M155" s="139">
        <f t="shared" si="21"/>
        <v>0</v>
      </c>
      <c r="N155" s="137">
        <f t="shared" si="22"/>
        <v>2.1399999999999979</v>
      </c>
      <c r="O155" s="137">
        <f t="shared" si="23"/>
        <v>5</v>
      </c>
      <c r="P155" s="140">
        <f>IF(OR(M155=0,M155=3),loop_gain!$B$18,IF(Current_limit!M155=1,Current_limit!$B$12/(2*(Current_limit!N155-Helper_calcs!$B$27)),IF(OR(M155=2,M155=23),(Main!$B$19-Current_limit!O155)*Current_limit!O155/(Main!$B$19*loop_gain!$B$17*(Helper_calcs!$B$26-Helper_calcs!$B$27)),x)))</f>
        <v>400000</v>
      </c>
      <c r="Q155" s="137"/>
    </row>
    <row r="156" spans="1:17" x14ac:dyDescent="0.25">
      <c r="A156">
        <f t="shared" si="16"/>
        <v>2.1499999999999977</v>
      </c>
      <c r="B156">
        <f>Main!$B$20/A156</f>
        <v>2.3255813953488396</v>
      </c>
      <c r="D156" s="137">
        <f t="shared" si="17"/>
        <v>2.3255813953488396</v>
      </c>
      <c r="E156" s="137">
        <f>-B156*Main!$B$19-2*Main!$B$19*loop_gain!$B$17*loop_gain!$B$18</f>
        <v>-93.186976744186069</v>
      </c>
      <c r="F156" s="137">
        <f>2*Main!$B$19*loop_gain!$B$17*loop_gain!$B$18*Helper_calcs!$B$26*Current_limit!B156</f>
        <v>584.48372093023306</v>
      </c>
      <c r="G156" s="137">
        <f t="shared" si="19"/>
        <v>7.7844351651009251</v>
      </c>
      <c r="H156" s="137">
        <f>(Main!$B$19-Current_limit!G156)*Current_limit!G156/(Main!$B$19*loop_gain!$B$17*loop_gain!$B$18)</f>
        <v>1.0053857580132122</v>
      </c>
      <c r="I156" s="137">
        <f t="shared" si="20"/>
        <v>2.8446142419867879</v>
      </c>
      <c r="J156" s="137"/>
      <c r="K156" s="138">
        <f>IF(A156&gt;$B$15,IF(I156&gt;Helper_calcs!$B$27,23,3),0)</f>
        <v>0</v>
      </c>
      <c r="L156" s="139">
        <f t="shared" si="18"/>
        <v>0</v>
      </c>
      <c r="M156" s="139">
        <f t="shared" si="21"/>
        <v>0</v>
      </c>
      <c r="N156" s="137">
        <f t="shared" si="22"/>
        <v>2.1499999999999977</v>
      </c>
      <c r="O156" s="137">
        <f t="shared" si="23"/>
        <v>5</v>
      </c>
      <c r="P156" s="140">
        <f>IF(OR(M156=0,M156=3),loop_gain!$B$18,IF(Current_limit!M156=1,Current_limit!$B$12/(2*(Current_limit!N156-Helper_calcs!$B$27)),IF(OR(M156=2,M156=23),(Main!$B$19-Current_limit!O156)*Current_limit!O156/(Main!$B$19*loop_gain!$B$17*(Helper_calcs!$B$26-Helper_calcs!$B$27)),x)))</f>
        <v>400000</v>
      </c>
      <c r="Q156" s="137"/>
    </row>
    <row r="157" spans="1:17" x14ac:dyDescent="0.25">
      <c r="A157">
        <f t="shared" si="16"/>
        <v>2.1599999999999975</v>
      </c>
      <c r="B157">
        <f>Main!$B$20/A157</f>
        <v>2.3148148148148175</v>
      </c>
      <c r="D157" s="137">
        <f t="shared" si="17"/>
        <v>2.3148148148148175</v>
      </c>
      <c r="E157" s="137">
        <f>-B157*Main!$B$19-2*Main!$B$19*loop_gain!$B$17*loop_gain!$B$18</f>
        <v>-93.057777777777801</v>
      </c>
      <c r="F157" s="137">
        <f>2*Main!$B$19*loop_gain!$B$17*loop_gain!$B$18*Helper_calcs!$B$26*Current_limit!B157</f>
        <v>581.77777777777828</v>
      </c>
      <c r="G157" s="137">
        <f t="shared" si="19"/>
        <v>7.743243406392196</v>
      </c>
      <c r="H157" s="137">
        <f>(Main!$B$19-Current_limit!G157)*Current_limit!G157/(Main!$B$19*loop_gain!$B$17*loop_gain!$B$18)</f>
        <v>1.009837696877149</v>
      </c>
      <c r="I157" s="137">
        <f t="shared" si="20"/>
        <v>2.8401623031228502</v>
      </c>
      <c r="J157" s="137"/>
      <c r="K157" s="138">
        <f>IF(A157&gt;$B$15,IF(I157&gt;Helper_calcs!$B$27,23,3),0)</f>
        <v>0</v>
      </c>
      <c r="L157" s="139">
        <f t="shared" si="18"/>
        <v>0</v>
      </c>
      <c r="M157" s="139">
        <f t="shared" si="21"/>
        <v>0</v>
      </c>
      <c r="N157" s="137">
        <f t="shared" si="22"/>
        <v>2.1599999999999975</v>
      </c>
      <c r="O157" s="137">
        <f t="shared" si="23"/>
        <v>5</v>
      </c>
      <c r="P157" s="140">
        <f>IF(OR(M157=0,M157=3),loop_gain!$B$18,IF(Current_limit!M157=1,Current_limit!$B$12/(2*(Current_limit!N157-Helper_calcs!$B$27)),IF(OR(M157=2,M157=23),(Main!$B$19-Current_limit!O157)*Current_limit!O157/(Main!$B$19*loop_gain!$B$17*(Helper_calcs!$B$26-Helper_calcs!$B$27)),x)))</f>
        <v>400000</v>
      </c>
      <c r="Q157" s="137"/>
    </row>
    <row r="158" spans="1:17" x14ac:dyDescent="0.25">
      <c r="A158">
        <f t="shared" si="16"/>
        <v>2.1699999999999973</v>
      </c>
      <c r="B158">
        <f>Main!$B$20/A158</f>
        <v>2.3041474654377909</v>
      </c>
      <c r="D158" s="137">
        <f t="shared" si="17"/>
        <v>2.3041474654377909</v>
      </c>
      <c r="E158" s="137">
        <f>-B158*Main!$B$19-2*Main!$B$19*loop_gain!$B$17*loop_gain!$B$18</f>
        <v>-92.929769585253482</v>
      </c>
      <c r="F158" s="137">
        <f>2*Main!$B$19*loop_gain!$B$17*loop_gain!$B$18*Helper_calcs!$B$26*Current_limit!B158</f>
        <v>579.09677419354898</v>
      </c>
      <c r="G158" s="137">
        <f t="shared" si="19"/>
        <v>7.7026192891839775</v>
      </c>
      <c r="H158" s="137">
        <f>(Main!$B$19-Current_limit!G158)*Current_limit!G158/(Main!$B$19*loop_gain!$B$17*loop_gain!$B$18)</f>
        <v>1.0141264569883166</v>
      </c>
      <c r="I158" s="137">
        <f t="shared" si="20"/>
        <v>2.8358735430116839</v>
      </c>
      <c r="J158" s="137"/>
      <c r="K158" s="138">
        <f>IF(A158&gt;$B$15,IF(I158&gt;Helper_calcs!$B$27,23,3),0)</f>
        <v>0</v>
      </c>
      <c r="L158" s="139">
        <f t="shared" si="18"/>
        <v>0</v>
      </c>
      <c r="M158" s="139">
        <f t="shared" si="21"/>
        <v>0</v>
      </c>
      <c r="N158" s="137">
        <f t="shared" si="22"/>
        <v>2.1699999999999973</v>
      </c>
      <c r="O158" s="137">
        <f t="shared" si="23"/>
        <v>5</v>
      </c>
      <c r="P158" s="140">
        <f>IF(OR(M158=0,M158=3),loop_gain!$B$18,IF(Current_limit!M158=1,Current_limit!$B$12/(2*(Current_limit!N158-Helper_calcs!$B$27)),IF(OR(M158=2,M158=23),(Main!$B$19-Current_limit!O158)*Current_limit!O158/(Main!$B$19*loop_gain!$B$17*(Helper_calcs!$B$26-Helper_calcs!$B$27)),x)))</f>
        <v>400000</v>
      </c>
      <c r="Q158" s="137"/>
    </row>
    <row r="159" spans="1:17" x14ac:dyDescent="0.25">
      <c r="A159">
        <f t="shared" si="16"/>
        <v>2.1799999999999971</v>
      </c>
      <c r="B159">
        <f>Main!$B$20/A159</f>
        <v>2.2935779816513793</v>
      </c>
      <c r="D159" s="137">
        <f t="shared" si="17"/>
        <v>2.2935779816513793</v>
      </c>
      <c r="E159" s="137">
        <f>-B159*Main!$B$19-2*Main!$B$19*loop_gain!$B$17*loop_gain!$B$18</f>
        <v>-92.802935779816536</v>
      </c>
      <c r="F159" s="137">
        <f>2*Main!$B$19*loop_gain!$B$17*loop_gain!$B$18*Helper_calcs!$B$26*Current_limit!B159</f>
        <v>576.4403669724777</v>
      </c>
      <c r="G159" s="137">
        <f t="shared" si="19"/>
        <v>7.6625484643542157</v>
      </c>
      <c r="H159" s="137">
        <f>(Main!$B$19-Current_limit!G159)*Current_limit!G159/(Main!$B$19*loop_gain!$B$17*loop_gain!$B$18)</f>
        <v>1.0182577390831327</v>
      </c>
      <c r="I159" s="137">
        <f t="shared" si="20"/>
        <v>2.831742260916867</v>
      </c>
      <c r="J159" s="137"/>
      <c r="K159" s="138">
        <f>IF(A159&gt;$B$15,IF(I159&gt;Helper_calcs!$B$27,23,3),0)</f>
        <v>0</v>
      </c>
      <c r="L159" s="139">
        <f t="shared" si="18"/>
        <v>0</v>
      </c>
      <c r="M159" s="139">
        <f t="shared" si="21"/>
        <v>0</v>
      </c>
      <c r="N159" s="137">
        <f t="shared" si="22"/>
        <v>2.1799999999999971</v>
      </c>
      <c r="O159" s="137">
        <f t="shared" si="23"/>
        <v>5</v>
      </c>
      <c r="P159" s="140">
        <f>IF(OR(M159=0,M159=3),loop_gain!$B$18,IF(Current_limit!M159=1,Current_limit!$B$12/(2*(Current_limit!N159-Helper_calcs!$B$27)),IF(OR(M159=2,M159=23),(Main!$B$19-Current_limit!O159)*Current_limit!O159/(Main!$B$19*loop_gain!$B$17*(Helper_calcs!$B$26-Helper_calcs!$B$27)),x)))</f>
        <v>400000</v>
      </c>
      <c r="Q159" s="137"/>
    </row>
    <row r="160" spans="1:17" x14ac:dyDescent="0.25">
      <c r="A160">
        <f t="shared" si="16"/>
        <v>2.1899999999999968</v>
      </c>
      <c r="B160">
        <f>Main!$B$20/A160</f>
        <v>2.2831050228310534</v>
      </c>
      <c r="D160" s="137">
        <f t="shared" si="17"/>
        <v>2.2831050228310534</v>
      </c>
      <c r="E160" s="137">
        <f>-B160*Main!$B$19-2*Main!$B$19*loop_gain!$B$17*loop_gain!$B$18</f>
        <v>-92.677260273972621</v>
      </c>
      <c r="F160" s="137">
        <f>2*Main!$B$19*loop_gain!$B$17*loop_gain!$B$18*Helper_calcs!$B$26*Current_limit!B160</f>
        <v>573.80821917808282</v>
      </c>
      <c r="G160" s="137">
        <f t="shared" si="19"/>
        <v>7.6230171336435077</v>
      </c>
      <c r="H160" s="137">
        <f>(Main!$B$19-Current_limit!G160)*Current_limit!G160/(Main!$B$19*loop_gain!$B$17*loop_gain!$B$18)</f>
        <v>1.0222369909282973</v>
      </c>
      <c r="I160" s="137">
        <f t="shared" si="20"/>
        <v>2.827763009071703</v>
      </c>
      <c r="J160" s="137"/>
      <c r="K160" s="138">
        <f>IF(A160&gt;$B$15,IF(I160&gt;Helper_calcs!$B$27,23,3),0)</f>
        <v>0</v>
      </c>
      <c r="L160" s="139">
        <f t="shared" si="18"/>
        <v>0</v>
      </c>
      <c r="M160" s="139">
        <f t="shared" si="21"/>
        <v>0</v>
      </c>
      <c r="N160" s="137">
        <f t="shared" si="22"/>
        <v>2.1899999999999968</v>
      </c>
      <c r="O160" s="137">
        <f t="shared" si="23"/>
        <v>5</v>
      </c>
      <c r="P160" s="140">
        <f>IF(OR(M160=0,M160=3),loop_gain!$B$18,IF(Current_limit!M160=1,Current_limit!$B$12/(2*(Current_limit!N160-Helper_calcs!$B$27)),IF(OR(M160=2,M160=23),(Main!$B$19-Current_limit!O160)*Current_limit!O160/(Main!$B$19*loop_gain!$B$17*(Helper_calcs!$B$26-Helper_calcs!$B$27)),x)))</f>
        <v>400000</v>
      </c>
      <c r="Q160" s="137"/>
    </row>
    <row r="161" spans="1:17" x14ac:dyDescent="0.25">
      <c r="A161">
        <f t="shared" ref="A161:A224" si="24">A160+0.01</f>
        <v>2.1999999999999966</v>
      </c>
      <c r="B161">
        <f>Main!$B$20/A161</f>
        <v>2.272727272727276</v>
      </c>
      <c r="D161" s="137">
        <f t="shared" si="17"/>
        <v>2.272727272727276</v>
      </c>
      <c r="E161" s="137">
        <f>-B161*Main!$B$19-2*Main!$B$19*loop_gain!$B$17*loop_gain!$B$18</f>
        <v>-92.552727272727296</v>
      </c>
      <c r="F161" s="137">
        <f>2*Main!$B$19*loop_gain!$B$17*loop_gain!$B$18*Helper_calcs!$B$26*Current_limit!B161</f>
        <v>571.20000000000073</v>
      </c>
      <c r="G161" s="137">
        <f t="shared" si="19"/>
        <v>7.5840120210424802</v>
      </c>
      <c r="H161" s="137">
        <f>(Main!$B$19-Current_limit!G161)*Current_limit!G161/(Main!$B$19*loop_gain!$B$17*loop_gain!$B$18)</f>
        <v>1.0260694214826265</v>
      </c>
      <c r="I161" s="137">
        <f t="shared" si="20"/>
        <v>2.8239305785173734</v>
      </c>
      <c r="J161" s="137"/>
      <c r="K161" s="138">
        <f>IF(A161&gt;$B$15,IF(I161&gt;Helper_calcs!$B$27,23,3),0)</f>
        <v>0</v>
      </c>
      <c r="L161" s="139">
        <f t="shared" si="18"/>
        <v>0</v>
      </c>
      <c r="M161" s="139">
        <f t="shared" si="21"/>
        <v>0</v>
      </c>
      <c r="N161" s="137">
        <f t="shared" si="22"/>
        <v>2.1999999999999966</v>
      </c>
      <c r="O161" s="137">
        <f t="shared" si="23"/>
        <v>5</v>
      </c>
      <c r="P161" s="140">
        <f>IF(OR(M161=0,M161=3),loop_gain!$B$18,IF(Current_limit!M161=1,Current_limit!$B$12/(2*(Current_limit!N161-Helper_calcs!$B$27)),IF(OR(M161=2,M161=23),(Main!$B$19-Current_limit!O161)*Current_limit!O161/(Main!$B$19*loop_gain!$B$17*(Helper_calcs!$B$26-Helper_calcs!$B$27)),x)))</f>
        <v>400000</v>
      </c>
      <c r="Q161" s="137"/>
    </row>
    <row r="162" spans="1:17" x14ac:dyDescent="0.25">
      <c r="A162">
        <f t="shared" si="24"/>
        <v>2.2099999999999964</v>
      </c>
      <c r="B162">
        <f>Main!$B$20/A162</f>
        <v>2.2624434389140307</v>
      </c>
      <c r="D162" s="137">
        <f t="shared" si="17"/>
        <v>2.2624434389140307</v>
      </c>
      <c r="E162" s="137">
        <f>-B162*Main!$B$19-2*Main!$B$19*loop_gain!$B$17*loop_gain!$B$18</f>
        <v>-92.429321266968358</v>
      </c>
      <c r="F162" s="137">
        <f>2*Main!$B$19*loop_gain!$B$17*loop_gain!$B$18*Helper_calcs!$B$26*Current_limit!B162</f>
        <v>568.61538461538532</v>
      </c>
      <c r="G162" s="137">
        <f t="shared" si="19"/>
        <v>7.5455203460504343</v>
      </c>
      <c r="H162" s="137">
        <f>(Main!$B$19-Current_limit!G162)*Current_limit!G162/(Main!$B$19*loop_gain!$B$17*loop_gain!$B$18)</f>
        <v>1.0297600140914263</v>
      </c>
      <c r="I162" s="137">
        <f t="shared" si="20"/>
        <v>2.8202399859085738</v>
      </c>
      <c r="J162" s="137"/>
      <c r="K162" s="138">
        <f>IF(A162&gt;$B$15,IF(I162&gt;Helper_calcs!$B$27,23,3),0)</f>
        <v>0</v>
      </c>
      <c r="L162" s="139">
        <f t="shared" si="18"/>
        <v>0</v>
      </c>
      <c r="M162" s="139">
        <f t="shared" si="21"/>
        <v>0</v>
      </c>
      <c r="N162" s="137">
        <f t="shared" si="22"/>
        <v>2.2099999999999964</v>
      </c>
      <c r="O162" s="137">
        <f t="shared" si="23"/>
        <v>5</v>
      </c>
      <c r="P162" s="140">
        <f>IF(OR(M162=0,M162=3),loop_gain!$B$18,IF(Current_limit!M162=1,Current_limit!$B$12/(2*(Current_limit!N162-Helper_calcs!$B$27)),IF(OR(M162=2,M162=23),(Main!$B$19-Current_limit!O162)*Current_limit!O162/(Main!$B$19*loop_gain!$B$17*(Helper_calcs!$B$26-Helper_calcs!$B$27)),x)))</f>
        <v>400000</v>
      </c>
      <c r="Q162" s="137"/>
    </row>
    <row r="163" spans="1:17" x14ac:dyDescent="0.25">
      <c r="A163">
        <f t="shared" si="24"/>
        <v>2.2199999999999962</v>
      </c>
      <c r="B163">
        <f>Main!$B$20/A163</f>
        <v>2.2522522522522559</v>
      </c>
      <c r="D163" s="137">
        <f t="shared" si="17"/>
        <v>2.2522522522522559</v>
      </c>
      <c r="E163" s="137">
        <f>-B163*Main!$B$19-2*Main!$B$19*loop_gain!$B$17*loop_gain!$B$18</f>
        <v>-92.307027027027061</v>
      </c>
      <c r="F163" s="137">
        <f>2*Main!$B$19*loop_gain!$B$17*loop_gain!$B$18*Helper_calcs!$B$26*Current_limit!B163</f>
        <v>566.05405405405486</v>
      </c>
      <c r="G163" s="137">
        <f t="shared" si="19"/>
        <v>7.5075297986581182</v>
      </c>
      <c r="H163" s="137">
        <f>(Main!$B$19-Current_limit!G163)*Current_limit!G163/(Main!$B$19*loop_gain!$B$17*loop_gain!$B$18)</f>
        <v>1.0333135387915999</v>
      </c>
      <c r="I163" s="137">
        <f t="shared" si="20"/>
        <v>2.8166864612083993</v>
      </c>
      <c r="J163" s="137"/>
      <c r="K163" s="138">
        <f>IF(A163&gt;$B$15,IF(I163&gt;Helper_calcs!$B$27,23,3),0)</f>
        <v>0</v>
      </c>
      <c r="L163" s="139">
        <f t="shared" si="18"/>
        <v>0</v>
      </c>
      <c r="M163" s="139">
        <f t="shared" si="21"/>
        <v>0</v>
      </c>
      <c r="N163" s="137">
        <f t="shared" si="22"/>
        <v>2.2199999999999962</v>
      </c>
      <c r="O163" s="137">
        <f t="shared" si="23"/>
        <v>4.9999999999999991</v>
      </c>
      <c r="P163" s="140">
        <f>IF(OR(M163=0,M163=3),loop_gain!$B$18,IF(Current_limit!M163=1,Current_limit!$B$12/(2*(Current_limit!N163-Helper_calcs!$B$27)),IF(OR(M163=2,M163=23),(Main!$B$19-Current_limit!O163)*Current_limit!O163/(Main!$B$19*loop_gain!$B$17*(Helper_calcs!$B$26-Helper_calcs!$B$27)),x)))</f>
        <v>400000</v>
      </c>
      <c r="Q163" s="137"/>
    </row>
    <row r="164" spans="1:17" x14ac:dyDescent="0.25">
      <c r="A164">
        <f t="shared" si="24"/>
        <v>2.229999999999996</v>
      </c>
      <c r="B164">
        <f>Main!$B$20/A164</f>
        <v>2.2421524663677173</v>
      </c>
      <c r="D164" s="137">
        <f t="shared" si="17"/>
        <v>2.2421524663677173</v>
      </c>
      <c r="E164" s="137">
        <f>-B164*Main!$B$19-2*Main!$B$19*loop_gain!$B$17*loop_gain!$B$18</f>
        <v>-92.185829596412589</v>
      </c>
      <c r="F164" s="137">
        <f>2*Main!$B$19*loop_gain!$B$17*loop_gain!$B$18*Helper_calcs!$B$26*Current_limit!B164</f>
        <v>563.51569506726548</v>
      </c>
      <c r="G164" s="137">
        <f t="shared" si="19"/>
        <v>7.4700285159211273</v>
      </c>
      <c r="H164" s="137">
        <f>(Main!$B$19-Current_limit!G164)*Current_limit!G164/(Main!$B$19*loop_gain!$B$17*loop_gain!$B$18)</f>
        <v>1.036734563798368</v>
      </c>
      <c r="I164" s="137">
        <f t="shared" si="20"/>
        <v>2.8132654362016325</v>
      </c>
      <c r="J164" s="137"/>
      <c r="K164" s="138">
        <f>IF(A164&gt;$B$15,IF(I164&gt;Helper_calcs!$B$27,23,3),0)</f>
        <v>0</v>
      </c>
      <c r="L164" s="139">
        <f t="shared" si="18"/>
        <v>0</v>
      </c>
      <c r="M164" s="139">
        <f t="shared" si="21"/>
        <v>0</v>
      </c>
      <c r="N164" s="137">
        <f t="shared" si="22"/>
        <v>2.229999999999996</v>
      </c>
      <c r="O164" s="137">
        <f t="shared" si="23"/>
        <v>5.0000000000000009</v>
      </c>
      <c r="P164" s="140">
        <f>IF(OR(M164=0,M164=3),loop_gain!$B$18,IF(Current_limit!M164=1,Current_limit!$B$12/(2*(Current_limit!N164-Helper_calcs!$B$27)),IF(OR(M164=2,M164=23),(Main!$B$19-Current_limit!O164)*Current_limit!O164/(Main!$B$19*loop_gain!$B$17*(Helper_calcs!$B$26-Helper_calcs!$B$27)),x)))</f>
        <v>400000</v>
      </c>
      <c r="Q164" s="137"/>
    </row>
    <row r="165" spans="1:17" x14ac:dyDescent="0.25">
      <c r="A165">
        <f t="shared" si="24"/>
        <v>2.2399999999999958</v>
      </c>
      <c r="B165">
        <f>Main!$B$20/A165</f>
        <v>2.2321428571428612</v>
      </c>
      <c r="D165" s="137">
        <f t="shared" si="17"/>
        <v>2.2321428571428612</v>
      </c>
      <c r="E165" s="137">
        <f>-B165*Main!$B$19-2*Main!$B$19*loop_gain!$B$17*loop_gain!$B$18</f>
        <v>-92.065714285714321</v>
      </c>
      <c r="F165" s="137">
        <f>2*Main!$B$19*loop_gain!$B$17*loop_gain!$B$18*Helper_calcs!$B$26*Current_limit!B165</f>
        <v>561.00000000000091</v>
      </c>
      <c r="G165" s="137">
        <f t="shared" si="19"/>
        <v>7.4330050600022606</v>
      </c>
      <c r="H165" s="137">
        <f>(Main!$B$19-Current_limit!G165)*Current_limit!G165/(Main!$B$19*loop_gain!$B$17*loop_gain!$B$18)</f>
        <v>1.0400274662379878</v>
      </c>
      <c r="I165" s="137">
        <f t="shared" si="20"/>
        <v>2.8099725337620125</v>
      </c>
      <c r="J165" s="137"/>
      <c r="K165" s="138">
        <f>IF(A165&gt;$B$15,IF(I165&gt;Helper_calcs!$B$27,23,3),0)</f>
        <v>0</v>
      </c>
      <c r="L165" s="139">
        <f t="shared" si="18"/>
        <v>0</v>
      </c>
      <c r="M165" s="139">
        <f t="shared" si="21"/>
        <v>0</v>
      </c>
      <c r="N165" s="137">
        <f t="shared" si="22"/>
        <v>2.2399999999999958</v>
      </c>
      <c r="O165" s="137">
        <f t="shared" si="23"/>
        <v>5</v>
      </c>
      <c r="P165" s="140">
        <f>IF(OR(M165=0,M165=3),loop_gain!$B$18,IF(Current_limit!M165=1,Current_limit!$B$12/(2*(Current_limit!N165-Helper_calcs!$B$27)),IF(OR(M165=2,M165=23),(Main!$B$19-Current_limit!O165)*Current_limit!O165/(Main!$B$19*loop_gain!$B$17*(Helper_calcs!$B$26-Helper_calcs!$B$27)),x)))</f>
        <v>400000</v>
      </c>
      <c r="Q165" s="137"/>
    </row>
    <row r="166" spans="1:17" x14ac:dyDescent="0.25">
      <c r="A166">
        <f t="shared" si="24"/>
        <v>2.2499999999999956</v>
      </c>
      <c r="B166">
        <f>Main!$B$20/A166</f>
        <v>2.2222222222222268</v>
      </c>
      <c r="D166" s="137">
        <f t="shared" si="17"/>
        <v>2.2222222222222268</v>
      </c>
      <c r="E166" s="137">
        <f>-B166*Main!$B$19-2*Main!$B$19*loop_gain!$B$17*loop_gain!$B$18</f>
        <v>-91.946666666666715</v>
      </c>
      <c r="F166" s="137">
        <f>2*Main!$B$19*loop_gain!$B$17*loop_gain!$B$18*Helper_calcs!$B$26*Current_limit!B166</f>
        <v>558.50666666666768</v>
      </c>
      <c r="G166" s="137">
        <f t="shared" si="19"/>
        <v>7.3964483975722528</v>
      </c>
      <c r="H166" s="137">
        <f>(Main!$B$19-Current_limit!G166)*Current_limit!G166/(Main!$B$19*loop_gain!$B$17*loop_gain!$B$18)</f>
        <v>1.0431964421849844</v>
      </c>
      <c r="I166" s="137">
        <f t="shared" si="20"/>
        <v>2.8068035578150146</v>
      </c>
      <c r="J166" s="137"/>
      <c r="K166" s="138">
        <f>IF(A166&gt;$B$15,IF(I166&gt;Helper_calcs!$B$27,23,3),0)</f>
        <v>0</v>
      </c>
      <c r="L166" s="139">
        <f t="shared" si="18"/>
        <v>0</v>
      </c>
      <c r="M166" s="139">
        <f t="shared" si="21"/>
        <v>0</v>
      </c>
      <c r="N166" s="137">
        <f t="shared" si="22"/>
        <v>2.2499999999999956</v>
      </c>
      <c r="O166" s="137">
        <f t="shared" si="23"/>
        <v>5</v>
      </c>
      <c r="P166" s="140">
        <f>IF(OR(M166=0,M166=3),loop_gain!$B$18,IF(Current_limit!M166=1,Current_limit!$B$12/(2*(Current_limit!N166-Helper_calcs!$B$27)),IF(OR(M166=2,M166=23),(Main!$B$19-Current_limit!O166)*Current_limit!O166/(Main!$B$19*loop_gain!$B$17*(Helper_calcs!$B$26-Helper_calcs!$B$27)),x)))</f>
        <v>400000</v>
      </c>
      <c r="Q166" s="137"/>
    </row>
    <row r="167" spans="1:17" x14ac:dyDescent="0.25">
      <c r="A167">
        <f t="shared" si="24"/>
        <v>2.2599999999999953</v>
      </c>
      <c r="B167">
        <f>Main!$B$20/A167</f>
        <v>2.2123893805309782</v>
      </c>
      <c r="D167" s="137">
        <f t="shared" si="17"/>
        <v>2.2123893805309782</v>
      </c>
      <c r="E167" s="137">
        <f>-B167*Main!$B$19-2*Main!$B$19*loop_gain!$B$17*loop_gain!$B$18</f>
        <v>-91.828672566371722</v>
      </c>
      <c r="F167" s="137">
        <f>2*Main!$B$19*loop_gain!$B$17*loop_gain!$B$18*Helper_calcs!$B$26*Current_limit!B167</f>
        <v>556.03539823008953</v>
      </c>
      <c r="G167" s="137">
        <f t="shared" si="19"/>
        <v>7.3603478804677147</v>
      </c>
      <c r="H167" s="137">
        <f>(Main!$B$19-Current_limit!G167)*Current_limit!G167/(Main!$B$19*loop_gain!$B$17*loop_gain!$B$18)</f>
        <v>1.0462455160572</v>
      </c>
      <c r="I167" s="137">
        <f t="shared" si="20"/>
        <v>2.8037544839428001</v>
      </c>
      <c r="J167" s="137"/>
      <c r="K167" s="138">
        <f>IF(A167&gt;$B$15,IF(I167&gt;Helper_calcs!$B$27,23,3),0)</f>
        <v>0</v>
      </c>
      <c r="L167" s="139">
        <f t="shared" si="18"/>
        <v>0</v>
      </c>
      <c r="M167" s="139">
        <f t="shared" si="21"/>
        <v>0</v>
      </c>
      <c r="N167" s="137">
        <f t="shared" si="22"/>
        <v>2.2599999999999953</v>
      </c>
      <c r="O167" s="137">
        <f t="shared" si="23"/>
        <v>5.0000000000000009</v>
      </c>
      <c r="P167" s="140">
        <f>IF(OR(M167=0,M167=3),loop_gain!$B$18,IF(Current_limit!M167=1,Current_limit!$B$12/(2*(Current_limit!N167-Helper_calcs!$B$27)),IF(OR(M167=2,M167=23),(Main!$B$19-Current_limit!O167)*Current_limit!O167/(Main!$B$19*loop_gain!$B$17*(Helper_calcs!$B$26-Helper_calcs!$B$27)),x)))</f>
        <v>400000</v>
      </c>
      <c r="Q167" s="137"/>
    </row>
    <row r="168" spans="1:17" x14ac:dyDescent="0.25">
      <c r="A168">
        <f t="shared" si="24"/>
        <v>2.2699999999999951</v>
      </c>
      <c r="B168">
        <f>Main!$B$20/A168</f>
        <v>2.2026431718061721</v>
      </c>
      <c r="D168" s="137">
        <f t="shared" si="17"/>
        <v>2.2026431718061721</v>
      </c>
      <c r="E168" s="137">
        <f>-B168*Main!$B$19-2*Main!$B$19*loop_gain!$B$17*loop_gain!$B$18</f>
        <v>-91.711718061674048</v>
      </c>
      <c r="F168" s="137">
        <f>2*Main!$B$19*loop_gain!$B$17*loop_gain!$B$18*Helper_calcs!$B$26*Current_limit!B168</f>
        <v>553.58590308370151</v>
      </c>
      <c r="G168" s="137">
        <f t="shared" si="19"/>
        <v>7.324693227514083</v>
      </c>
      <c r="H168" s="137">
        <f>(Main!$B$19-Current_limit!G168)*Current_limit!G168/(Main!$B$19*loop_gain!$B$17*loop_gain!$B$18)</f>
        <v>1.0491785494172281</v>
      </c>
      <c r="I168" s="137">
        <f t="shared" si="20"/>
        <v>2.8008214505827729</v>
      </c>
      <c r="J168" s="137"/>
      <c r="K168" s="138">
        <f>IF(A168&gt;$B$15,IF(I168&gt;Helper_calcs!$B$27,23,3),0)</f>
        <v>0</v>
      </c>
      <c r="L168" s="139">
        <f t="shared" si="18"/>
        <v>0</v>
      </c>
      <c r="M168" s="139">
        <f t="shared" si="21"/>
        <v>0</v>
      </c>
      <c r="N168" s="137">
        <f t="shared" si="22"/>
        <v>2.2699999999999951</v>
      </c>
      <c r="O168" s="137">
        <f t="shared" si="23"/>
        <v>5</v>
      </c>
      <c r="P168" s="140">
        <f>IF(OR(M168=0,M168=3),loop_gain!$B$18,IF(Current_limit!M168=1,Current_limit!$B$12/(2*(Current_limit!N168-Helper_calcs!$B$27)),IF(OR(M168=2,M168=23),(Main!$B$19-Current_limit!O168)*Current_limit!O168/(Main!$B$19*loop_gain!$B$17*(Helper_calcs!$B$26-Helper_calcs!$B$27)),x)))</f>
        <v>400000</v>
      </c>
      <c r="Q168" s="137"/>
    </row>
    <row r="169" spans="1:17" x14ac:dyDescent="0.25">
      <c r="A169">
        <f t="shared" si="24"/>
        <v>2.2799999999999949</v>
      </c>
      <c r="B169">
        <f>Main!$B$20/A169</f>
        <v>2.1929824561403559</v>
      </c>
      <c r="D169" s="137">
        <f t="shared" si="17"/>
        <v>2.1929824561403559</v>
      </c>
      <c r="E169" s="137">
        <f>-B169*Main!$B$19-2*Main!$B$19*loop_gain!$B$17*loop_gain!$B$18</f>
        <v>-91.595789473684249</v>
      </c>
      <c r="F169" s="137">
        <f>2*Main!$B$19*loop_gain!$B$17*loop_gain!$B$18*Helper_calcs!$B$26*Current_limit!B169</f>
        <v>551.15789473684322</v>
      </c>
      <c r="G169" s="137">
        <f t="shared" si="19"/>
        <v>7.28947450742921</v>
      </c>
      <c r="H169" s="137">
        <f>(Main!$B$19-Current_limit!G169)*Current_limit!G169/(Main!$B$19*loop_gain!$B$17*loop_gain!$B$18)</f>
        <v>1.0519992492245773</v>
      </c>
      <c r="I169" s="137">
        <f t="shared" si="20"/>
        <v>2.7980007507754237</v>
      </c>
      <c r="J169" s="137"/>
      <c r="K169" s="138">
        <f>IF(A169&gt;$B$15,IF(I169&gt;Helper_calcs!$B$27,23,3),0)</f>
        <v>0</v>
      </c>
      <c r="L169" s="139">
        <f t="shared" si="18"/>
        <v>0</v>
      </c>
      <c r="M169" s="139">
        <f t="shared" si="21"/>
        <v>0</v>
      </c>
      <c r="N169" s="137">
        <f t="shared" si="22"/>
        <v>2.2799999999999949</v>
      </c>
      <c r="O169" s="137">
        <f t="shared" si="23"/>
        <v>5</v>
      </c>
      <c r="P169" s="140">
        <f>IF(OR(M169=0,M169=3),loop_gain!$B$18,IF(Current_limit!M169=1,Current_limit!$B$12/(2*(Current_limit!N169-Helper_calcs!$B$27)),IF(OR(M169=2,M169=23),(Main!$B$19-Current_limit!O169)*Current_limit!O169/(Main!$B$19*loop_gain!$B$17*(Helper_calcs!$B$26-Helper_calcs!$B$27)),x)))</f>
        <v>400000</v>
      </c>
      <c r="Q169" s="137"/>
    </row>
    <row r="170" spans="1:17" x14ac:dyDescent="0.25">
      <c r="A170">
        <f t="shared" si="24"/>
        <v>2.2899999999999947</v>
      </c>
      <c r="B170">
        <f>Main!$B$20/A170</f>
        <v>2.183406113537123</v>
      </c>
      <c r="D170" s="137">
        <f t="shared" si="17"/>
        <v>2.183406113537123</v>
      </c>
      <c r="E170" s="137">
        <f>-B170*Main!$B$19-2*Main!$B$19*loop_gain!$B$17*loop_gain!$B$18</f>
        <v>-91.480873362445465</v>
      </c>
      <c r="F170" s="137">
        <f>2*Main!$B$19*loop_gain!$B$17*loop_gain!$B$18*Helper_calcs!$B$26*Current_limit!B170</f>
        <v>548.75109170305791</v>
      </c>
      <c r="G170" s="137">
        <f t="shared" si="19"/>
        <v>7.2546821227302818</v>
      </c>
      <c r="H170" s="137">
        <f>(Main!$B$19-Current_limit!G170)*Current_limit!G170/(Main!$B$19*loop_gain!$B$17*loop_gain!$B$18)</f>
        <v>1.0547111755790759</v>
      </c>
      <c r="I170" s="137">
        <f t="shared" si="20"/>
        <v>2.7952888244209233</v>
      </c>
      <c r="J170" s="137"/>
      <c r="K170" s="138">
        <f>IF(A170&gt;$B$15,IF(I170&gt;Helper_calcs!$B$27,23,3),0)</f>
        <v>0</v>
      </c>
      <c r="L170" s="139">
        <f t="shared" si="18"/>
        <v>0</v>
      </c>
      <c r="M170" s="139">
        <f t="shared" si="21"/>
        <v>0</v>
      </c>
      <c r="N170" s="137">
        <f t="shared" si="22"/>
        <v>2.2899999999999947</v>
      </c>
      <c r="O170" s="137">
        <f t="shared" si="23"/>
        <v>5</v>
      </c>
      <c r="P170" s="140">
        <f>IF(OR(M170=0,M170=3),loop_gain!$B$18,IF(Current_limit!M170=1,Current_limit!$B$12/(2*(Current_limit!N170-Helper_calcs!$B$27)),IF(OR(M170=2,M170=23),(Main!$B$19-Current_limit!O170)*Current_limit!O170/(Main!$B$19*loop_gain!$B$17*(Helper_calcs!$B$26-Helper_calcs!$B$27)),x)))</f>
        <v>400000</v>
      </c>
      <c r="Q170" s="137"/>
    </row>
    <row r="171" spans="1:17" x14ac:dyDescent="0.25">
      <c r="A171">
        <f t="shared" si="24"/>
        <v>2.2999999999999945</v>
      </c>
      <c r="B171">
        <f>Main!$B$20/A171</f>
        <v>2.1739130434782661</v>
      </c>
      <c r="D171" s="137">
        <f t="shared" si="17"/>
        <v>2.1739130434782661</v>
      </c>
      <c r="E171" s="137">
        <f>-B171*Main!$B$19-2*Main!$B$19*loop_gain!$B$17*loop_gain!$B$18</f>
        <v>-91.366956521739183</v>
      </c>
      <c r="F171" s="137">
        <f>2*Main!$B$19*loop_gain!$B$17*loop_gain!$B$18*Helper_calcs!$B$26*Current_limit!B171</f>
        <v>546.36521739130558</v>
      </c>
      <c r="G171" s="137">
        <f t="shared" si="19"/>
        <v>7.2203067945732853</v>
      </c>
      <c r="H171" s="137">
        <f>(Main!$B$19-Current_limit!G171)*Current_limit!G171/(Main!$B$19*loop_gain!$B$17*loop_gain!$B$18)</f>
        <v>1.0573177489925945</v>
      </c>
      <c r="I171" s="137">
        <f t="shared" si="20"/>
        <v>2.7926822510074061</v>
      </c>
      <c r="J171" s="137"/>
      <c r="K171" s="138">
        <f>IF(A171&gt;$B$15,IF(I171&gt;Helper_calcs!$B$27,23,3),0)</f>
        <v>0</v>
      </c>
      <c r="L171" s="139">
        <f t="shared" si="18"/>
        <v>0</v>
      </c>
      <c r="M171" s="139">
        <f t="shared" si="21"/>
        <v>0</v>
      </c>
      <c r="N171" s="137">
        <f t="shared" si="22"/>
        <v>2.2999999999999945</v>
      </c>
      <c r="O171" s="137">
        <f t="shared" si="23"/>
        <v>5</v>
      </c>
      <c r="P171" s="140">
        <f>IF(OR(M171=0,M171=3),loop_gain!$B$18,IF(Current_limit!M171=1,Current_limit!$B$12/(2*(Current_limit!N171-Helper_calcs!$B$27)),IF(OR(M171=2,M171=23),(Main!$B$19-Current_limit!O171)*Current_limit!O171/(Main!$B$19*loop_gain!$B$17*(Helper_calcs!$B$26-Helper_calcs!$B$27)),x)))</f>
        <v>400000</v>
      </c>
      <c r="Q171" s="137"/>
    </row>
    <row r="172" spans="1:17" x14ac:dyDescent="0.25">
      <c r="A172">
        <f t="shared" si="24"/>
        <v>2.3099999999999943</v>
      </c>
      <c r="B172">
        <f>Main!$B$20/A172</f>
        <v>2.1645021645021698</v>
      </c>
      <c r="D172" s="137">
        <f t="shared" si="17"/>
        <v>2.1645021645021698</v>
      </c>
      <c r="E172" s="137">
        <f>-B172*Main!$B$19-2*Main!$B$19*loop_gain!$B$17*loop_gain!$B$18</f>
        <v>-91.254025974026021</v>
      </c>
      <c r="F172" s="137">
        <f>2*Main!$B$19*loop_gain!$B$17*loop_gain!$B$18*Helper_calcs!$B$26*Current_limit!B172</f>
        <v>544.00000000000125</v>
      </c>
      <c r="G172" s="137">
        <f t="shared" si="19"/>
        <v>7.1863395484599364</v>
      </c>
      <c r="H172" s="137">
        <f>(Main!$B$19-Current_limit!G172)*Current_limit!G172/(Main!$B$19*loop_gain!$B$17*loop_gain!$B$18)</f>
        <v>1.0598222572230356</v>
      </c>
      <c r="I172" s="137">
        <f t="shared" si="20"/>
        <v>2.7901777427769647</v>
      </c>
      <c r="J172" s="137"/>
      <c r="K172" s="138">
        <f>IF(A172&gt;$B$15,IF(I172&gt;Helper_calcs!$B$27,23,3),0)</f>
        <v>0</v>
      </c>
      <c r="L172" s="139">
        <f t="shared" si="18"/>
        <v>0</v>
      </c>
      <c r="M172" s="139">
        <f t="shared" si="21"/>
        <v>0</v>
      </c>
      <c r="N172" s="137">
        <f t="shared" si="22"/>
        <v>2.3099999999999943</v>
      </c>
      <c r="O172" s="137">
        <f t="shared" si="23"/>
        <v>5</v>
      </c>
      <c r="P172" s="140">
        <f>IF(OR(M172=0,M172=3),loop_gain!$B$18,IF(Current_limit!M172=1,Current_limit!$B$12/(2*(Current_limit!N172-Helper_calcs!$B$27)),IF(OR(M172=2,M172=23),(Main!$B$19-Current_limit!O172)*Current_limit!O172/(Main!$B$19*loop_gain!$B$17*(Helper_calcs!$B$26-Helper_calcs!$B$27)),x)))</f>
        <v>400000</v>
      </c>
      <c r="Q172" s="137"/>
    </row>
    <row r="173" spans="1:17" x14ac:dyDescent="0.25">
      <c r="A173">
        <f t="shared" si="24"/>
        <v>2.3199999999999941</v>
      </c>
      <c r="B173">
        <f>Main!$B$20/A173</f>
        <v>2.155172413793109</v>
      </c>
      <c r="D173" s="137">
        <f t="shared" si="17"/>
        <v>2.155172413793109</v>
      </c>
      <c r="E173" s="137">
        <f>-B173*Main!$B$19-2*Main!$B$19*loop_gain!$B$17*loop_gain!$B$18</f>
        <v>-91.142068965517296</v>
      </c>
      <c r="F173" s="137">
        <f>2*Main!$B$19*loop_gain!$B$17*loop_gain!$B$18*Helper_calcs!$B$26*Current_limit!B173</f>
        <v>541.65517241379439</v>
      </c>
      <c r="G173" s="137">
        <f t="shared" si="19"/>
        <v>7.1527717007524725</v>
      </c>
      <c r="H173" s="137">
        <f>(Main!$B$19-Current_limit!G173)*Current_limit!G173/(Main!$B$19*loop_gain!$B$17*loop_gain!$B$18)</f>
        <v>1.0622278617017236</v>
      </c>
      <c r="I173" s="137">
        <f t="shared" si="20"/>
        <v>2.7877721382982772</v>
      </c>
      <c r="J173" s="137"/>
      <c r="K173" s="138">
        <f>IF(A173&gt;$B$15,IF(I173&gt;Helper_calcs!$B$27,23,3),0)</f>
        <v>0</v>
      </c>
      <c r="L173" s="139">
        <f t="shared" si="18"/>
        <v>0</v>
      </c>
      <c r="M173" s="139">
        <f t="shared" si="21"/>
        <v>0</v>
      </c>
      <c r="N173" s="137">
        <f t="shared" si="22"/>
        <v>2.3199999999999941</v>
      </c>
      <c r="O173" s="137">
        <f t="shared" si="23"/>
        <v>5</v>
      </c>
      <c r="P173" s="140">
        <f>IF(OR(M173=0,M173=3),loop_gain!$B$18,IF(Current_limit!M173=1,Current_limit!$B$12/(2*(Current_limit!N173-Helper_calcs!$B$27)),IF(OR(M173=2,M173=23),(Main!$B$19-Current_limit!O173)*Current_limit!O173/(Main!$B$19*loop_gain!$B$17*(Helper_calcs!$B$26-Helper_calcs!$B$27)),x)))</f>
        <v>400000</v>
      </c>
      <c r="Q173" s="137"/>
    </row>
    <row r="174" spans="1:17" x14ac:dyDescent="0.25">
      <c r="A174">
        <f t="shared" si="24"/>
        <v>2.3299999999999939</v>
      </c>
      <c r="B174">
        <f>Main!$B$20/A174</f>
        <v>2.1459227467811215</v>
      </c>
      <c r="D174" s="137">
        <f t="shared" si="17"/>
        <v>2.1459227467811215</v>
      </c>
      <c r="E174" s="137">
        <f>-B174*Main!$B$19-2*Main!$B$19*loop_gain!$B$17*loop_gain!$B$18</f>
        <v>-91.03107296137344</v>
      </c>
      <c r="F174" s="137">
        <f>2*Main!$B$19*loop_gain!$B$17*loop_gain!$B$18*Helper_calcs!$B$26*Current_limit!B174</f>
        <v>539.3304721030056</v>
      </c>
      <c r="G174" s="137">
        <f t="shared" si="19"/>
        <v>7.119594845941247</v>
      </c>
      <c r="H174" s="137">
        <f>(Main!$B$19-Current_limit!G174)*Current_limit!G174/(Main!$B$19*loop_gain!$B$17*loop_gain!$B$18)</f>
        <v>1.0645376035827758</v>
      </c>
      <c r="I174" s="137">
        <f t="shared" si="20"/>
        <v>2.7854623964172243</v>
      </c>
      <c r="J174" s="137"/>
      <c r="K174" s="138">
        <f>IF(A174&gt;$B$15,IF(I174&gt;Helper_calcs!$B$27,23,3),0)</f>
        <v>0</v>
      </c>
      <c r="L174" s="139">
        <f t="shared" si="18"/>
        <v>0</v>
      </c>
      <c r="M174" s="139">
        <f t="shared" si="21"/>
        <v>0</v>
      </c>
      <c r="N174" s="137">
        <f t="shared" si="22"/>
        <v>2.3299999999999939</v>
      </c>
      <c r="O174" s="137">
        <f t="shared" si="23"/>
        <v>5</v>
      </c>
      <c r="P174" s="140">
        <f>IF(OR(M174=0,M174=3),loop_gain!$B$18,IF(Current_limit!M174=1,Current_limit!$B$12/(2*(Current_limit!N174-Helper_calcs!$B$27)),IF(OR(M174=2,M174=23),(Main!$B$19-Current_limit!O174)*Current_limit!O174/(Main!$B$19*loop_gain!$B$17*(Helper_calcs!$B$26-Helper_calcs!$B$27)),x)))</f>
        <v>400000</v>
      </c>
      <c r="Q174" s="137"/>
    </row>
    <row r="175" spans="1:17" x14ac:dyDescent="0.25">
      <c r="A175">
        <f t="shared" si="24"/>
        <v>2.3399999999999936</v>
      </c>
      <c r="B175">
        <f>Main!$B$20/A175</f>
        <v>2.1367521367521425</v>
      </c>
      <c r="D175" s="137">
        <f t="shared" si="17"/>
        <v>2.1367521367521425</v>
      </c>
      <c r="E175" s="137">
        <f>-B175*Main!$B$19-2*Main!$B$19*loop_gain!$B$17*loop_gain!$B$18</f>
        <v>-90.921025641025693</v>
      </c>
      <c r="F175" s="137">
        <f>2*Main!$B$19*loop_gain!$B$17*loop_gain!$B$18*Helper_calcs!$B$26*Current_limit!B175</f>
        <v>537.02564102564236</v>
      </c>
      <c r="G175" s="137">
        <f t="shared" si="19"/>
        <v>7.0868008446146415</v>
      </c>
      <c r="H175" s="137">
        <f>(Main!$B$19-Current_limit!G175)*Current_limit!G175/(Main!$B$19*loop_gain!$B$17*loop_gain!$B$18)</f>
        <v>1.066754409440714</v>
      </c>
      <c r="I175" s="137">
        <f t="shared" si="20"/>
        <v>2.7832455905592863</v>
      </c>
      <c r="J175" s="137"/>
      <c r="K175" s="138">
        <f>IF(A175&gt;$B$15,IF(I175&gt;Helper_calcs!$B$27,23,3),0)</f>
        <v>0</v>
      </c>
      <c r="L175" s="139">
        <f t="shared" si="18"/>
        <v>0</v>
      </c>
      <c r="M175" s="139">
        <f t="shared" si="21"/>
        <v>0</v>
      </c>
      <c r="N175" s="137">
        <f t="shared" si="22"/>
        <v>2.3399999999999936</v>
      </c>
      <c r="O175" s="137">
        <f t="shared" si="23"/>
        <v>5</v>
      </c>
      <c r="P175" s="140">
        <f>IF(OR(M175=0,M175=3),loop_gain!$B$18,IF(Current_limit!M175=1,Current_limit!$B$12/(2*(Current_limit!N175-Helper_calcs!$B$27)),IF(OR(M175=2,M175=23),(Main!$B$19-Current_limit!O175)*Current_limit!O175/(Main!$B$19*loop_gain!$B$17*(Helper_calcs!$B$26-Helper_calcs!$B$27)),x)))</f>
        <v>400000</v>
      </c>
      <c r="Q175" s="137"/>
    </row>
    <row r="176" spans="1:17" x14ac:dyDescent="0.25">
      <c r="A176">
        <f t="shared" si="24"/>
        <v>2.3499999999999934</v>
      </c>
      <c r="B176">
        <f>Main!$B$20/A176</f>
        <v>2.1276595744680908</v>
      </c>
      <c r="D176" s="137">
        <f t="shared" si="17"/>
        <v>2.1276595744680908</v>
      </c>
      <c r="E176" s="137">
        <f>-B176*Main!$B$19-2*Main!$B$19*loop_gain!$B$17*loop_gain!$B$18</f>
        <v>-90.811914893617086</v>
      </c>
      <c r="F176" s="137">
        <f>2*Main!$B$19*loop_gain!$B$17*loop_gain!$B$18*Helper_calcs!$B$26*Current_limit!B176</f>
        <v>534.74042553191623</v>
      </c>
      <c r="G176" s="137">
        <f t="shared" si="19"/>
        <v>7.0543818120846167</v>
      </c>
      <c r="H176" s="137">
        <f>(Main!$B$19-Current_limit!G176)*Current_limit!G176/(Main!$B$19*loop_gain!$B$17*loop_gain!$B$18)</f>
        <v>1.0688810966404769</v>
      </c>
      <c r="I176" s="137">
        <f t="shared" si="20"/>
        <v>2.7811189033595225</v>
      </c>
      <c r="J176" s="137"/>
      <c r="K176" s="138">
        <f>IF(A176&gt;$B$15,IF(I176&gt;Helper_calcs!$B$27,23,3),0)</f>
        <v>0</v>
      </c>
      <c r="L176" s="139">
        <f t="shared" si="18"/>
        <v>0</v>
      </c>
      <c r="M176" s="139">
        <f t="shared" si="21"/>
        <v>0</v>
      </c>
      <c r="N176" s="137">
        <f t="shared" si="22"/>
        <v>2.3499999999999934</v>
      </c>
      <c r="O176" s="137">
        <f t="shared" si="23"/>
        <v>4.9999999999999991</v>
      </c>
      <c r="P176" s="140">
        <f>IF(OR(M176=0,M176=3),loop_gain!$B$18,IF(Current_limit!M176=1,Current_limit!$B$12/(2*(Current_limit!N176-Helper_calcs!$B$27)),IF(OR(M176=2,M176=23),(Main!$B$19-Current_limit!O176)*Current_limit!O176/(Main!$B$19*loop_gain!$B$17*(Helper_calcs!$B$26-Helper_calcs!$B$27)),x)))</f>
        <v>400000</v>
      </c>
      <c r="Q176" s="137"/>
    </row>
    <row r="177" spans="1:17" x14ac:dyDescent="0.25">
      <c r="A177">
        <f t="shared" si="24"/>
        <v>2.3599999999999932</v>
      </c>
      <c r="B177">
        <f>Main!$B$20/A177</f>
        <v>2.1186440677966161</v>
      </c>
      <c r="D177" s="137">
        <f t="shared" si="17"/>
        <v>2.1186440677966161</v>
      </c>
      <c r="E177" s="137">
        <f>-B177*Main!$B$19-2*Main!$B$19*loop_gain!$B$17*loop_gain!$B$18</f>
        <v>-90.70372881355938</v>
      </c>
      <c r="F177" s="137">
        <f>2*Main!$B$19*loop_gain!$B$17*loop_gain!$B$18*Helper_calcs!$B$26*Current_limit!B177</f>
        <v>532.47457627118786</v>
      </c>
      <c r="G177" s="137">
        <f t="shared" si="19"/>
        <v>7.0223301076249474</v>
      </c>
      <c r="H177" s="137">
        <f>(Main!$B$19-Current_limit!G177)*Current_limit!G177/(Main!$B$19*loop_gain!$B$17*loop_gain!$B$18)</f>
        <v>1.0709203784020702</v>
      </c>
      <c r="I177" s="137">
        <f t="shared" si="20"/>
        <v>2.7790796215979308</v>
      </c>
      <c r="J177" s="137"/>
      <c r="K177" s="138">
        <f>IF(A177&gt;$B$15,IF(I177&gt;Helper_calcs!$B$27,23,3),0)</f>
        <v>0</v>
      </c>
      <c r="L177" s="139">
        <f t="shared" si="18"/>
        <v>0</v>
      </c>
      <c r="M177" s="139">
        <f t="shared" si="21"/>
        <v>0</v>
      </c>
      <c r="N177" s="137">
        <f t="shared" si="22"/>
        <v>2.3599999999999932</v>
      </c>
      <c r="O177" s="137">
        <f t="shared" si="23"/>
        <v>4.9999999999999991</v>
      </c>
      <c r="P177" s="140">
        <f>IF(OR(M177=0,M177=3),loop_gain!$B$18,IF(Current_limit!M177=1,Current_limit!$B$12/(2*(Current_limit!N177-Helper_calcs!$B$27)),IF(OR(M177=2,M177=23),(Main!$B$19-Current_limit!O177)*Current_limit!O177/(Main!$B$19*loop_gain!$B$17*(Helper_calcs!$B$26-Helper_calcs!$B$27)),x)))</f>
        <v>400000</v>
      </c>
      <c r="Q177" s="137"/>
    </row>
    <row r="178" spans="1:17" x14ac:dyDescent="0.25">
      <c r="A178">
        <f t="shared" si="24"/>
        <v>2.369999999999993</v>
      </c>
      <c r="B178">
        <f>Main!$B$20/A178</f>
        <v>2.1097046413502172</v>
      </c>
      <c r="D178" s="137">
        <f t="shared" si="17"/>
        <v>2.1097046413502172</v>
      </c>
      <c r="E178" s="137">
        <f>-B178*Main!$B$19-2*Main!$B$19*loop_gain!$B$17*loop_gain!$B$18</f>
        <v>-90.596455696202597</v>
      </c>
      <c r="F178" s="137">
        <f>2*Main!$B$19*loop_gain!$B$17*loop_gain!$B$18*Helper_calcs!$B$26*Current_limit!B178</f>
        <v>530.22784810126723</v>
      </c>
      <c r="G178" s="137">
        <f t="shared" si="19"/>
        <v>6.9906383242823358</v>
      </c>
      <c r="H178" s="137">
        <f>(Main!$B$19-Current_limit!G178)*Current_limit!G178/(Main!$B$19*loop_gain!$B$17*loop_gain!$B$18)</f>
        <v>1.0728748685803644</v>
      </c>
      <c r="I178" s="137">
        <f t="shared" si="20"/>
        <v>2.777125131419635</v>
      </c>
      <c r="J178" s="137"/>
      <c r="K178" s="138">
        <f>IF(A178&gt;$B$15,IF(I178&gt;Helper_calcs!$B$27,23,3),0)</f>
        <v>0</v>
      </c>
      <c r="L178" s="139">
        <f t="shared" si="18"/>
        <v>0</v>
      </c>
      <c r="M178" s="139">
        <f t="shared" si="21"/>
        <v>0</v>
      </c>
      <c r="N178" s="137">
        <f t="shared" si="22"/>
        <v>2.369999999999993</v>
      </c>
      <c r="O178" s="137">
        <f t="shared" si="23"/>
        <v>5</v>
      </c>
      <c r="P178" s="140">
        <f>IF(OR(M178=0,M178=3),loop_gain!$B$18,IF(Current_limit!M178=1,Current_limit!$B$12/(2*(Current_limit!N178-Helper_calcs!$B$27)),IF(OR(M178=2,M178=23),(Main!$B$19-Current_limit!O178)*Current_limit!O178/(Main!$B$19*loop_gain!$B$17*(Helper_calcs!$B$26-Helper_calcs!$B$27)),x)))</f>
        <v>400000</v>
      </c>
      <c r="Q178" s="137"/>
    </row>
    <row r="179" spans="1:17" x14ac:dyDescent="0.25">
      <c r="A179">
        <f t="shared" si="24"/>
        <v>2.3799999999999928</v>
      </c>
      <c r="B179">
        <f>Main!$B$20/A179</f>
        <v>2.1008403361344601</v>
      </c>
      <c r="D179" s="137">
        <f t="shared" si="17"/>
        <v>2.1008403361344601</v>
      </c>
      <c r="E179" s="137">
        <f>-B179*Main!$B$19-2*Main!$B$19*loop_gain!$B$17*loop_gain!$B$18</f>
        <v>-90.490084033613499</v>
      </c>
      <c r="F179" s="137">
        <f>2*Main!$B$19*loop_gain!$B$17*loop_gain!$B$18*Helper_calcs!$B$26*Current_limit!B179</f>
        <v>528.00000000000148</v>
      </c>
      <c r="G179" s="137">
        <f t="shared" si="19"/>
        <v>6.9592992792238215</v>
      </c>
      <c r="H179" s="137">
        <f>(Main!$B$19-Current_limit!G179)*Current_limit!G179/(Main!$B$19*loop_gain!$B$17*loop_gain!$B$18)</f>
        <v>1.0747470861789419</v>
      </c>
      <c r="I179" s="137">
        <f t="shared" si="20"/>
        <v>2.7752529138210584</v>
      </c>
      <c r="J179" s="137"/>
      <c r="K179" s="138">
        <f>IF(A179&gt;$B$15,IF(I179&gt;Helper_calcs!$B$27,23,3),0)</f>
        <v>0</v>
      </c>
      <c r="L179" s="139">
        <f t="shared" si="18"/>
        <v>0</v>
      </c>
      <c r="M179" s="139">
        <f t="shared" si="21"/>
        <v>0</v>
      </c>
      <c r="N179" s="137">
        <f t="shared" si="22"/>
        <v>2.3799999999999928</v>
      </c>
      <c r="O179" s="137">
        <f t="shared" si="23"/>
        <v>5</v>
      </c>
      <c r="P179" s="140">
        <f>IF(OR(M179=0,M179=3),loop_gain!$B$18,IF(Current_limit!M179=1,Current_limit!$B$12/(2*(Current_limit!N179-Helper_calcs!$B$27)),IF(OR(M179=2,M179=23),(Main!$B$19-Current_limit!O179)*Current_limit!O179/(Main!$B$19*loop_gain!$B$17*(Helper_calcs!$B$26-Helper_calcs!$B$27)),x)))</f>
        <v>400000</v>
      </c>
      <c r="Q179" s="137"/>
    </row>
    <row r="180" spans="1:17" x14ac:dyDescent="0.25">
      <c r="A180">
        <f t="shared" si="24"/>
        <v>2.3899999999999926</v>
      </c>
      <c r="B180">
        <f>Main!$B$20/A180</f>
        <v>2.0920502092050275</v>
      </c>
      <c r="D180" s="137">
        <f t="shared" si="17"/>
        <v>2.0920502092050275</v>
      </c>
      <c r="E180" s="137">
        <f>-B180*Main!$B$19-2*Main!$B$19*loop_gain!$B$17*loop_gain!$B$18</f>
        <v>-90.384602510460326</v>
      </c>
      <c r="F180" s="137">
        <f>2*Main!$B$19*loop_gain!$B$17*loop_gain!$B$18*Helper_calcs!$B$26*Current_limit!B180</f>
        <v>525.79079497908106</v>
      </c>
      <c r="G180" s="137">
        <f t="shared" si="19"/>
        <v>6.9283060045863483</v>
      </c>
      <c r="H180" s="137">
        <f>(Main!$B$19-Current_limit!G180)*Current_limit!G180/(Main!$B$19*loop_gain!$B$17*loop_gain!$B$18)</f>
        <v>1.07653945961547</v>
      </c>
      <c r="I180" s="137">
        <f t="shared" si="20"/>
        <v>2.7734605403845292</v>
      </c>
      <c r="J180" s="137"/>
      <c r="K180" s="138">
        <f>IF(A180&gt;$B$15,IF(I180&gt;Helper_calcs!$B$27,23,3),0)</f>
        <v>0</v>
      </c>
      <c r="L180" s="139">
        <f t="shared" si="18"/>
        <v>0</v>
      </c>
      <c r="M180" s="139">
        <f t="shared" si="21"/>
        <v>0</v>
      </c>
      <c r="N180" s="137">
        <f t="shared" si="22"/>
        <v>2.3899999999999926</v>
      </c>
      <c r="O180" s="137">
        <f t="shared" si="23"/>
        <v>5</v>
      </c>
      <c r="P180" s="140">
        <f>IF(OR(M180=0,M180=3),loop_gain!$B$18,IF(Current_limit!M180=1,Current_limit!$B$12/(2*(Current_limit!N180-Helper_calcs!$B$27)),IF(OR(M180=2,M180=23),(Main!$B$19-Current_limit!O180)*Current_limit!O180/(Main!$B$19*loop_gain!$B$17*(Helper_calcs!$B$26-Helper_calcs!$B$27)),x)))</f>
        <v>400000</v>
      </c>
      <c r="Q180" s="137"/>
    </row>
    <row r="181" spans="1:17" x14ac:dyDescent="0.25">
      <c r="A181">
        <f t="shared" si="24"/>
        <v>2.3999999999999924</v>
      </c>
      <c r="B181">
        <f>Main!$B$20/A181</f>
        <v>2.0833333333333401</v>
      </c>
      <c r="D181" s="137">
        <f t="shared" si="17"/>
        <v>2.0833333333333401</v>
      </c>
      <c r="E181" s="137">
        <f>-B181*Main!$B$19-2*Main!$B$19*loop_gain!$B$17*loop_gain!$B$18</f>
        <v>-90.280000000000072</v>
      </c>
      <c r="F181" s="137">
        <f>2*Main!$B$19*loop_gain!$B$17*loop_gain!$B$18*Helper_calcs!$B$26*Current_limit!B181</f>
        <v>523.60000000000161</v>
      </c>
      <c r="G181" s="137">
        <f t="shared" si="19"/>
        <v>6.8976517387971796</v>
      </c>
      <c r="H181" s="137">
        <f>(Main!$B$19-Current_limit!G181)*Current_limit!G181/(Main!$B$19*loop_gain!$B$17*loop_gain!$B$18)</f>
        <v>1.0782543307547305</v>
      </c>
      <c r="I181" s="137">
        <f t="shared" si="20"/>
        <v>2.77174566924527</v>
      </c>
      <c r="J181" s="137"/>
      <c r="K181" s="138">
        <f>IF(A181&gt;$B$15,IF(I181&gt;Helper_calcs!$B$27,23,3),0)</f>
        <v>0</v>
      </c>
      <c r="L181" s="139">
        <f t="shared" si="18"/>
        <v>0</v>
      </c>
      <c r="M181" s="139">
        <f t="shared" si="21"/>
        <v>0</v>
      </c>
      <c r="N181" s="137">
        <f t="shared" si="22"/>
        <v>2.3999999999999924</v>
      </c>
      <c r="O181" s="137">
        <f t="shared" si="23"/>
        <v>5</v>
      </c>
      <c r="P181" s="140">
        <f>IF(OR(M181=0,M181=3),loop_gain!$B$18,IF(Current_limit!M181=1,Current_limit!$B$12/(2*(Current_limit!N181-Helper_calcs!$B$27)),IF(OR(M181=2,M181=23),(Main!$B$19-Current_limit!O181)*Current_limit!O181/(Main!$B$19*loop_gain!$B$17*(Helper_calcs!$B$26-Helper_calcs!$B$27)),x)))</f>
        <v>400000</v>
      </c>
      <c r="Q181" s="137"/>
    </row>
    <row r="182" spans="1:17" x14ac:dyDescent="0.25">
      <c r="A182">
        <f t="shared" si="24"/>
        <v>2.4099999999999921</v>
      </c>
      <c r="B182">
        <f>Main!$B$20/A182</f>
        <v>2.0746887966805048</v>
      </c>
      <c r="D182" s="137">
        <f t="shared" si="17"/>
        <v>2.0746887966805048</v>
      </c>
      <c r="E182" s="137">
        <f>-B182*Main!$B$19-2*Main!$B$19*loop_gain!$B$17*loop_gain!$B$18</f>
        <v>-90.176265560166044</v>
      </c>
      <c r="F182" s="137">
        <f>2*Main!$B$19*loop_gain!$B$17*loop_gain!$B$18*Helper_calcs!$B$26*Current_limit!B182</f>
        <v>521.42738589211774</v>
      </c>
      <c r="G182" s="137">
        <f t="shared" si="19"/>
        <v>6.867329918335864</v>
      </c>
      <c r="H182" s="137">
        <f>(Main!$B$19-Current_limit!G182)*Current_limit!G182/(Main!$B$19*loop_gain!$B$17*loop_gain!$B$18)</f>
        <v>1.0798939587242495</v>
      </c>
      <c r="I182" s="137">
        <f t="shared" si="20"/>
        <v>2.770106041275751</v>
      </c>
      <c r="J182" s="137"/>
      <c r="K182" s="138">
        <f>IF(A182&gt;$B$15,IF(I182&gt;Helper_calcs!$B$27,23,3),0)</f>
        <v>0</v>
      </c>
      <c r="L182" s="139">
        <f t="shared" si="18"/>
        <v>0</v>
      </c>
      <c r="M182" s="139">
        <f t="shared" si="21"/>
        <v>0</v>
      </c>
      <c r="N182" s="137">
        <f t="shared" si="22"/>
        <v>2.4099999999999921</v>
      </c>
      <c r="O182" s="137">
        <f t="shared" si="23"/>
        <v>5</v>
      </c>
      <c r="P182" s="140">
        <f>IF(OR(M182=0,M182=3),loop_gain!$B$18,IF(Current_limit!M182=1,Current_limit!$B$12/(2*(Current_limit!N182-Helper_calcs!$B$27)),IF(OR(M182=2,M182=23),(Main!$B$19-Current_limit!O182)*Current_limit!O182/(Main!$B$19*loop_gain!$B$17*(Helper_calcs!$B$26-Helper_calcs!$B$27)),x)))</f>
        <v>400000</v>
      </c>
      <c r="Q182" s="137"/>
    </row>
    <row r="183" spans="1:17" x14ac:dyDescent="0.25">
      <c r="A183">
        <f t="shared" si="24"/>
        <v>2.4199999999999919</v>
      </c>
      <c r="B183">
        <f>Main!$B$20/A183</f>
        <v>2.0661157024793457</v>
      </c>
      <c r="D183" s="137">
        <f t="shared" si="17"/>
        <v>2.0661157024793457</v>
      </c>
      <c r="E183" s="137">
        <f>-B183*Main!$B$19-2*Main!$B$19*loop_gain!$B$17*loop_gain!$B$18</f>
        <v>-90.073388429752129</v>
      </c>
      <c r="F183" s="137">
        <f>2*Main!$B$19*loop_gain!$B$17*loop_gain!$B$18*Helper_calcs!$B$26*Current_limit!B183</f>
        <v>519.27272727272884</v>
      </c>
      <c r="G183" s="137">
        <f t="shared" si="19"/>
        <v>6.8373341699108288</v>
      </c>
      <c r="H183" s="137">
        <f>(Main!$B$19-Current_limit!G183)*Current_limit!G183/(Main!$B$19*loop_gain!$B$17*loop_gain!$B$18)</f>
        <v>1.0814605235263404</v>
      </c>
      <c r="I183" s="137">
        <f t="shared" si="20"/>
        <v>2.7685394764736597</v>
      </c>
      <c r="J183" s="137"/>
      <c r="K183" s="138">
        <f>IF(A183&gt;$B$15,IF(I183&gt;Helper_calcs!$B$27,23,3),0)</f>
        <v>0</v>
      </c>
      <c r="L183" s="139">
        <f t="shared" si="18"/>
        <v>0</v>
      </c>
      <c r="M183" s="139">
        <f t="shared" si="21"/>
        <v>0</v>
      </c>
      <c r="N183" s="137">
        <f t="shared" si="22"/>
        <v>2.4199999999999919</v>
      </c>
      <c r="O183" s="137">
        <f t="shared" si="23"/>
        <v>5</v>
      </c>
      <c r="P183" s="140">
        <f>IF(OR(M183=0,M183=3),loop_gain!$B$18,IF(Current_limit!M183=1,Current_limit!$B$12/(2*(Current_limit!N183-Helper_calcs!$B$27)),IF(OR(M183=2,M183=23),(Main!$B$19-Current_limit!O183)*Current_limit!O183/(Main!$B$19*loop_gain!$B$17*(Helper_calcs!$B$26-Helper_calcs!$B$27)),x)))</f>
        <v>400000</v>
      </c>
      <c r="Q183" s="137"/>
    </row>
    <row r="184" spans="1:17" x14ac:dyDescent="0.25">
      <c r="A184">
        <f t="shared" si="24"/>
        <v>2.4299999999999917</v>
      </c>
      <c r="B184">
        <f>Main!$B$20/A184</f>
        <v>2.0576131687242869</v>
      </c>
      <c r="D184" s="137">
        <f t="shared" si="17"/>
        <v>2.0576131687242869</v>
      </c>
      <c r="E184" s="137">
        <f>-B184*Main!$B$19-2*Main!$B$19*loop_gain!$B$17*loop_gain!$B$18</f>
        <v>-89.971358024691426</v>
      </c>
      <c r="F184" s="137">
        <f>2*Main!$B$19*loop_gain!$B$17*loop_gain!$B$18*Helper_calcs!$B$26*Current_limit!B184</f>
        <v>517.1358024691375</v>
      </c>
      <c r="G184" s="137">
        <f t="shared" si="19"/>
        <v>6.8076583030253524</v>
      </c>
      <c r="H184" s="137">
        <f>(Main!$B$19-Current_limit!G184)*Current_limit!G184/(Main!$B$19*loop_gain!$B$17*loop_gain!$B$18)</f>
        <v>1.0829561294593817</v>
      </c>
      <c r="I184" s="137">
        <f t="shared" si="20"/>
        <v>2.7670438705406193</v>
      </c>
      <c r="J184" s="137"/>
      <c r="K184" s="138">
        <f>IF(A184&gt;$B$15,IF(I184&gt;Helper_calcs!$B$27,23,3),0)</f>
        <v>0</v>
      </c>
      <c r="L184" s="139">
        <f t="shared" si="18"/>
        <v>0</v>
      </c>
      <c r="M184" s="139">
        <f t="shared" si="21"/>
        <v>0</v>
      </c>
      <c r="N184" s="137">
        <f t="shared" si="22"/>
        <v>2.4299999999999917</v>
      </c>
      <c r="O184" s="137">
        <f t="shared" si="23"/>
        <v>5</v>
      </c>
      <c r="P184" s="140">
        <f>IF(OR(M184=0,M184=3),loop_gain!$B$18,IF(Current_limit!M184=1,Current_limit!$B$12/(2*(Current_limit!N184-Helper_calcs!$B$27)),IF(OR(M184=2,M184=23),(Main!$B$19-Current_limit!O184)*Current_limit!O184/(Main!$B$19*loop_gain!$B$17*(Helper_calcs!$B$26-Helper_calcs!$B$27)),x)))</f>
        <v>400000</v>
      </c>
      <c r="Q184" s="137"/>
    </row>
    <row r="185" spans="1:17" x14ac:dyDescent="0.25">
      <c r="A185">
        <f t="shared" si="24"/>
        <v>2.4399999999999915</v>
      </c>
      <c r="B185">
        <f>Main!$B$20/A185</f>
        <v>2.0491803278688594</v>
      </c>
      <c r="D185" s="137">
        <f t="shared" si="17"/>
        <v>2.0491803278688594</v>
      </c>
      <c r="E185" s="137">
        <f>-B185*Main!$B$19-2*Main!$B$19*loop_gain!$B$17*loop_gain!$B$18</f>
        <v>-89.870163934426301</v>
      </c>
      <c r="F185" s="137">
        <f>2*Main!$B$19*loop_gain!$B$17*loop_gain!$B$18*Helper_calcs!$B$26*Current_limit!B185</f>
        <v>515.01639344262458</v>
      </c>
      <c r="G185" s="137">
        <f t="shared" si="19"/>
        <v>6.778296302909645</v>
      </c>
      <c r="H185" s="137">
        <f>(Main!$B$19-Current_limit!G185)*Current_limit!G185/(Main!$B$19*loop_gain!$B$17*loop_gain!$B$18)</f>
        <v>1.0843828083602078</v>
      </c>
      <c r="I185" s="137">
        <f t="shared" si="20"/>
        <v>2.7656171916397918</v>
      </c>
      <c r="J185" s="137"/>
      <c r="K185" s="138">
        <f>IF(A185&gt;$B$15,IF(I185&gt;Helper_calcs!$B$27,23,3),0)</f>
        <v>0</v>
      </c>
      <c r="L185" s="139">
        <f t="shared" si="18"/>
        <v>0</v>
      </c>
      <c r="M185" s="139">
        <f t="shared" si="21"/>
        <v>0</v>
      </c>
      <c r="N185" s="137">
        <f t="shared" si="22"/>
        <v>2.4399999999999915</v>
      </c>
      <c r="O185" s="137">
        <f t="shared" si="23"/>
        <v>4.9999999999999991</v>
      </c>
      <c r="P185" s="140">
        <f>IF(OR(M185=0,M185=3),loop_gain!$B$18,IF(Current_limit!M185=1,Current_limit!$B$12/(2*(Current_limit!N185-Helper_calcs!$B$27)),IF(OR(M185=2,M185=23),(Main!$B$19-Current_limit!O185)*Current_limit!O185/(Main!$B$19*loop_gain!$B$17*(Helper_calcs!$B$26-Helper_calcs!$B$27)),x)))</f>
        <v>400000</v>
      </c>
      <c r="Q185" s="137"/>
    </row>
    <row r="186" spans="1:17" x14ac:dyDescent="0.25">
      <c r="A186">
        <f t="shared" si="24"/>
        <v>2.4499999999999913</v>
      </c>
      <c r="B186">
        <f>Main!$B$20/A186</f>
        <v>2.0408163265306194</v>
      </c>
      <c r="D186" s="137">
        <f t="shared" si="17"/>
        <v>2.0408163265306194</v>
      </c>
      <c r="E186" s="137">
        <f>-B186*Main!$B$19-2*Main!$B$19*loop_gain!$B$17*loop_gain!$B$18</f>
        <v>-89.769795918367421</v>
      </c>
      <c r="F186" s="137">
        <f>2*Main!$B$19*loop_gain!$B$17*loop_gain!$B$18*Helper_calcs!$B$26*Current_limit!B186</f>
        <v>512.91428571428742</v>
      </c>
      <c r="G186" s="137">
        <f t="shared" si="19"/>
        <v>6.7492423237973318</v>
      </c>
      <c r="H186" s="137">
        <f>(Main!$B$19-Current_limit!G186)*Current_limit!G186/(Main!$B$19*loop_gain!$B$17*loop_gain!$B$18)</f>
        <v>1.0857425226786392</v>
      </c>
      <c r="I186" s="137">
        <f t="shared" si="20"/>
        <v>2.7642574773213617</v>
      </c>
      <c r="J186" s="137"/>
      <c r="K186" s="138">
        <f>IF(A186&gt;$B$15,IF(I186&gt;Helper_calcs!$B$27,23,3),0)</f>
        <v>0</v>
      </c>
      <c r="L186" s="139">
        <f t="shared" si="18"/>
        <v>0</v>
      </c>
      <c r="M186" s="139">
        <f t="shared" si="21"/>
        <v>0</v>
      </c>
      <c r="N186" s="137">
        <f t="shared" si="22"/>
        <v>2.4499999999999913</v>
      </c>
      <c r="O186" s="137">
        <f t="shared" si="23"/>
        <v>5</v>
      </c>
      <c r="P186" s="140">
        <f>IF(OR(M186=0,M186=3),loop_gain!$B$18,IF(Current_limit!M186=1,Current_limit!$B$12/(2*(Current_limit!N186-Helper_calcs!$B$27)),IF(OR(M186=2,M186=23),(Main!$B$19-Current_limit!O186)*Current_limit!O186/(Main!$B$19*loop_gain!$B$17*(Helper_calcs!$B$26-Helper_calcs!$B$27)),x)))</f>
        <v>400000</v>
      </c>
      <c r="Q186" s="137"/>
    </row>
    <row r="187" spans="1:17" x14ac:dyDescent="0.25">
      <c r="A187">
        <f t="shared" si="24"/>
        <v>2.4599999999999911</v>
      </c>
      <c r="B187">
        <f>Main!$B$20/A187</f>
        <v>2.0325203252032593</v>
      </c>
      <c r="D187" s="137">
        <f t="shared" si="17"/>
        <v>2.0325203252032593</v>
      </c>
      <c r="E187" s="137">
        <f>-B187*Main!$B$19-2*Main!$B$19*loop_gain!$B$17*loop_gain!$B$18</f>
        <v>-89.670243902439097</v>
      </c>
      <c r="F187" s="137">
        <f>2*Main!$B$19*loop_gain!$B$17*loop_gain!$B$18*Helper_calcs!$B$26*Current_limit!B187</f>
        <v>510.82926829268467</v>
      </c>
      <c r="G187" s="137">
        <f t="shared" si="19"/>
        <v>6.7204906825260418</v>
      </c>
      <c r="H187" s="137">
        <f>(Main!$B$19-Current_limit!G187)*Current_limit!G187/(Main!$B$19*loop_gain!$B$17*loop_gain!$B$18)</f>
        <v>1.0870371683943985</v>
      </c>
      <c r="I187" s="137">
        <f t="shared" si="20"/>
        <v>2.7629628316056016</v>
      </c>
      <c r="J187" s="137"/>
      <c r="K187" s="138">
        <f>IF(A187&gt;$B$15,IF(I187&gt;Helper_calcs!$B$27,23,3),0)</f>
        <v>0</v>
      </c>
      <c r="L187" s="139">
        <f t="shared" si="18"/>
        <v>0</v>
      </c>
      <c r="M187" s="139">
        <f t="shared" si="21"/>
        <v>0</v>
      </c>
      <c r="N187" s="137">
        <f t="shared" si="22"/>
        <v>2.4599999999999911</v>
      </c>
      <c r="O187" s="137">
        <f t="shared" si="23"/>
        <v>5</v>
      </c>
      <c r="P187" s="140">
        <f>IF(OR(M187=0,M187=3),loop_gain!$B$18,IF(Current_limit!M187=1,Current_limit!$B$12/(2*(Current_limit!N187-Helper_calcs!$B$27)),IF(OR(M187=2,M187=23),(Main!$B$19-Current_limit!O187)*Current_limit!O187/(Main!$B$19*loop_gain!$B$17*(Helper_calcs!$B$26-Helper_calcs!$B$27)),x)))</f>
        <v>400000</v>
      </c>
      <c r="Q187" s="137"/>
    </row>
    <row r="188" spans="1:17" x14ac:dyDescent="0.25">
      <c r="A188">
        <f t="shared" si="24"/>
        <v>2.4699999999999909</v>
      </c>
      <c r="B188">
        <f>Main!$B$20/A188</f>
        <v>2.0242914979757161</v>
      </c>
      <c r="D188" s="137">
        <f t="shared" si="17"/>
        <v>2.0242914979757161</v>
      </c>
      <c r="E188" s="137">
        <f>-B188*Main!$B$19-2*Main!$B$19*loop_gain!$B$17*loop_gain!$B$18</f>
        <v>-89.571497975708581</v>
      </c>
      <c r="F188" s="137">
        <f>2*Main!$B$19*loop_gain!$B$17*loop_gain!$B$18*Helper_calcs!$B$26*Current_limit!B188</f>
        <v>508.76113360324064</v>
      </c>
      <c r="G188" s="137">
        <f t="shared" si="19"/>
        <v>6.6920358524434089</v>
      </c>
      <c r="H188" s="137">
        <f>(Main!$B$19-Current_limit!G188)*Current_limit!G188/(Main!$B$19*loop_gain!$B$17*loop_gain!$B$18)</f>
        <v>1.0882685777859353</v>
      </c>
      <c r="I188" s="137">
        <f t="shared" si="20"/>
        <v>2.7617314222140639</v>
      </c>
      <c r="J188" s="137"/>
      <c r="K188" s="138">
        <f>IF(A188&gt;$B$15,IF(I188&gt;Helper_calcs!$B$27,23,3),0)</f>
        <v>0</v>
      </c>
      <c r="L188" s="139">
        <f t="shared" si="18"/>
        <v>0</v>
      </c>
      <c r="M188" s="139">
        <f t="shared" si="21"/>
        <v>0</v>
      </c>
      <c r="N188" s="137">
        <f t="shared" si="22"/>
        <v>2.4699999999999909</v>
      </c>
      <c r="O188" s="137">
        <f t="shared" si="23"/>
        <v>5</v>
      </c>
      <c r="P188" s="140">
        <f>IF(OR(M188=0,M188=3),loop_gain!$B$18,IF(Current_limit!M188=1,Current_limit!$B$12/(2*(Current_limit!N188-Helper_calcs!$B$27)),IF(OR(M188=2,M188=23),(Main!$B$19-Current_limit!O188)*Current_limit!O188/(Main!$B$19*loop_gain!$B$17*(Helper_calcs!$B$26-Helper_calcs!$B$27)),x)))</f>
        <v>400000</v>
      </c>
      <c r="Q188" s="137"/>
    </row>
    <row r="189" spans="1:17" x14ac:dyDescent="0.25">
      <c r="A189">
        <f t="shared" si="24"/>
        <v>2.4799999999999907</v>
      </c>
      <c r="B189">
        <f>Main!$B$20/A189</f>
        <v>2.0161290322580721</v>
      </c>
      <c r="D189" s="137">
        <f t="shared" si="17"/>
        <v>2.0161290322580721</v>
      </c>
      <c r="E189" s="137">
        <f>-B189*Main!$B$19-2*Main!$B$19*loop_gain!$B$17*loop_gain!$B$18</f>
        <v>-89.473548387096855</v>
      </c>
      <c r="F189" s="137">
        <f>2*Main!$B$19*loop_gain!$B$17*loop_gain!$B$18*Helper_calcs!$B$26*Current_limit!B189</f>
        <v>506.70967741935664</v>
      </c>
      <c r="G189" s="137">
        <f t="shared" si="19"/>
        <v>6.663872457600811</v>
      </c>
      <c r="H189" s="137">
        <f>(Main!$B$19-Current_limit!G189)*Current_limit!G189/(Main!$B$19*loop_gain!$B$17*loop_gain!$B$18)</f>
        <v>1.0894385220600205</v>
      </c>
      <c r="I189" s="137">
        <f t="shared" si="20"/>
        <v>2.7605614779399796</v>
      </c>
      <c r="J189" s="137"/>
      <c r="K189" s="138">
        <f>IF(A189&gt;$B$15,IF(I189&gt;Helper_calcs!$B$27,23,3),0)</f>
        <v>0</v>
      </c>
      <c r="L189" s="139">
        <f t="shared" si="18"/>
        <v>0</v>
      </c>
      <c r="M189" s="139">
        <f t="shared" si="21"/>
        <v>0</v>
      </c>
      <c r="N189" s="137">
        <f t="shared" si="22"/>
        <v>2.4799999999999907</v>
      </c>
      <c r="O189" s="137">
        <f t="shared" si="23"/>
        <v>5</v>
      </c>
      <c r="P189" s="140">
        <f>IF(OR(M189=0,M189=3),loop_gain!$B$18,IF(Current_limit!M189=1,Current_limit!$B$12/(2*(Current_limit!N189-Helper_calcs!$B$27)),IF(OR(M189=2,M189=23),(Main!$B$19-Current_limit!O189)*Current_limit!O189/(Main!$B$19*loop_gain!$B$17*(Helper_calcs!$B$26-Helper_calcs!$B$27)),x)))</f>
        <v>400000</v>
      </c>
      <c r="Q189" s="137"/>
    </row>
    <row r="190" spans="1:17" x14ac:dyDescent="0.25">
      <c r="A190">
        <f t="shared" si="24"/>
        <v>2.4899999999999904</v>
      </c>
      <c r="B190">
        <f>Main!$B$20/A190</f>
        <v>2.0080321285140639</v>
      </c>
      <c r="D190" s="137">
        <f t="shared" si="17"/>
        <v>2.0080321285140639</v>
      </c>
      <c r="E190" s="137">
        <f>-B190*Main!$B$19-2*Main!$B$19*loop_gain!$B$17*loop_gain!$B$18</f>
        <v>-89.376385542168748</v>
      </c>
      <c r="F190" s="137">
        <f>2*Main!$B$19*loop_gain!$B$17*loop_gain!$B$18*Helper_calcs!$B$26*Current_limit!B190</f>
        <v>504.67469879518256</v>
      </c>
      <c r="G190" s="137">
        <f t="shared" si="19"/>
        <v>6.6359952672185445</v>
      </c>
      <c r="H190" s="137">
        <f>(Main!$B$19-Current_limit!G190)*Current_limit!G190/(Main!$B$19*loop_gain!$B$17*loop_gain!$B$18)</f>
        <v>1.090548713850356</v>
      </c>
      <c r="I190" s="137">
        <f t="shared" si="20"/>
        <v>2.7594512861496447</v>
      </c>
      <c r="J190" s="137"/>
      <c r="K190" s="138">
        <f>IF(A190&gt;$B$15,IF(I190&gt;Helper_calcs!$B$27,23,3),0)</f>
        <v>0</v>
      </c>
      <c r="L190" s="139">
        <f t="shared" si="18"/>
        <v>0</v>
      </c>
      <c r="M190" s="139">
        <f t="shared" si="21"/>
        <v>0</v>
      </c>
      <c r="N190" s="137">
        <f t="shared" si="22"/>
        <v>2.4899999999999904</v>
      </c>
      <c r="O190" s="137">
        <f t="shared" si="23"/>
        <v>5</v>
      </c>
      <c r="P190" s="140">
        <f>IF(OR(M190=0,M190=3),loop_gain!$B$18,IF(Current_limit!M190=1,Current_limit!$B$12/(2*(Current_limit!N190-Helper_calcs!$B$27)),IF(OR(M190=2,M190=23),(Main!$B$19-Current_limit!O190)*Current_limit!O190/(Main!$B$19*loop_gain!$B$17*(Helper_calcs!$B$26-Helper_calcs!$B$27)),x)))</f>
        <v>400000</v>
      </c>
      <c r="Q190" s="137"/>
    </row>
    <row r="191" spans="1:17" x14ac:dyDescent="0.25">
      <c r="A191">
        <f t="shared" si="24"/>
        <v>2.4999999999999902</v>
      </c>
      <c r="B191">
        <f>Main!$B$20/A191</f>
        <v>2.000000000000008</v>
      </c>
      <c r="D191" s="137">
        <f t="shared" si="17"/>
        <v>2.000000000000008</v>
      </c>
      <c r="E191" s="137">
        <f>-B191*Main!$B$19-2*Main!$B$19*loop_gain!$B$17*loop_gain!$B$18</f>
        <v>-89.280000000000086</v>
      </c>
      <c r="F191" s="137">
        <f>2*Main!$B$19*loop_gain!$B$17*loop_gain!$B$18*Helper_calcs!$B$26*Current_limit!B191</f>
        <v>502.65600000000188</v>
      </c>
      <c r="G191" s="137">
        <f t="shared" si="19"/>
        <v>6.6083991904071357</v>
      </c>
      <c r="H191" s="137">
        <f>(Main!$B$19-Current_limit!G191)*Current_limit!G191/(Main!$B$19*loop_gain!$B$17*loop_gain!$B$18)</f>
        <v>1.0916008095928906</v>
      </c>
      <c r="I191" s="137">
        <f t="shared" si="20"/>
        <v>2.7583991904071095</v>
      </c>
      <c r="J191" s="137"/>
      <c r="K191" s="138">
        <f>IF(A191&gt;$B$15,IF(I191&gt;Helper_calcs!$B$27,23,3),0)</f>
        <v>0</v>
      </c>
      <c r="L191" s="139">
        <f t="shared" si="18"/>
        <v>0</v>
      </c>
      <c r="M191" s="139">
        <f t="shared" si="21"/>
        <v>0</v>
      </c>
      <c r="N191" s="137">
        <f t="shared" si="22"/>
        <v>2.4999999999999902</v>
      </c>
      <c r="O191" s="137">
        <f t="shared" si="23"/>
        <v>5</v>
      </c>
      <c r="P191" s="140">
        <f>IF(OR(M191=0,M191=3),loop_gain!$B$18,IF(Current_limit!M191=1,Current_limit!$B$12/(2*(Current_limit!N191-Helper_calcs!$B$27)),IF(OR(M191=2,M191=23),(Main!$B$19-Current_limit!O191)*Current_limit!O191/(Main!$B$19*loop_gain!$B$17*(Helper_calcs!$B$26-Helper_calcs!$B$27)),x)))</f>
        <v>400000</v>
      </c>
      <c r="Q191" s="137"/>
    </row>
    <row r="192" spans="1:17" x14ac:dyDescent="0.25">
      <c r="A192">
        <f t="shared" si="24"/>
        <v>2.50999999999999</v>
      </c>
      <c r="B192">
        <f>Main!$B$20/A192</f>
        <v>1.9920318725099682</v>
      </c>
      <c r="D192" s="137">
        <f t="shared" si="17"/>
        <v>1.9920318725099682</v>
      </c>
      <c r="E192" s="137">
        <f>-B192*Main!$B$19-2*Main!$B$19*loop_gain!$B$17*loop_gain!$B$18</f>
        <v>-89.184382470119601</v>
      </c>
      <c r="F192" s="137">
        <f>2*Main!$B$19*loop_gain!$B$17*loop_gain!$B$18*Helper_calcs!$B$26*Current_limit!B192</f>
        <v>500.65338645418518</v>
      </c>
      <c r="G192" s="137">
        <f t="shared" si="19"/>
        <v>6.5810792711305028</v>
      </c>
      <c r="H192" s="137">
        <f>(Main!$B$19-Current_limit!G192)*Current_limit!G192/(Main!$B$19*loop_gain!$B$17*loop_gain!$B$18)</f>
        <v>1.0925964117850016</v>
      </c>
      <c r="I192" s="137">
        <f t="shared" si="20"/>
        <v>2.7574035882149985</v>
      </c>
      <c r="J192" s="137"/>
      <c r="K192" s="138">
        <f>IF(A192&gt;$B$15,IF(I192&gt;Helper_calcs!$B$27,23,3),0)</f>
        <v>0</v>
      </c>
      <c r="L192" s="139">
        <f t="shared" si="18"/>
        <v>0</v>
      </c>
      <c r="M192" s="139">
        <f t="shared" si="21"/>
        <v>0</v>
      </c>
      <c r="N192" s="137">
        <f t="shared" si="22"/>
        <v>2.50999999999999</v>
      </c>
      <c r="O192" s="137">
        <f t="shared" si="23"/>
        <v>5</v>
      </c>
      <c r="P192" s="140">
        <f>IF(OR(M192=0,M192=3),loop_gain!$B$18,IF(Current_limit!M192=1,Current_limit!$B$12/(2*(Current_limit!N192-Helper_calcs!$B$27)),IF(OR(M192=2,M192=23),(Main!$B$19-Current_limit!O192)*Current_limit!O192/(Main!$B$19*loop_gain!$B$17*(Helper_calcs!$B$26-Helper_calcs!$B$27)),x)))</f>
        <v>400000</v>
      </c>
      <c r="Q192" s="137"/>
    </row>
    <row r="193" spans="1:17" x14ac:dyDescent="0.25">
      <c r="A193">
        <f t="shared" si="24"/>
        <v>2.5199999999999898</v>
      </c>
      <c r="B193">
        <f>Main!$B$20/A193</f>
        <v>1.9841269841269922</v>
      </c>
      <c r="D193" s="137">
        <f t="shared" si="17"/>
        <v>1.9841269841269922</v>
      </c>
      <c r="E193" s="137">
        <f>-B193*Main!$B$19-2*Main!$B$19*loop_gain!$B$17*loop_gain!$B$18</f>
        <v>-89.089523809523897</v>
      </c>
      <c r="F193" s="137">
        <f>2*Main!$B$19*loop_gain!$B$17*loop_gain!$B$18*Helper_calcs!$B$26*Current_limit!B193</f>
        <v>498.66666666666856</v>
      </c>
      <c r="G193" s="137">
        <f t="shared" si="19"/>
        <v>6.5540306833976123</v>
      </c>
      <c r="H193" s="137">
        <f>(Main!$B$19-Current_limit!G193)*Current_limit!G193/(Main!$B$19*loop_gain!$B$17*loop_gain!$B$18)</f>
        <v>1.0935370711352324</v>
      </c>
      <c r="I193" s="137">
        <f t="shared" si="20"/>
        <v>2.7564629288647668</v>
      </c>
      <c r="J193" s="137"/>
      <c r="K193" s="138">
        <f>IF(A193&gt;$B$15,IF(I193&gt;Helper_calcs!$B$27,23,3),0)</f>
        <v>0</v>
      </c>
      <c r="L193" s="139">
        <f t="shared" si="18"/>
        <v>0</v>
      </c>
      <c r="M193" s="139">
        <f t="shared" si="21"/>
        <v>0</v>
      </c>
      <c r="N193" s="137">
        <f t="shared" si="22"/>
        <v>2.5199999999999898</v>
      </c>
      <c r="O193" s="137">
        <f t="shared" si="23"/>
        <v>5</v>
      </c>
      <c r="P193" s="140">
        <f>IF(OR(M193=0,M193=3),loop_gain!$B$18,IF(Current_limit!M193=1,Current_limit!$B$12/(2*(Current_limit!N193-Helper_calcs!$B$27)),IF(OR(M193=2,M193=23),(Main!$B$19-Current_limit!O193)*Current_limit!O193/(Main!$B$19*loop_gain!$B$17*(Helper_calcs!$B$26-Helper_calcs!$B$27)),x)))</f>
        <v>400000</v>
      </c>
      <c r="Q193" s="137"/>
    </row>
    <row r="194" spans="1:17" x14ac:dyDescent="0.25">
      <c r="A194">
        <f t="shared" si="24"/>
        <v>2.5299999999999896</v>
      </c>
      <c r="B194">
        <f>Main!$B$20/A194</f>
        <v>1.9762845849802453</v>
      </c>
      <c r="D194" s="137">
        <f t="shared" si="17"/>
        <v>1.9762845849802453</v>
      </c>
      <c r="E194" s="137">
        <f>-B194*Main!$B$19-2*Main!$B$19*loop_gain!$B$17*loop_gain!$B$18</f>
        <v>-88.99541501976293</v>
      </c>
      <c r="F194" s="137">
        <f>2*Main!$B$19*loop_gain!$B$17*loop_gain!$B$18*Helper_calcs!$B$26*Current_limit!B194</f>
        <v>496.69565217391499</v>
      </c>
      <c r="G194" s="137">
        <f t="shared" si="19"/>
        <v>6.5272487266701598</v>
      </c>
      <c r="H194" s="137">
        <f>(Main!$B$19-Current_limit!G194)*Current_limit!G194/(Main!$B$19*loop_gain!$B$17*loop_gain!$B$18)</f>
        <v>1.0944242886098254</v>
      </c>
      <c r="I194" s="137">
        <f t="shared" si="20"/>
        <v>2.7555757113901747</v>
      </c>
      <c r="J194" s="137"/>
      <c r="K194" s="138">
        <f>IF(A194&gt;$B$15,IF(I194&gt;Helper_calcs!$B$27,23,3),0)</f>
        <v>0</v>
      </c>
      <c r="L194" s="139">
        <f t="shared" si="18"/>
        <v>0</v>
      </c>
      <c r="M194" s="139">
        <f t="shared" si="21"/>
        <v>0</v>
      </c>
      <c r="N194" s="137">
        <f t="shared" si="22"/>
        <v>2.5299999999999896</v>
      </c>
      <c r="O194" s="137">
        <f t="shared" si="23"/>
        <v>5</v>
      </c>
      <c r="P194" s="140">
        <f>IF(OR(M194=0,M194=3),loop_gain!$B$18,IF(Current_limit!M194=1,Current_limit!$B$12/(2*(Current_limit!N194-Helper_calcs!$B$27)),IF(OR(M194=2,M194=23),(Main!$B$19-Current_limit!O194)*Current_limit!O194/(Main!$B$19*loop_gain!$B$17*(Helper_calcs!$B$26-Helper_calcs!$B$27)),x)))</f>
        <v>400000</v>
      </c>
      <c r="Q194" s="137"/>
    </row>
    <row r="195" spans="1:17" x14ac:dyDescent="0.25">
      <c r="A195">
        <f t="shared" si="24"/>
        <v>2.5399999999999894</v>
      </c>
      <c r="B195">
        <f>Main!$B$20/A195</f>
        <v>1.9685039370078823</v>
      </c>
      <c r="D195" s="137">
        <f t="shared" si="17"/>
        <v>1.9685039370078823</v>
      </c>
      <c r="E195" s="137">
        <f>-B195*Main!$B$19-2*Main!$B$19*loop_gain!$B$17*loop_gain!$B$18</f>
        <v>-88.902047244094575</v>
      </c>
      <c r="F195" s="137">
        <f>2*Main!$B$19*loop_gain!$B$17*loop_gain!$B$18*Helper_calcs!$B$26*Current_limit!B195</f>
        <v>494.74015748031695</v>
      </c>
      <c r="G195" s="137">
        <f t="shared" si="19"/>
        <v>6.5007288214745493</v>
      </c>
      <c r="H195" s="137">
        <f>(Main!$B$19-Current_limit!G195)*Current_limit!G195/(Main!$B$19*loop_gain!$B$17*loop_gain!$B$18)</f>
        <v>1.0952595173818847</v>
      </c>
      <c r="I195" s="137">
        <f t="shared" si="20"/>
        <v>2.7547404826181148</v>
      </c>
      <c r="J195" s="137"/>
      <c r="K195" s="138">
        <f>IF(A195&gt;$B$15,IF(I195&gt;Helper_calcs!$B$27,23,3),0)</f>
        <v>0</v>
      </c>
      <c r="L195" s="139">
        <f t="shared" si="18"/>
        <v>0</v>
      </c>
      <c r="M195" s="139">
        <f t="shared" si="21"/>
        <v>0</v>
      </c>
      <c r="N195" s="137">
        <f t="shared" si="22"/>
        <v>2.5399999999999894</v>
      </c>
      <c r="O195" s="137">
        <f t="shared" si="23"/>
        <v>5</v>
      </c>
      <c r="P195" s="140">
        <f>IF(OR(M195=0,M195=3),loop_gain!$B$18,IF(Current_limit!M195=1,Current_limit!$B$12/(2*(Current_limit!N195-Helper_calcs!$B$27)),IF(OR(M195=2,M195=23),(Main!$B$19-Current_limit!O195)*Current_limit!O195/(Main!$B$19*loop_gain!$B$17*(Helper_calcs!$B$26-Helper_calcs!$B$27)),x)))</f>
        <v>400000</v>
      </c>
      <c r="Q195" s="137"/>
    </row>
    <row r="196" spans="1:17" x14ac:dyDescent="0.25">
      <c r="A196">
        <f t="shared" si="24"/>
        <v>2.5499999999999892</v>
      </c>
      <c r="B196">
        <f>Main!$B$20/A196</f>
        <v>1.9607843137254986</v>
      </c>
      <c r="D196" s="137">
        <f t="shared" si="17"/>
        <v>1.9607843137254986</v>
      </c>
      <c r="E196" s="137">
        <f>-B196*Main!$B$19-2*Main!$B$19*loop_gain!$B$17*loop_gain!$B$18</f>
        <v>-88.80941176470597</v>
      </c>
      <c r="F196" s="137">
        <f>2*Main!$B$19*loop_gain!$B$17*loop_gain!$B$18*Helper_calcs!$B$26*Current_limit!B196</f>
        <v>492.800000000002</v>
      </c>
      <c r="G196" s="137">
        <f t="shared" si="19"/>
        <v>6.4744665052072667</v>
      </c>
      <c r="H196" s="137">
        <f>(Main!$B$19-Current_limit!G196)*Current_limit!G196/(Main!$B$19*loop_gain!$B$17*loop_gain!$B$18)</f>
        <v>1.0960441646886154</v>
      </c>
      <c r="I196" s="137">
        <f t="shared" si="20"/>
        <v>2.753955835311384</v>
      </c>
      <c r="J196" s="137"/>
      <c r="K196" s="138">
        <f>IF(A196&gt;$B$15,IF(I196&gt;Helper_calcs!$B$27,23,3),0)</f>
        <v>0</v>
      </c>
      <c r="L196" s="139">
        <f t="shared" si="18"/>
        <v>0</v>
      </c>
      <c r="M196" s="139">
        <f t="shared" si="21"/>
        <v>0</v>
      </c>
      <c r="N196" s="137">
        <f t="shared" si="22"/>
        <v>2.5499999999999892</v>
      </c>
      <c r="O196" s="137">
        <f t="shared" si="23"/>
        <v>5</v>
      </c>
      <c r="P196" s="140">
        <f>IF(OR(M196=0,M196=3),loop_gain!$B$18,IF(Current_limit!M196=1,Current_limit!$B$12/(2*(Current_limit!N196-Helper_calcs!$B$27)),IF(OR(M196=2,M196=23),(Main!$B$19-Current_limit!O196)*Current_limit!O196/(Main!$B$19*loop_gain!$B$17*(Helper_calcs!$B$26-Helper_calcs!$B$27)),x)))</f>
        <v>400000</v>
      </c>
      <c r="Q196" s="137"/>
    </row>
    <row r="197" spans="1:17" x14ac:dyDescent="0.25">
      <c r="A197">
        <f t="shared" si="24"/>
        <v>2.559999999999989</v>
      </c>
      <c r="B197">
        <f>Main!$B$20/A197</f>
        <v>1.9531250000000084</v>
      </c>
      <c r="D197" s="137">
        <f t="shared" si="17"/>
        <v>1.9531250000000084</v>
      </c>
      <c r="E197" s="137">
        <f>-B197*Main!$B$19-2*Main!$B$19*loop_gain!$B$17*loop_gain!$B$18</f>
        <v>-88.717500000000086</v>
      </c>
      <c r="F197" s="137">
        <f>2*Main!$B$19*loop_gain!$B$17*loop_gain!$B$18*Helper_calcs!$B$26*Current_limit!B197</f>
        <v>490.87500000000199</v>
      </c>
      <c r="G197" s="137">
        <f t="shared" si="19"/>
        <v>6.4484574281233211</v>
      </c>
      <c r="H197" s="137">
        <f>(Main!$B$19-Current_limit!G197)*Current_limit!G197/(Main!$B$19*loop_gain!$B$17*loop_gain!$B$18)</f>
        <v>1.096779593601747</v>
      </c>
      <c r="I197" s="137">
        <f t="shared" si="20"/>
        <v>2.7532204063982526</v>
      </c>
      <c r="J197" s="137"/>
      <c r="K197" s="138">
        <f>IF(A197&gt;$B$15,IF(I197&gt;Helper_calcs!$B$27,23,3),0)</f>
        <v>0</v>
      </c>
      <c r="L197" s="139">
        <f t="shared" si="18"/>
        <v>0</v>
      </c>
      <c r="M197" s="139">
        <f t="shared" si="21"/>
        <v>0</v>
      </c>
      <c r="N197" s="137">
        <f t="shared" si="22"/>
        <v>2.559999999999989</v>
      </c>
      <c r="O197" s="137">
        <f t="shared" si="23"/>
        <v>5</v>
      </c>
      <c r="P197" s="140">
        <f>IF(OR(M197=0,M197=3),loop_gain!$B$18,IF(Current_limit!M197=1,Current_limit!$B$12/(2*(Current_limit!N197-Helper_calcs!$B$27)),IF(OR(M197=2,M197=23),(Main!$B$19-Current_limit!O197)*Current_limit!O197/(Main!$B$19*loop_gain!$B$17*(Helper_calcs!$B$26-Helper_calcs!$B$27)),x)))</f>
        <v>400000</v>
      </c>
      <c r="Q197" s="137"/>
    </row>
    <row r="198" spans="1:17" x14ac:dyDescent="0.25">
      <c r="A198">
        <f t="shared" si="24"/>
        <v>2.5699999999999887</v>
      </c>
      <c r="B198">
        <f>Main!$B$20/A198</f>
        <v>1.9455252918288024</v>
      </c>
      <c r="D198" s="137">
        <f t="shared" si="17"/>
        <v>1.9455252918288024</v>
      </c>
      <c r="E198" s="137">
        <f>-B198*Main!$B$19-2*Main!$B$19*loop_gain!$B$17*loop_gain!$B$18</f>
        <v>-88.626303501945614</v>
      </c>
      <c r="F198" s="137">
        <f>2*Main!$B$19*loop_gain!$B$17*loop_gain!$B$18*Helper_calcs!$B$26*Current_limit!B198</f>
        <v>488.96498054474915</v>
      </c>
      <c r="G198" s="137">
        <f t="shared" si="19"/>
        <v>6.4226973494981729</v>
      </c>
      <c r="H198" s="137">
        <f>(Main!$B$19-Current_limit!G198)*Current_limit!G198/(Main!$B$19*loop_gain!$B$17*loop_gain!$B$18)</f>
        <v>1.0974671247159076</v>
      </c>
      <c r="I198" s="137">
        <f t="shared" si="20"/>
        <v>2.7525328752840923</v>
      </c>
      <c r="J198" s="137"/>
      <c r="K198" s="138">
        <f>IF(A198&gt;$B$15,IF(I198&gt;Helper_calcs!$B$27,23,3),0)</f>
        <v>0</v>
      </c>
      <c r="L198" s="139">
        <f t="shared" si="18"/>
        <v>0</v>
      </c>
      <c r="M198" s="139">
        <f t="shared" si="21"/>
        <v>0</v>
      </c>
      <c r="N198" s="137">
        <f t="shared" si="22"/>
        <v>2.5699999999999887</v>
      </c>
      <c r="O198" s="137">
        <f t="shared" si="23"/>
        <v>5</v>
      </c>
      <c r="P198" s="140">
        <f>IF(OR(M198=0,M198=3),loop_gain!$B$18,IF(Current_limit!M198=1,Current_limit!$B$12/(2*(Current_limit!N198-Helper_calcs!$B$27)),IF(OR(M198=2,M198=23),(Main!$B$19-Current_limit!O198)*Current_limit!O198/(Main!$B$19*loop_gain!$B$17*(Helper_calcs!$B$26-Helper_calcs!$B$27)),x)))</f>
        <v>400000</v>
      </c>
      <c r="Q198" s="137"/>
    </row>
    <row r="199" spans="1:17" x14ac:dyDescent="0.25">
      <c r="A199">
        <f t="shared" si="24"/>
        <v>2.5799999999999885</v>
      </c>
      <c r="B199">
        <f>Main!$B$20/A199</f>
        <v>1.9379844961240396</v>
      </c>
      <c r="D199" s="137">
        <f t="shared" si="17"/>
        <v>1.9379844961240396</v>
      </c>
      <c r="E199" s="137">
        <f>-B199*Main!$B$19-2*Main!$B$19*loop_gain!$B$17*loop_gain!$B$18</f>
        <v>-88.535813953488457</v>
      </c>
      <c r="F199" s="137">
        <f>2*Main!$B$19*loop_gain!$B$17*loop_gain!$B$18*Helper_calcs!$B$26*Current_limit!B199</f>
        <v>487.0697674418625</v>
      </c>
      <c r="G199" s="137">
        <f t="shared" si="19"/>
        <v>6.3971821339540718</v>
      </c>
      <c r="H199" s="137">
        <f>(Main!$B$19-Current_limit!G199)*Current_limit!G199/(Main!$B$19*loop_gain!$B$17*loop_gain!$B$18)</f>
        <v>1.098108037759427</v>
      </c>
      <c r="I199" s="137">
        <f t="shared" si="20"/>
        <v>2.7518919622405731</v>
      </c>
      <c r="J199" s="137"/>
      <c r="K199" s="138">
        <f>IF(A199&gt;$B$15,IF(I199&gt;Helper_calcs!$B$27,23,3),0)</f>
        <v>0</v>
      </c>
      <c r="L199" s="139">
        <f t="shared" si="18"/>
        <v>0</v>
      </c>
      <c r="M199" s="139">
        <f t="shared" si="21"/>
        <v>0</v>
      </c>
      <c r="N199" s="137">
        <f t="shared" si="22"/>
        <v>2.5799999999999885</v>
      </c>
      <c r="O199" s="137">
        <f t="shared" si="23"/>
        <v>5</v>
      </c>
      <c r="P199" s="140">
        <f>IF(OR(M199=0,M199=3),loop_gain!$B$18,IF(Current_limit!M199=1,Current_limit!$B$12/(2*(Current_limit!N199-Helper_calcs!$B$27)),IF(OR(M199=2,M199=23),(Main!$B$19-Current_limit!O199)*Current_limit!O199/(Main!$B$19*loop_gain!$B$17*(Helper_calcs!$B$26-Helper_calcs!$B$27)),x)))</f>
        <v>400000</v>
      </c>
      <c r="Q199" s="137"/>
    </row>
    <row r="200" spans="1:17" x14ac:dyDescent="0.25">
      <c r="A200">
        <f t="shared" si="24"/>
        <v>2.5899999999999883</v>
      </c>
      <c r="B200">
        <f>Main!$B$20/A200</f>
        <v>1.9305019305019393</v>
      </c>
      <c r="D200" s="137">
        <f t="shared" si="17"/>
        <v>1.9305019305019393</v>
      </c>
      <c r="E200" s="137">
        <f>-B200*Main!$B$19-2*Main!$B$19*loop_gain!$B$17*loop_gain!$B$18</f>
        <v>-88.446023166023252</v>
      </c>
      <c r="F200" s="137">
        <f>2*Main!$B$19*loop_gain!$B$17*loop_gain!$B$18*Helper_calcs!$B$26*Current_limit!B200</f>
        <v>485.18918918919132</v>
      </c>
      <c r="G200" s="137">
        <f t="shared" si="19"/>
        <v>6.3719077479423518</v>
      </c>
      <c r="H200" s="137">
        <f>(Main!$B$19-Current_limit!G200)*Current_limit!G200/(Main!$B$19*loop_gain!$B$17*loop_gain!$B$18)</f>
        <v>1.098703573131754</v>
      </c>
      <c r="I200" s="137">
        <f t="shared" si="20"/>
        <v>2.751296426868246</v>
      </c>
      <c r="J200" s="137"/>
      <c r="K200" s="138">
        <f>IF(A200&gt;$B$15,IF(I200&gt;Helper_calcs!$B$27,23,3),0)</f>
        <v>0</v>
      </c>
      <c r="L200" s="139">
        <f t="shared" si="18"/>
        <v>0</v>
      </c>
      <c r="M200" s="139">
        <f t="shared" si="21"/>
        <v>0</v>
      </c>
      <c r="N200" s="137">
        <f t="shared" si="22"/>
        <v>2.5899999999999883</v>
      </c>
      <c r="O200" s="137">
        <f t="shared" si="23"/>
        <v>5</v>
      </c>
      <c r="P200" s="140">
        <f>IF(OR(M200=0,M200=3),loop_gain!$B$18,IF(Current_limit!M200=1,Current_limit!$B$12/(2*(Current_limit!N200-Helper_calcs!$B$27)),IF(OR(M200=2,M200=23),(Main!$B$19-Current_limit!O200)*Current_limit!O200/(Main!$B$19*loop_gain!$B$17*(Helper_calcs!$B$26-Helper_calcs!$B$27)),x)))</f>
        <v>400000</v>
      </c>
      <c r="Q200" s="137"/>
    </row>
    <row r="201" spans="1:17" x14ac:dyDescent="0.25">
      <c r="A201">
        <f t="shared" si="24"/>
        <v>2.5999999999999881</v>
      </c>
      <c r="B201">
        <f>Main!$B$20/A201</f>
        <v>1.9230769230769318</v>
      </c>
      <c r="D201" s="137">
        <f t="shared" si="17"/>
        <v>1.9230769230769318</v>
      </c>
      <c r="E201" s="137">
        <f>-B201*Main!$B$19-2*Main!$B$19*loop_gain!$B$17*loop_gain!$B$18</f>
        <v>-88.356923076923167</v>
      </c>
      <c r="F201" s="137">
        <f>2*Main!$B$19*loop_gain!$B$17*loop_gain!$B$18*Helper_calcs!$B$26*Current_limit!B201</f>
        <v>483.32307692307899</v>
      </c>
      <c r="G201" s="137">
        <f t="shared" si="19"/>
        <v>6.3468702563736592</v>
      </c>
      <c r="H201" s="137">
        <f>(Main!$B$19-Current_limit!G201)*Current_limit!G201/(Main!$B$19*loop_gain!$B$17*loop_gain!$B$18)</f>
        <v>1.0992549333714241</v>
      </c>
      <c r="I201" s="137">
        <f t="shared" si="20"/>
        <v>2.7507450666285758</v>
      </c>
      <c r="J201" s="137"/>
      <c r="K201" s="138">
        <f>IF(A201&gt;$B$15,IF(I201&gt;Helper_calcs!$B$27,23,3),0)</f>
        <v>0</v>
      </c>
      <c r="L201" s="139">
        <f t="shared" si="18"/>
        <v>0</v>
      </c>
      <c r="M201" s="139">
        <f t="shared" si="21"/>
        <v>0</v>
      </c>
      <c r="N201" s="137">
        <f t="shared" si="22"/>
        <v>2.5999999999999881</v>
      </c>
      <c r="O201" s="137">
        <f t="shared" si="23"/>
        <v>5</v>
      </c>
      <c r="P201" s="140">
        <f>IF(OR(M201=0,M201=3),loop_gain!$B$18,IF(Current_limit!M201=1,Current_limit!$B$12/(2*(Current_limit!N201-Helper_calcs!$B$27)),IF(OR(M201=2,M201=23),(Main!$B$19-Current_limit!O201)*Current_limit!O201/(Main!$B$19*loop_gain!$B$17*(Helper_calcs!$B$26-Helper_calcs!$B$27)),x)))</f>
        <v>400000</v>
      </c>
      <c r="Q201" s="137"/>
    </row>
    <row r="202" spans="1:17" x14ac:dyDescent="0.25">
      <c r="A202">
        <f t="shared" si="24"/>
        <v>2.6099999999999879</v>
      </c>
      <c r="B202">
        <f>Main!$B$20/A202</f>
        <v>1.9157088122605452</v>
      </c>
      <c r="D202" s="137">
        <f t="shared" si="17"/>
        <v>1.9157088122605452</v>
      </c>
      <c r="E202" s="137">
        <f>-B202*Main!$B$19-2*Main!$B$19*loop_gain!$B$17*loop_gain!$B$18</f>
        <v>-88.268505747126525</v>
      </c>
      <c r="F202" s="137">
        <f>2*Main!$B$19*loop_gain!$B$17*loop_gain!$B$18*Helper_calcs!$B$26*Current_limit!B202</f>
        <v>481.47126436781821</v>
      </c>
      <c r="G202" s="137">
        <f t="shared" si="19"/>
        <v>6.3220658193886718</v>
      </c>
      <c r="H202" s="137">
        <f>(Main!$B$19-Current_limit!G202)*Current_limit!G202/(Main!$B$19*loop_gain!$B$17*loop_gain!$B$18)</f>
        <v>1.0997632845582572</v>
      </c>
      <c r="I202" s="137">
        <f t="shared" si="20"/>
        <v>2.7502367154417429</v>
      </c>
      <c r="J202" s="137"/>
      <c r="K202" s="138">
        <f>IF(A202&gt;$B$15,IF(I202&gt;Helper_calcs!$B$27,23,3),0)</f>
        <v>0</v>
      </c>
      <c r="L202" s="139">
        <f t="shared" si="18"/>
        <v>0</v>
      </c>
      <c r="M202" s="139">
        <f t="shared" si="21"/>
        <v>0</v>
      </c>
      <c r="N202" s="137">
        <f t="shared" si="22"/>
        <v>2.6099999999999879</v>
      </c>
      <c r="O202" s="137">
        <f t="shared" si="23"/>
        <v>5</v>
      </c>
      <c r="P202" s="140">
        <f>IF(OR(M202=0,M202=3),loop_gain!$B$18,IF(Current_limit!M202=1,Current_limit!$B$12/(2*(Current_limit!N202-Helper_calcs!$B$27)),IF(OR(M202=2,M202=23),(Main!$B$19-Current_limit!O202)*Current_limit!O202/(Main!$B$19*loop_gain!$B$17*(Helper_calcs!$B$26-Helper_calcs!$B$27)),x)))</f>
        <v>400000</v>
      </c>
      <c r="Q202" s="137"/>
    </row>
    <row r="203" spans="1:17" x14ac:dyDescent="0.25">
      <c r="A203">
        <f t="shared" si="24"/>
        <v>2.6199999999999877</v>
      </c>
      <c r="B203">
        <f>Main!$B$20/A203</f>
        <v>1.9083969465648944</v>
      </c>
      <c r="D203" s="137">
        <f t="shared" si="17"/>
        <v>1.9083969465648944</v>
      </c>
      <c r="E203" s="137">
        <f>-B203*Main!$B$19-2*Main!$B$19*loop_gain!$B$17*loop_gain!$B$18</f>
        <v>-88.180763358778719</v>
      </c>
      <c r="F203" s="137">
        <f>2*Main!$B$19*loop_gain!$B$17*loop_gain!$B$18*Helper_calcs!$B$26*Current_limit!B203</f>
        <v>479.63358778626167</v>
      </c>
      <c r="G203" s="137">
        <f t="shared" si="19"/>
        <v>6.2974906892621885</v>
      </c>
      <c r="H203" s="137">
        <f>(Main!$B$19-Current_limit!G203)*Current_limit!G203/(Main!$B$19*loop_gain!$B$17*loop_gain!$B$18)</f>
        <v>1.1002297576532571</v>
      </c>
      <c r="I203" s="137">
        <f t="shared" si="20"/>
        <v>2.7497702423467425</v>
      </c>
      <c r="J203" s="137"/>
      <c r="K203" s="138">
        <f>IF(A203&gt;$B$15,IF(I203&gt;Helper_calcs!$B$27,23,3),0)</f>
        <v>0</v>
      </c>
      <c r="L203" s="139">
        <f t="shared" si="18"/>
        <v>0</v>
      </c>
      <c r="M203" s="139">
        <f t="shared" si="21"/>
        <v>0</v>
      </c>
      <c r="N203" s="137">
        <f t="shared" si="22"/>
        <v>2.6199999999999877</v>
      </c>
      <c r="O203" s="137">
        <f t="shared" si="23"/>
        <v>5</v>
      </c>
      <c r="P203" s="140">
        <f>IF(OR(M203=0,M203=3),loop_gain!$B$18,IF(Current_limit!M203=1,Current_limit!$B$12/(2*(Current_limit!N203-Helper_calcs!$B$27)),IF(OR(M203=2,M203=23),(Main!$B$19-Current_limit!O203)*Current_limit!O203/(Main!$B$19*loop_gain!$B$17*(Helper_calcs!$B$26-Helper_calcs!$B$27)),x)))</f>
        <v>400000</v>
      </c>
      <c r="Q203" s="137"/>
    </row>
    <row r="204" spans="1:17" x14ac:dyDescent="0.25">
      <c r="A204">
        <f t="shared" si="24"/>
        <v>2.6299999999999875</v>
      </c>
      <c r="B204">
        <f>Main!$B$20/A204</f>
        <v>1.9011406844106555</v>
      </c>
      <c r="D204" s="137">
        <f t="shared" si="17"/>
        <v>1.9011406844106555</v>
      </c>
      <c r="E204" s="137">
        <f>-B204*Main!$B$19-2*Main!$B$19*loop_gain!$B$17*loop_gain!$B$18</f>
        <v>-88.093688212927844</v>
      </c>
      <c r="F204" s="137">
        <f>2*Main!$B$19*loop_gain!$B$17*loop_gain!$B$18*Helper_calcs!$B$26*Current_limit!B204</f>
        <v>477.80988593156115</v>
      </c>
      <c r="G204" s="137">
        <f t="shared" si="19"/>
        <v>6.2731412074340085</v>
      </c>
      <c r="H204" s="137">
        <f>(Main!$B$19-Current_limit!G204)*Current_limit!G204/(Main!$B$19*loop_gain!$B$17*loop_gain!$B$18)</f>
        <v>1.1006554497794578</v>
      </c>
      <c r="I204" s="137">
        <f t="shared" si="20"/>
        <v>2.7493445502205436</v>
      </c>
      <c r="J204" s="137"/>
      <c r="K204" s="138">
        <f>IF(A204&gt;$B$15,IF(I204&gt;Helper_calcs!$B$27,23,3),0)</f>
        <v>0</v>
      </c>
      <c r="L204" s="139">
        <f t="shared" si="18"/>
        <v>0</v>
      </c>
      <c r="M204" s="139">
        <f t="shared" si="21"/>
        <v>0</v>
      </c>
      <c r="N204" s="137">
        <f t="shared" si="22"/>
        <v>2.6299999999999875</v>
      </c>
      <c r="O204" s="137">
        <f t="shared" si="23"/>
        <v>5</v>
      </c>
      <c r="P204" s="140">
        <f>IF(OR(M204=0,M204=3),loop_gain!$B$18,IF(Current_limit!M204=1,Current_limit!$B$12/(2*(Current_limit!N204-Helper_calcs!$B$27)),IF(OR(M204=2,M204=23),(Main!$B$19-Current_limit!O204)*Current_limit!O204/(Main!$B$19*loop_gain!$B$17*(Helper_calcs!$B$26-Helper_calcs!$B$27)),x)))</f>
        <v>400000</v>
      </c>
      <c r="Q204" s="137"/>
    </row>
    <row r="205" spans="1:17" x14ac:dyDescent="0.25">
      <c r="A205">
        <f t="shared" si="24"/>
        <v>2.6399999999999872</v>
      </c>
      <c r="B205">
        <f>Main!$B$20/A205</f>
        <v>1.8939393939394031</v>
      </c>
      <c r="D205" s="137">
        <f t="shared" si="17"/>
        <v>1.8939393939394031</v>
      </c>
      <c r="E205" s="137">
        <f>-B205*Main!$B$19-2*Main!$B$19*loop_gain!$B$17*loop_gain!$B$18</f>
        <v>-88.00727272727282</v>
      </c>
      <c r="F205" s="137">
        <f>2*Main!$B$19*loop_gain!$B$17*loop_gain!$B$18*Helper_calcs!$B$26*Current_limit!B205</f>
        <v>476.00000000000222</v>
      </c>
      <c r="G205" s="137">
        <f t="shared" si="19"/>
        <v>6.2490138016602845</v>
      </c>
      <c r="H205" s="137">
        <f>(Main!$B$19-Current_limit!G205)*Current_limit!G205/(Main!$B$19*loop_gain!$B$17*loop_gain!$B$18)</f>
        <v>1.101041425446774</v>
      </c>
      <c r="I205" s="137">
        <f t="shared" si="20"/>
        <v>2.7489585745532272</v>
      </c>
      <c r="J205" s="137"/>
      <c r="K205" s="138">
        <f>IF(A205&gt;$B$15,IF(I205&gt;Helper_calcs!$B$27,23,3),0)</f>
        <v>0</v>
      </c>
      <c r="L205" s="139">
        <f t="shared" si="18"/>
        <v>0</v>
      </c>
      <c r="M205" s="139">
        <f t="shared" si="21"/>
        <v>0</v>
      </c>
      <c r="N205" s="137">
        <f t="shared" si="22"/>
        <v>2.6399999999999872</v>
      </c>
      <c r="O205" s="137">
        <f t="shared" si="23"/>
        <v>5</v>
      </c>
      <c r="P205" s="140">
        <f>IF(OR(M205=0,M205=3),loop_gain!$B$18,IF(Current_limit!M205=1,Current_limit!$B$12/(2*(Current_limit!N205-Helper_calcs!$B$27)),IF(OR(M205=2,M205=23),(Main!$B$19-Current_limit!O205)*Current_limit!O205/(Main!$B$19*loop_gain!$B$17*(Helper_calcs!$B$26-Helper_calcs!$B$27)),x)))</f>
        <v>400000</v>
      </c>
      <c r="Q205" s="137"/>
    </row>
    <row r="206" spans="1:17" x14ac:dyDescent="0.25">
      <c r="A206">
        <f t="shared" si="24"/>
        <v>2.649999999999987</v>
      </c>
      <c r="B206">
        <f>Main!$B$20/A206</f>
        <v>1.8867924528301978</v>
      </c>
      <c r="D206" s="137">
        <f t="shared" si="17"/>
        <v>1.8867924528301978</v>
      </c>
      <c r="E206" s="137">
        <f>-B206*Main!$B$19-2*Main!$B$19*loop_gain!$B$17*loop_gain!$B$18</f>
        <v>-87.921509433962356</v>
      </c>
      <c r="F206" s="137">
        <f>2*Main!$B$19*loop_gain!$B$17*loop_gain!$B$18*Helper_calcs!$B$26*Current_limit!B206</f>
        <v>474.20377358490788</v>
      </c>
      <c r="G206" s="137">
        <f t="shared" si="19"/>
        <v>6.2251049832795253</v>
      </c>
      <c r="H206" s="137">
        <f>(Main!$B$19-Current_limit!G206)*Current_limit!G206/(Main!$B$19*loop_gain!$B$17*loop_gain!$B$18)</f>
        <v>1.1013887177237356</v>
      </c>
      <c r="I206" s="137">
        <f t="shared" si="20"/>
        <v>2.7486112822762645</v>
      </c>
      <c r="J206" s="137"/>
      <c r="K206" s="138">
        <f>IF(A206&gt;$B$15,IF(I206&gt;Helper_calcs!$B$27,23,3),0)</f>
        <v>0</v>
      </c>
      <c r="L206" s="139">
        <f t="shared" si="18"/>
        <v>0</v>
      </c>
      <c r="M206" s="139">
        <f t="shared" si="21"/>
        <v>0</v>
      </c>
      <c r="N206" s="137">
        <f t="shared" si="22"/>
        <v>2.649999999999987</v>
      </c>
      <c r="O206" s="137">
        <f t="shared" si="23"/>
        <v>5</v>
      </c>
      <c r="P206" s="140">
        <f>IF(OR(M206=0,M206=3),loop_gain!$B$18,IF(Current_limit!M206=1,Current_limit!$B$12/(2*(Current_limit!N206-Helper_calcs!$B$27)),IF(OR(M206=2,M206=23),(Main!$B$19-Current_limit!O206)*Current_limit!O206/(Main!$B$19*loop_gain!$B$17*(Helper_calcs!$B$26-Helper_calcs!$B$27)),x)))</f>
        <v>400000</v>
      </c>
      <c r="Q206" s="137"/>
    </row>
    <row r="207" spans="1:17" x14ac:dyDescent="0.25">
      <c r="A207">
        <f t="shared" si="24"/>
        <v>2.6599999999999868</v>
      </c>
      <c r="B207">
        <f>Main!$B$20/A207</f>
        <v>1.8796992481203101</v>
      </c>
      <c r="D207" s="137">
        <f t="shared" si="17"/>
        <v>1.8796992481203101</v>
      </c>
      <c r="E207" s="137">
        <f>-B207*Main!$B$19-2*Main!$B$19*loop_gain!$B$17*loop_gain!$B$18</f>
        <v>-87.836390977443699</v>
      </c>
      <c r="F207" s="137">
        <f>2*Main!$B$19*loop_gain!$B$17*loop_gain!$B$18*Helper_calcs!$B$26*Current_limit!B207</f>
        <v>472.42105263158118</v>
      </c>
      <c r="G207" s="137">
        <f t="shared" si="19"/>
        <v>6.20141134458762</v>
      </c>
      <c r="H207" s="137">
        <f>(Main!$B$19-Current_limit!G207)*Current_limit!G207/(Main!$B$19*loop_gain!$B$17*loop_gain!$B$18)</f>
        <v>1.1016983293588056</v>
      </c>
      <c r="I207" s="137">
        <f t="shared" si="20"/>
        <v>2.7483016706411947</v>
      </c>
      <c r="J207" s="137"/>
      <c r="K207" s="138">
        <f>IF(A207&gt;$B$15,IF(I207&gt;Helper_calcs!$B$27,23,3),0)</f>
        <v>0</v>
      </c>
      <c r="L207" s="139">
        <f t="shared" si="18"/>
        <v>0</v>
      </c>
      <c r="M207" s="139">
        <f t="shared" si="21"/>
        <v>0</v>
      </c>
      <c r="N207" s="137">
        <f t="shared" si="22"/>
        <v>2.6599999999999868</v>
      </c>
      <c r="O207" s="137">
        <f t="shared" si="23"/>
        <v>5</v>
      </c>
      <c r="P207" s="140">
        <f>IF(OR(M207=0,M207=3),loop_gain!$B$18,IF(Current_limit!M207=1,Current_limit!$B$12/(2*(Current_limit!N207-Helper_calcs!$B$27)),IF(OR(M207=2,M207=23),(Main!$B$19-Current_limit!O207)*Current_limit!O207/(Main!$B$19*loop_gain!$B$17*(Helper_calcs!$B$26-Helper_calcs!$B$27)),x)))</f>
        <v>400000</v>
      </c>
      <c r="Q207" s="137"/>
    </row>
    <row r="208" spans="1:17" x14ac:dyDescent="0.25">
      <c r="A208">
        <f t="shared" si="24"/>
        <v>2.6699999999999866</v>
      </c>
      <c r="B208">
        <f>Main!$B$20/A208</f>
        <v>1.872659176029972</v>
      </c>
      <c r="D208" s="137">
        <f t="shared" si="17"/>
        <v>1.872659176029972</v>
      </c>
      <c r="E208" s="137">
        <f>-B208*Main!$B$19-2*Main!$B$19*loop_gain!$B$17*loop_gain!$B$18</f>
        <v>-87.751910112359653</v>
      </c>
      <c r="F208" s="137">
        <f>2*Main!$B$19*loop_gain!$B$17*loop_gain!$B$18*Helper_calcs!$B$26*Current_limit!B208</f>
        <v>470.65168539326072</v>
      </c>
      <c r="G208" s="137">
        <f t="shared" si="19"/>
        <v>6.1779295563166716</v>
      </c>
      <c r="H208" s="137">
        <f>(Main!$B$19-Current_limit!G208)*Current_limit!G208/(Main!$B$19*loop_gain!$B$17*loop_gain!$B$18)</f>
        <v>1.1019712338538286</v>
      </c>
      <c r="I208" s="137">
        <f t="shared" si="20"/>
        <v>2.7480287661461715</v>
      </c>
      <c r="J208" s="137"/>
      <c r="K208" s="138">
        <f>IF(A208&gt;$B$15,IF(I208&gt;Helper_calcs!$B$27,23,3),0)</f>
        <v>0</v>
      </c>
      <c r="L208" s="139">
        <f t="shared" si="18"/>
        <v>0</v>
      </c>
      <c r="M208" s="139">
        <f t="shared" si="21"/>
        <v>0</v>
      </c>
      <c r="N208" s="137">
        <f t="shared" si="22"/>
        <v>2.6699999999999866</v>
      </c>
      <c r="O208" s="137">
        <f t="shared" si="23"/>
        <v>5</v>
      </c>
      <c r="P208" s="140">
        <f>IF(OR(M208=0,M208=3),loop_gain!$B$18,IF(Current_limit!M208=1,Current_limit!$B$12/(2*(Current_limit!N208-Helper_calcs!$B$27)),IF(OR(M208=2,M208=23),(Main!$B$19-Current_limit!O208)*Current_limit!O208/(Main!$B$19*loop_gain!$B$17*(Helper_calcs!$B$26-Helper_calcs!$B$27)),x)))</f>
        <v>400000</v>
      </c>
      <c r="Q208" s="137"/>
    </row>
    <row r="209" spans="1:17" x14ac:dyDescent="0.25">
      <c r="A209">
        <f t="shared" si="24"/>
        <v>2.6799999999999864</v>
      </c>
      <c r="B209">
        <f>Main!$B$20/A209</f>
        <v>1.8656716417910542</v>
      </c>
      <c r="D209" s="137">
        <f t="shared" si="17"/>
        <v>1.8656716417910542</v>
      </c>
      <c r="E209" s="137">
        <f>-B209*Main!$B$19-2*Main!$B$19*loop_gain!$B$17*loop_gain!$B$18</f>
        <v>-87.668059701492638</v>
      </c>
      <c r="F209" s="137">
        <f>2*Main!$B$19*loop_gain!$B$17*loop_gain!$B$18*Helper_calcs!$B$26*Current_limit!B209</f>
        <v>468.89552238806198</v>
      </c>
      <c r="G209" s="137">
        <f t="shared" si="19"/>
        <v>6.1546563652127091</v>
      </c>
      <c r="H209" s="137">
        <f>(Main!$B$19-Current_limit!G209)*Current_limit!G209/(Main!$B$19*loop_gain!$B$17*loop_gain!$B$18)</f>
        <v>1.1022083764920099</v>
      </c>
      <c r="I209" s="137">
        <f t="shared" si="20"/>
        <v>2.7477916235079904</v>
      </c>
      <c r="J209" s="137"/>
      <c r="K209" s="138">
        <f>IF(A209&gt;$B$15,IF(I209&gt;Helper_calcs!$B$27,23,3),0)</f>
        <v>0</v>
      </c>
      <c r="L209" s="139">
        <f t="shared" si="18"/>
        <v>0</v>
      </c>
      <c r="M209" s="139">
        <f t="shared" si="21"/>
        <v>0</v>
      </c>
      <c r="N209" s="137">
        <f t="shared" si="22"/>
        <v>2.6799999999999864</v>
      </c>
      <c r="O209" s="137">
        <f t="shared" si="23"/>
        <v>5</v>
      </c>
      <c r="P209" s="140">
        <f>IF(OR(M209=0,M209=3),loop_gain!$B$18,IF(Current_limit!M209=1,Current_limit!$B$12/(2*(Current_limit!N209-Helper_calcs!$B$27)),IF(OR(M209=2,M209=23),(Main!$B$19-Current_limit!O209)*Current_limit!O209/(Main!$B$19*loop_gain!$B$17*(Helper_calcs!$B$26-Helper_calcs!$B$27)),x)))</f>
        <v>400000</v>
      </c>
      <c r="Q209" s="137"/>
    </row>
    <row r="210" spans="1:17" x14ac:dyDescent="0.25">
      <c r="A210">
        <f t="shared" si="24"/>
        <v>2.6899999999999862</v>
      </c>
      <c r="B210">
        <f>Main!$B$20/A210</f>
        <v>1.8587360594795634</v>
      </c>
      <c r="D210" s="137">
        <f t="shared" si="17"/>
        <v>1.8587360594795634</v>
      </c>
      <c r="E210" s="137">
        <f>-B210*Main!$B$19-2*Main!$B$19*loop_gain!$B$17*loop_gain!$B$18</f>
        <v>-87.58483271375475</v>
      </c>
      <c r="F210" s="137">
        <f>2*Main!$B$19*loop_gain!$B$17*loop_gain!$B$18*Helper_calcs!$B$26*Current_limit!B210</f>
        <v>467.1524163568796</v>
      </c>
      <c r="G210" s="137">
        <f t="shared" si="19"/>
        <v>6.1315885917075716</v>
      </c>
      <c r="H210" s="137">
        <f>(Main!$B$19-Current_limit!G210)*Current_limit!G210/(Main!$B$19*loop_gain!$B$17*loop_gain!$B$18)</f>
        <v>1.1024106753226846</v>
      </c>
      <c r="I210" s="137">
        <f t="shared" si="20"/>
        <v>2.7475893246773144</v>
      </c>
      <c r="J210" s="137"/>
      <c r="K210" s="138">
        <f>IF(A210&gt;$B$15,IF(I210&gt;Helper_calcs!$B$27,23,3),0)</f>
        <v>0</v>
      </c>
      <c r="L210" s="139">
        <f t="shared" si="18"/>
        <v>0</v>
      </c>
      <c r="M210" s="139">
        <f t="shared" si="21"/>
        <v>0</v>
      </c>
      <c r="N210" s="137">
        <f t="shared" si="22"/>
        <v>2.6899999999999862</v>
      </c>
      <c r="O210" s="137">
        <f t="shared" si="23"/>
        <v>5</v>
      </c>
      <c r="P210" s="140">
        <f>IF(OR(M210=0,M210=3),loop_gain!$B$18,IF(Current_limit!M210=1,Current_limit!$B$12/(2*(Current_limit!N210-Helper_calcs!$B$27)),IF(OR(M210=2,M210=23),(Main!$B$19-Current_limit!O210)*Current_limit!O210/(Main!$B$19*loop_gain!$B$17*(Helper_calcs!$B$26-Helper_calcs!$B$27)),x)))</f>
        <v>400000</v>
      </c>
      <c r="Q210" s="137"/>
    </row>
    <row r="211" spans="1:17" x14ac:dyDescent="0.25">
      <c r="A211">
        <f t="shared" si="24"/>
        <v>2.699999999999986</v>
      </c>
      <c r="B211">
        <f>Main!$B$20/A211</f>
        <v>1.8518518518518614</v>
      </c>
      <c r="D211" s="137">
        <f t="shared" si="17"/>
        <v>1.8518518518518614</v>
      </c>
      <c r="E211" s="137">
        <f>-B211*Main!$B$19-2*Main!$B$19*loop_gain!$B$17*loop_gain!$B$18</f>
        <v>-87.502222222222315</v>
      </c>
      <c r="F211" s="137">
        <f>2*Main!$B$19*loop_gain!$B$17*loop_gain!$B$18*Helper_calcs!$B$26*Current_limit!B211</f>
        <v>465.42222222222455</v>
      </c>
      <c r="G211" s="137">
        <f t="shared" si="19"/>
        <v>6.1087231276805847</v>
      </c>
      <c r="H211" s="137">
        <f>(Main!$B$19-Current_limit!G211)*Current_limit!G211/(Main!$B$19*loop_gain!$B$17*loop_gain!$B$18)</f>
        <v>1.1025790221050049</v>
      </c>
      <c r="I211" s="137">
        <f t="shared" si="20"/>
        <v>2.7474209778949961</v>
      </c>
      <c r="J211" s="137"/>
      <c r="K211" s="138">
        <f>IF(A211&gt;$B$15,IF(I211&gt;Helper_calcs!$B$27,23,3),0)</f>
        <v>0</v>
      </c>
      <c r="L211" s="139">
        <f t="shared" si="18"/>
        <v>0</v>
      </c>
      <c r="M211" s="139">
        <f t="shared" si="21"/>
        <v>0</v>
      </c>
      <c r="N211" s="137">
        <f t="shared" si="22"/>
        <v>2.699999999999986</v>
      </c>
      <c r="O211" s="137">
        <f t="shared" si="23"/>
        <v>5</v>
      </c>
      <c r="P211" s="140">
        <f>IF(OR(M211=0,M211=3),loop_gain!$B$18,IF(Current_limit!M211=1,Current_limit!$B$12/(2*(Current_limit!N211-Helper_calcs!$B$27)),IF(OR(M211=2,M211=23),(Main!$B$19-Current_limit!O211)*Current_limit!O211/(Main!$B$19*loop_gain!$B$17*(Helper_calcs!$B$26-Helper_calcs!$B$27)),x)))</f>
        <v>400000</v>
      </c>
      <c r="Q211" s="137"/>
    </row>
    <row r="212" spans="1:17" x14ac:dyDescent="0.25">
      <c r="A212">
        <f t="shared" si="24"/>
        <v>2.7099999999999858</v>
      </c>
      <c r="B212">
        <f>Main!$B$20/A212</f>
        <v>1.8450184501845115</v>
      </c>
      <c r="D212" s="137">
        <f t="shared" si="17"/>
        <v>1.8450184501845115</v>
      </c>
      <c r="E212" s="137">
        <f>-B212*Main!$B$19-2*Main!$B$19*loop_gain!$B$17*loop_gain!$B$18</f>
        <v>-87.420221402214125</v>
      </c>
      <c r="F212" s="137">
        <f>2*Main!$B$19*loop_gain!$B$17*loop_gain!$B$18*Helper_calcs!$B$26*Current_limit!B212</f>
        <v>463.70479704797282</v>
      </c>
      <c r="G212" s="137">
        <f t="shared" si="19"/>
        <v>6.0860569343057902</v>
      </c>
      <c r="H212" s="137">
        <f>(Main!$B$19-Current_limit!G212)*Current_limit!G212/(Main!$B$19*loop_gain!$B$17*loop_gain!$B$18)</f>
        <v>1.102714283212558</v>
      </c>
      <c r="I212" s="137">
        <f t="shared" si="20"/>
        <v>2.747285716787442</v>
      </c>
      <c r="J212" s="137"/>
      <c r="K212" s="138">
        <f>IF(A212&gt;$B$15,IF(I212&gt;Helper_calcs!$B$27,23,3),0)</f>
        <v>0</v>
      </c>
      <c r="L212" s="139">
        <f t="shared" si="18"/>
        <v>0</v>
      </c>
      <c r="M212" s="139">
        <f t="shared" si="21"/>
        <v>0</v>
      </c>
      <c r="N212" s="137">
        <f t="shared" si="22"/>
        <v>2.7099999999999858</v>
      </c>
      <c r="O212" s="137">
        <f t="shared" si="23"/>
        <v>5</v>
      </c>
      <c r="P212" s="140">
        <f>IF(OR(M212=0,M212=3),loop_gain!$B$18,IF(Current_limit!M212=1,Current_limit!$B$12/(2*(Current_limit!N212-Helper_calcs!$B$27)),IF(OR(M212=2,M212=23),(Main!$B$19-Current_limit!O212)*Current_limit!O212/(Main!$B$19*loop_gain!$B$17*(Helper_calcs!$B$26-Helper_calcs!$B$27)),x)))</f>
        <v>400000</v>
      </c>
      <c r="Q212" s="137"/>
    </row>
    <row r="213" spans="1:17" x14ac:dyDescent="0.25">
      <c r="A213">
        <f t="shared" si="24"/>
        <v>2.7199999999999855</v>
      </c>
      <c r="B213">
        <f>Main!$B$20/A213</f>
        <v>1.8382352941176567</v>
      </c>
      <c r="D213" s="137">
        <f t="shared" si="17"/>
        <v>1.8382352941176567</v>
      </c>
      <c r="E213" s="137">
        <f>-B213*Main!$B$19-2*Main!$B$19*loop_gain!$B$17*loop_gain!$B$18</f>
        <v>-87.338823529411869</v>
      </c>
      <c r="F213" s="137">
        <f>2*Main!$B$19*loop_gain!$B$17*loop_gain!$B$18*Helper_calcs!$B$26*Current_limit!B213</f>
        <v>462.00000000000233</v>
      </c>
      <c r="G213" s="137">
        <f t="shared" si="19"/>
        <v>6.0635870399809022</v>
      </c>
      <c r="H213" s="137">
        <f>(Main!$B$19-Current_limit!G213)*Current_limit!G213/(Main!$B$19*loop_gain!$B$17*loop_gain!$B$18)</f>
        <v>1.1028173005008111</v>
      </c>
      <c r="I213" s="137">
        <f t="shared" si="20"/>
        <v>2.7471826994991879</v>
      </c>
      <c r="J213" s="137"/>
      <c r="K213" s="138">
        <f>IF(A213&gt;$B$15,IF(I213&gt;Helper_calcs!$B$27,23,3),0)</f>
        <v>0</v>
      </c>
      <c r="L213" s="139">
        <f t="shared" si="18"/>
        <v>0</v>
      </c>
      <c r="M213" s="139">
        <f t="shared" si="21"/>
        <v>0</v>
      </c>
      <c r="N213" s="137">
        <f t="shared" si="22"/>
        <v>2.7199999999999855</v>
      </c>
      <c r="O213" s="137">
        <f t="shared" si="23"/>
        <v>5</v>
      </c>
      <c r="P213" s="140">
        <f>IF(OR(M213=0,M213=3),loop_gain!$B$18,IF(Current_limit!M213=1,Current_limit!$B$12/(2*(Current_limit!N213-Helper_calcs!$B$27)),IF(OR(M213=2,M213=23),(Main!$B$19-Current_limit!O213)*Current_limit!O213/(Main!$B$19*loop_gain!$B$17*(Helper_calcs!$B$26-Helper_calcs!$B$27)),x)))</f>
        <v>400000</v>
      </c>
      <c r="Q213" s="137"/>
    </row>
    <row r="214" spans="1:17" x14ac:dyDescent="0.25">
      <c r="A214">
        <f t="shared" si="24"/>
        <v>2.7299999999999853</v>
      </c>
      <c r="B214">
        <f>Main!$B$20/A214</f>
        <v>1.8315018315018414</v>
      </c>
      <c r="D214" s="137">
        <f t="shared" si="17"/>
        <v>1.8315018315018414</v>
      </c>
      <c r="E214" s="137">
        <f>-B214*Main!$B$19-2*Main!$B$19*loop_gain!$B$17*loop_gain!$B$18</f>
        <v>-87.258021978022086</v>
      </c>
      <c r="F214" s="137">
        <f>2*Main!$B$19*loop_gain!$B$17*loop_gain!$B$18*Helper_calcs!$B$26*Current_limit!B214</f>
        <v>460.30769230769471</v>
      </c>
      <c r="G214" s="137">
        <f t="shared" si="19"/>
        <v>6.0413105383341259</v>
      </c>
      <c r="H214" s="137">
        <f>(Main!$B$19-Current_limit!G214)*Current_limit!G214/(Main!$B$19*loop_gain!$B$17*loop_gain!$B$18)</f>
        <v>1.1028888921391713</v>
      </c>
      <c r="I214" s="137">
        <f t="shared" si="20"/>
        <v>2.747111107860829</v>
      </c>
      <c r="J214" s="137"/>
      <c r="K214" s="138">
        <f>IF(A214&gt;$B$15,IF(I214&gt;Helper_calcs!$B$27,23,3),0)</f>
        <v>0</v>
      </c>
      <c r="L214" s="139">
        <f t="shared" si="18"/>
        <v>0</v>
      </c>
      <c r="M214" s="139">
        <f t="shared" si="21"/>
        <v>0</v>
      </c>
      <c r="N214" s="137">
        <f t="shared" si="22"/>
        <v>2.7299999999999853</v>
      </c>
      <c r="O214" s="137">
        <f t="shared" si="23"/>
        <v>5</v>
      </c>
      <c r="P214" s="140">
        <f>IF(OR(M214=0,M214=3),loop_gain!$B$18,IF(Current_limit!M214=1,Current_limit!$B$12/(2*(Current_limit!N214-Helper_calcs!$B$27)),IF(OR(M214=2,M214=23),(Main!$B$19-Current_limit!O214)*Current_limit!O214/(Main!$B$19*loop_gain!$B$17*(Helper_calcs!$B$26-Helper_calcs!$B$27)),x)))</f>
        <v>400000</v>
      </c>
      <c r="Q214" s="137"/>
    </row>
    <row r="215" spans="1:17" x14ac:dyDescent="0.25">
      <c r="A215">
        <f t="shared" si="24"/>
        <v>2.7399999999999851</v>
      </c>
      <c r="B215">
        <f>Main!$B$20/A215</f>
        <v>1.8248175182481852</v>
      </c>
      <c r="D215" s="137">
        <f t="shared" ref="D215:D278" si="25">B215</f>
        <v>1.8248175182481852</v>
      </c>
      <c r="E215" s="137">
        <f>-B215*Main!$B$19-2*Main!$B$19*loop_gain!$B$17*loop_gain!$B$18</f>
        <v>-87.177810218978209</v>
      </c>
      <c r="F215" s="137">
        <f>2*Main!$B$19*loop_gain!$B$17*loop_gain!$B$18*Helper_calcs!$B$26*Current_limit!B215</f>
        <v>458.62773722627981</v>
      </c>
      <c r="G215" s="137">
        <f t="shared" si="19"/>
        <v>6.0192245863053628</v>
      </c>
      <c r="H215" s="137">
        <f>(Main!$B$19-Current_limit!G215)*Current_limit!G215/(Main!$B$19*loop_gain!$B$17*loop_gain!$B$18)</f>
        <v>1.1029298534093566</v>
      </c>
      <c r="I215" s="137">
        <f t="shared" si="20"/>
        <v>2.7470701465906426</v>
      </c>
      <c r="J215" s="137"/>
      <c r="K215" s="138">
        <f>IF(A215&gt;$B$15,IF(I215&gt;Helper_calcs!$B$27,23,3),0)</f>
        <v>0</v>
      </c>
      <c r="L215" s="139">
        <f t="shared" ref="L215:L278" si="26">IF(A215&gt;$B$13,IF(A215&gt;$B$14,2,1),0)</f>
        <v>0</v>
      </c>
      <c r="M215" s="139">
        <f t="shared" si="21"/>
        <v>0</v>
      </c>
      <c r="N215" s="137">
        <f t="shared" si="22"/>
        <v>2.7399999999999851</v>
      </c>
      <c r="O215" s="137">
        <f t="shared" si="23"/>
        <v>5</v>
      </c>
      <c r="P215" s="140">
        <f>IF(OR(M215=0,M215=3),loop_gain!$B$18,IF(Current_limit!M215=1,Current_limit!$B$12/(2*(Current_limit!N215-Helper_calcs!$B$27)),IF(OR(M215=2,M215=23),(Main!$B$19-Current_limit!O215)*Current_limit!O215/(Main!$B$19*loop_gain!$B$17*(Helper_calcs!$B$26-Helper_calcs!$B$27)),x)))</f>
        <v>400000</v>
      </c>
      <c r="Q215" s="137"/>
    </row>
    <row r="216" spans="1:17" x14ac:dyDescent="0.25">
      <c r="A216">
        <f t="shared" si="24"/>
        <v>2.7499999999999849</v>
      </c>
      <c r="B216">
        <f>Main!$B$20/A216</f>
        <v>1.8181818181818281</v>
      </c>
      <c r="D216" s="137">
        <f t="shared" si="25"/>
        <v>1.8181818181818281</v>
      </c>
      <c r="E216" s="137">
        <f>-B216*Main!$B$19-2*Main!$B$19*loop_gain!$B$17*loop_gain!$B$18</f>
        <v>-87.098181818181928</v>
      </c>
      <c r="F216" s="137">
        <f>2*Main!$B$19*loop_gain!$B$17*loop_gain!$B$18*Helper_calcs!$B$26*Current_limit!B216</f>
        <v>456.96000000000242</v>
      </c>
      <c r="G216" s="137">
        <f t="shared" ref="G216:G279" si="27">(-E216-SQRT(E216^2-4*D216*F216))/(2*D216)</f>
        <v>5.9973264022985155</v>
      </c>
      <c r="H216" s="137">
        <f>(Main!$B$19-Current_limit!G216)*Current_limit!G216/(Main!$B$19*loop_gain!$B$17*loop_gain!$B$18)</f>
        <v>1.1029409574716711</v>
      </c>
      <c r="I216" s="137">
        <f t="shared" ref="I216:I279" si="28">(G216/B216)-0.5*H216</f>
        <v>2.7470590425283299</v>
      </c>
      <c r="J216" s="137"/>
      <c r="K216" s="138">
        <f>IF(A216&gt;$B$15,IF(I216&gt;Helper_calcs!$B$27,23,3),0)</f>
        <v>0</v>
      </c>
      <c r="L216" s="139">
        <f t="shared" si="26"/>
        <v>0</v>
      </c>
      <c r="M216" s="139">
        <f t="shared" ref="M216:M279" si="29">IF($B$16="N",L216,K216)</f>
        <v>0</v>
      </c>
      <c r="N216" s="137">
        <f t="shared" ref="N216:N279" si="30">IF(OR(M216=0,M216=1),A216,IF(OR(M216=2,M216=23),$B$14,G216/B216))</f>
        <v>2.7499999999999849</v>
      </c>
      <c r="O216" s="137">
        <f t="shared" ref="O216:O279" si="31">N216*B216</f>
        <v>5</v>
      </c>
      <c r="P216" s="140">
        <f>IF(OR(M216=0,M216=3),loop_gain!$B$18,IF(Current_limit!M216=1,Current_limit!$B$12/(2*(Current_limit!N216-Helper_calcs!$B$27)),IF(OR(M216=2,M216=23),(Main!$B$19-Current_limit!O216)*Current_limit!O216/(Main!$B$19*loop_gain!$B$17*(Helper_calcs!$B$26-Helper_calcs!$B$27)),x)))</f>
        <v>400000</v>
      </c>
      <c r="Q216" s="137"/>
    </row>
    <row r="217" spans="1:17" x14ac:dyDescent="0.25">
      <c r="A217">
        <f t="shared" si="24"/>
        <v>2.7599999999999847</v>
      </c>
      <c r="B217">
        <f>Main!$B$20/A217</f>
        <v>1.8115942028985608</v>
      </c>
      <c r="D217" s="137">
        <f t="shared" si="25"/>
        <v>1.8115942028985608</v>
      </c>
      <c r="E217" s="137">
        <f>-B217*Main!$B$19-2*Main!$B$19*loop_gain!$B$17*loop_gain!$B$18</f>
        <v>-87.01913043478271</v>
      </c>
      <c r="F217" s="137">
        <f>2*Main!$B$19*loop_gain!$B$17*loop_gain!$B$18*Helper_calcs!$B$26*Current_limit!B217</f>
        <v>455.30434782608938</v>
      </c>
      <c r="G217" s="137">
        <f t="shared" si="27"/>
        <v>5.9756132644015736</v>
      </c>
      <c r="H217" s="137">
        <f>(Main!$B$19-Current_limit!G217)*Current_limit!G217/(Main!$B$19*loop_gain!$B$17*loop_gain!$B$18)</f>
        <v>1.1029229561007003</v>
      </c>
      <c r="I217" s="137">
        <f t="shared" si="28"/>
        <v>2.7470770438993002</v>
      </c>
      <c r="J217" s="137"/>
      <c r="K217" s="138">
        <f>IF(A217&gt;$B$15,IF(I217&gt;Helper_calcs!$B$27,23,3),0)</f>
        <v>0</v>
      </c>
      <c r="L217" s="139">
        <f t="shared" si="26"/>
        <v>0</v>
      </c>
      <c r="M217" s="139">
        <f t="shared" si="29"/>
        <v>0</v>
      </c>
      <c r="N217" s="137">
        <f t="shared" si="30"/>
        <v>2.7599999999999847</v>
      </c>
      <c r="O217" s="137">
        <f t="shared" si="31"/>
        <v>5</v>
      </c>
      <c r="P217" s="140">
        <f>IF(OR(M217=0,M217=3),loop_gain!$B$18,IF(Current_limit!M217=1,Current_limit!$B$12/(2*(Current_limit!N217-Helper_calcs!$B$27)),IF(OR(M217=2,M217=23),(Main!$B$19-Current_limit!O217)*Current_limit!O217/(Main!$B$19*loop_gain!$B$17*(Helper_calcs!$B$26-Helper_calcs!$B$27)),x)))</f>
        <v>400000</v>
      </c>
      <c r="Q217" s="137"/>
    </row>
    <row r="218" spans="1:17" x14ac:dyDescent="0.25">
      <c r="A218">
        <f t="shared" si="24"/>
        <v>2.7699999999999845</v>
      </c>
      <c r="B218">
        <f>Main!$B$20/A218</f>
        <v>1.8050541516245588</v>
      </c>
      <c r="D218" s="137">
        <f t="shared" si="25"/>
        <v>1.8050541516245588</v>
      </c>
      <c r="E218" s="137">
        <f>-B218*Main!$B$19-2*Main!$B$19*loop_gain!$B$17*loop_gain!$B$18</f>
        <v>-86.940649819494695</v>
      </c>
      <c r="F218" s="137">
        <f>2*Main!$B$19*loop_gain!$B$17*loop_gain!$B$18*Helper_calcs!$B$26*Current_limit!B218</f>
        <v>453.66064981949705</v>
      </c>
      <c r="G218" s="137">
        <f t="shared" si="27"/>
        <v>5.9540825086716458</v>
      </c>
      <c r="H218" s="137">
        <f>(Main!$B$19-Current_limit!G218)*Current_limit!G218/(Main!$B$19*loop_gain!$B$17*loop_gain!$B$18)</f>
        <v>1.1028765803918541</v>
      </c>
      <c r="I218" s="137">
        <f t="shared" si="28"/>
        <v>2.7471234196081462</v>
      </c>
      <c r="J218" s="137"/>
      <c r="K218" s="138">
        <f>IF(A218&gt;$B$15,IF(I218&gt;Helper_calcs!$B$27,23,3),0)</f>
        <v>0</v>
      </c>
      <c r="L218" s="139">
        <f t="shared" si="26"/>
        <v>0</v>
      </c>
      <c r="M218" s="139">
        <f t="shared" si="29"/>
        <v>0</v>
      </c>
      <c r="N218" s="137">
        <f t="shared" si="30"/>
        <v>2.7699999999999845</v>
      </c>
      <c r="O218" s="137">
        <f t="shared" si="31"/>
        <v>5</v>
      </c>
      <c r="P218" s="140">
        <f>IF(OR(M218=0,M218=3),loop_gain!$B$18,IF(Current_limit!M218=1,Current_limit!$B$12/(2*(Current_limit!N218-Helper_calcs!$B$27)),IF(OR(M218=2,M218=23),(Main!$B$19-Current_limit!O218)*Current_limit!O218/(Main!$B$19*loop_gain!$B$17*(Helper_calcs!$B$26-Helper_calcs!$B$27)),x)))</f>
        <v>400000</v>
      </c>
      <c r="Q218" s="137"/>
    </row>
    <row r="219" spans="1:17" x14ac:dyDescent="0.25">
      <c r="A219">
        <f t="shared" si="24"/>
        <v>2.7799999999999843</v>
      </c>
      <c r="B219">
        <f>Main!$B$20/A219</f>
        <v>1.7985611510791468</v>
      </c>
      <c r="D219" s="137">
        <f t="shared" si="25"/>
        <v>1.7985611510791468</v>
      </c>
      <c r="E219" s="137">
        <f>-B219*Main!$B$19-2*Main!$B$19*loop_gain!$B$17*loop_gain!$B$18</f>
        <v>-86.862733812949756</v>
      </c>
      <c r="F219" s="137">
        <f>2*Main!$B$19*loop_gain!$B$17*loop_gain!$B$18*Helper_calcs!$B$26*Current_limit!B219</f>
        <v>452.02877697841973</v>
      </c>
      <c r="G219" s="137">
        <f t="shared" si="27"/>
        <v>5.9327315274819474</v>
      </c>
      <c r="H219" s="137">
        <f>(Main!$B$19-Current_limit!G219)*Current_limit!G219/(Main!$B$19*loop_gain!$B$17*loop_gain!$B$18)</f>
        <v>1.102802541440107</v>
      </c>
      <c r="I219" s="137">
        <f t="shared" si="28"/>
        <v>2.7471974585598904</v>
      </c>
      <c r="J219" s="137"/>
      <c r="K219" s="138">
        <f>IF(A219&gt;$B$15,IF(I219&gt;Helper_calcs!$B$27,23,3),0)</f>
        <v>0</v>
      </c>
      <c r="L219" s="139">
        <f t="shared" si="26"/>
        <v>0</v>
      </c>
      <c r="M219" s="139">
        <f t="shared" si="29"/>
        <v>0</v>
      </c>
      <c r="N219" s="137">
        <f t="shared" si="30"/>
        <v>2.7799999999999843</v>
      </c>
      <c r="O219" s="137">
        <f t="shared" si="31"/>
        <v>5</v>
      </c>
      <c r="P219" s="140">
        <f>IF(OR(M219=0,M219=3),loop_gain!$B$18,IF(Current_limit!M219=1,Current_limit!$B$12/(2*(Current_limit!N219-Helper_calcs!$B$27)),IF(OR(M219=2,M219=23),(Main!$B$19-Current_limit!O219)*Current_limit!O219/(Main!$B$19*loop_gain!$B$17*(Helper_calcs!$B$26-Helper_calcs!$B$27)),x)))</f>
        <v>400000</v>
      </c>
      <c r="Q219" s="137"/>
    </row>
    <row r="220" spans="1:17" x14ac:dyDescent="0.25">
      <c r="A220">
        <f t="shared" si="24"/>
        <v>2.789999999999984</v>
      </c>
      <c r="B220">
        <f>Main!$B$20/A220</f>
        <v>1.792114695340512</v>
      </c>
      <c r="D220" s="137">
        <f t="shared" si="25"/>
        <v>1.792114695340512</v>
      </c>
      <c r="E220" s="137">
        <f>-B220*Main!$B$19-2*Main!$B$19*loop_gain!$B$17*loop_gain!$B$18</f>
        <v>-86.785376344086131</v>
      </c>
      <c r="F220" s="137">
        <f>2*Main!$B$19*loop_gain!$B$17*loop_gain!$B$18*Helper_calcs!$B$26*Current_limit!B220</f>
        <v>450.4086021505401</v>
      </c>
      <c r="G220" s="137">
        <f t="shared" si="27"/>
        <v>5.9115577679281488</v>
      </c>
      <c r="H220" s="137">
        <f>(Main!$B$19-Current_limit!G220)*Current_limit!G220/(Main!$B$19*loop_gain!$B$17*loop_gain!$B$18)</f>
        <v>1.102701530992223</v>
      </c>
      <c r="I220" s="137">
        <f t="shared" si="28"/>
        <v>2.7472984690077764</v>
      </c>
      <c r="J220" s="137"/>
      <c r="K220" s="138">
        <f>IF(A220&gt;$B$15,IF(I220&gt;Helper_calcs!$B$27,23,3),0)</f>
        <v>0</v>
      </c>
      <c r="L220" s="139">
        <f t="shared" si="26"/>
        <v>0</v>
      </c>
      <c r="M220" s="139">
        <f t="shared" si="29"/>
        <v>0</v>
      </c>
      <c r="N220" s="137">
        <f t="shared" si="30"/>
        <v>2.789999999999984</v>
      </c>
      <c r="O220" s="137">
        <f t="shared" si="31"/>
        <v>5</v>
      </c>
      <c r="P220" s="140">
        <f>IF(OR(M220=0,M220=3),loop_gain!$B$18,IF(Current_limit!M220=1,Current_limit!$B$12/(2*(Current_limit!N220-Helper_calcs!$B$27)),IF(OR(M220=2,M220=23),(Main!$B$19-Current_limit!O220)*Current_limit!O220/(Main!$B$19*loop_gain!$B$17*(Helper_calcs!$B$26-Helper_calcs!$B$27)),x)))</f>
        <v>400000</v>
      </c>
      <c r="Q220" s="137"/>
    </row>
    <row r="221" spans="1:17" x14ac:dyDescent="0.25">
      <c r="A221">
        <f t="shared" si="24"/>
        <v>2.7999999999999838</v>
      </c>
      <c r="B221">
        <f>Main!$B$20/A221</f>
        <v>1.785714285714296</v>
      </c>
      <c r="D221" s="137">
        <f t="shared" si="25"/>
        <v>1.785714285714296</v>
      </c>
      <c r="E221" s="137">
        <f>-B221*Main!$B$19-2*Main!$B$19*loop_gain!$B$17*loop_gain!$B$18</f>
        <v>-86.708571428571531</v>
      </c>
      <c r="F221" s="137">
        <f>2*Main!$B$19*loop_gain!$B$17*loop_gain!$B$18*Helper_calcs!$B$26*Current_limit!B221</f>
        <v>448.80000000000251</v>
      </c>
      <c r="G221" s="137">
        <f t="shared" si="27"/>
        <v>5.8905587302914002</v>
      </c>
      <c r="H221" s="137">
        <f>(Main!$B$19-Current_limit!G221)*Current_limit!G221/(Main!$B$19*loop_gain!$B$17*loop_gain!$B$18)</f>
        <v>1.1025742220736696</v>
      </c>
      <c r="I221" s="137">
        <f t="shared" si="28"/>
        <v>2.7474257779263302</v>
      </c>
      <c r="J221" s="137"/>
      <c r="K221" s="138">
        <f>IF(A221&gt;$B$15,IF(I221&gt;Helper_calcs!$B$27,23,3),0)</f>
        <v>0</v>
      </c>
      <c r="L221" s="139">
        <f t="shared" si="26"/>
        <v>0</v>
      </c>
      <c r="M221" s="139">
        <f t="shared" si="29"/>
        <v>0</v>
      </c>
      <c r="N221" s="137">
        <f t="shared" si="30"/>
        <v>2.7999999999999838</v>
      </c>
      <c r="O221" s="137">
        <f t="shared" si="31"/>
        <v>5</v>
      </c>
      <c r="P221" s="140">
        <f>IF(OR(M221=0,M221=3),loop_gain!$B$18,IF(Current_limit!M221=1,Current_limit!$B$12/(2*(Current_limit!N221-Helper_calcs!$B$27)),IF(OR(M221=2,M221=23),(Main!$B$19-Current_limit!O221)*Current_limit!O221/(Main!$B$19*loop_gain!$B$17*(Helper_calcs!$B$26-Helper_calcs!$B$27)),x)))</f>
        <v>400000</v>
      </c>
      <c r="Q221" s="137"/>
    </row>
    <row r="222" spans="1:17" x14ac:dyDescent="0.25">
      <c r="A222">
        <f t="shared" si="24"/>
        <v>2.8099999999999836</v>
      </c>
      <c r="B222">
        <f>Main!$B$20/A222</f>
        <v>1.7793594306049927</v>
      </c>
      <c r="D222" s="137">
        <f t="shared" si="25"/>
        <v>1.7793594306049927</v>
      </c>
      <c r="E222" s="137">
        <f>-B222*Main!$B$19-2*Main!$B$19*loop_gain!$B$17*loop_gain!$B$18</f>
        <v>-86.632313167259895</v>
      </c>
      <c r="F222" s="137">
        <f>2*Main!$B$19*loop_gain!$B$17*loop_gain!$B$18*Helper_calcs!$B$26*Current_limit!B222</f>
        <v>447.20284697509152</v>
      </c>
      <c r="G222" s="137">
        <f t="shared" si="27"/>
        <v>5.8697319665557481</v>
      </c>
      <c r="H222" s="137">
        <f>(Main!$B$19-Current_limit!G222)*Current_limit!G222/(Main!$B$19*loop_gain!$B$17*loop_gain!$B$18)</f>
        <v>1.1024212695913778</v>
      </c>
      <c r="I222" s="137">
        <f t="shared" si="28"/>
        <v>2.7475787304086223</v>
      </c>
      <c r="J222" s="137"/>
      <c r="K222" s="138">
        <f>IF(A222&gt;$B$15,IF(I222&gt;Helper_calcs!$B$27,23,3),0)</f>
        <v>0</v>
      </c>
      <c r="L222" s="139">
        <f t="shared" si="26"/>
        <v>0</v>
      </c>
      <c r="M222" s="139">
        <f t="shared" si="29"/>
        <v>0</v>
      </c>
      <c r="N222" s="137">
        <f t="shared" si="30"/>
        <v>2.8099999999999836</v>
      </c>
      <c r="O222" s="137">
        <f t="shared" si="31"/>
        <v>5</v>
      </c>
      <c r="P222" s="140">
        <f>IF(OR(M222=0,M222=3),loop_gain!$B$18,IF(Current_limit!M222=1,Current_limit!$B$12/(2*(Current_limit!N222-Helper_calcs!$B$27)),IF(OR(M222=2,M222=23),(Main!$B$19-Current_limit!O222)*Current_limit!O222/(Main!$B$19*loop_gain!$B$17*(Helper_calcs!$B$26-Helper_calcs!$B$27)),x)))</f>
        <v>400000</v>
      </c>
      <c r="Q222" s="137"/>
    </row>
    <row r="223" spans="1:17" x14ac:dyDescent="0.25">
      <c r="A223">
        <f t="shared" si="24"/>
        <v>2.8199999999999834</v>
      </c>
      <c r="B223">
        <f>Main!$B$20/A223</f>
        <v>1.7730496453900813</v>
      </c>
      <c r="D223" s="137">
        <f t="shared" si="25"/>
        <v>1.7730496453900813</v>
      </c>
      <c r="E223" s="137">
        <f>-B223*Main!$B$19-2*Main!$B$19*loop_gain!$B$17*loop_gain!$B$18</f>
        <v>-86.556595744680962</v>
      </c>
      <c r="F223" s="137">
        <f>2*Main!$B$19*loop_gain!$B$17*loop_gain!$B$18*Helper_calcs!$B$26*Current_limit!B223</f>
        <v>445.61702127659822</v>
      </c>
      <c r="G223" s="137">
        <f t="shared" si="27"/>
        <v>5.8490750789774895</v>
      </c>
      <c r="H223" s="137">
        <f>(Main!$B$19-Current_limit!G223)*Current_limit!G223/(Main!$B$19*loop_gain!$B$17*loop_gain!$B$18)</f>
        <v>1.10224331091343</v>
      </c>
      <c r="I223" s="137">
        <f t="shared" si="28"/>
        <v>2.7477566890865699</v>
      </c>
      <c r="J223" s="137"/>
      <c r="K223" s="138">
        <f>IF(A223&gt;$B$15,IF(I223&gt;Helper_calcs!$B$27,23,3),0)</f>
        <v>0</v>
      </c>
      <c r="L223" s="139">
        <f t="shared" si="26"/>
        <v>0</v>
      </c>
      <c r="M223" s="139">
        <f t="shared" si="29"/>
        <v>0</v>
      </c>
      <c r="N223" s="137">
        <f t="shared" si="30"/>
        <v>2.8199999999999834</v>
      </c>
      <c r="O223" s="137">
        <f t="shared" si="31"/>
        <v>5</v>
      </c>
      <c r="P223" s="140">
        <f>IF(OR(M223=0,M223=3),loop_gain!$B$18,IF(Current_limit!M223=1,Current_limit!$B$12/(2*(Current_limit!N223-Helper_calcs!$B$27)),IF(OR(M223=2,M223=23),(Main!$B$19-Current_limit!O223)*Current_limit!O223/(Main!$B$19*loop_gain!$B$17*(Helper_calcs!$B$26-Helper_calcs!$B$27)),x)))</f>
        <v>400000</v>
      </c>
      <c r="Q223" s="137"/>
    </row>
    <row r="224" spans="1:17" x14ac:dyDescent="0.25">
      <c r="A224">
        <f t="shared" si="24"/>
        <v>2.8299999999999832</v>
      </c>
      <c r="B224">
        <f>Main!$B$20/A224</f>
        <v>1.7667844522968303</v>
      </c>
      <c r="D224" s="137">
        <f t="shared" si="25"/>
        <v>1.7667844522968303</v>
      </c>
      <c r="E224" s="137">
        <f>-B224*Main!$B$19-2*Main!$B$19*loop_gain!$B$17*loop_gain!$B$18</f>
        <v>-86.481413427561947</v>
      </c>
      <c r="F224" s="137">
        <f>2*Main!$B$19*loop_gain!$B$17*loop_gain!$B$18*Helper_calcs!$B$26*Current_limit!B224</f>
        <v>444.04240282685765</v>
      </c>
      <c r="G224" s="137">
        <f t="shared" si="27"/>
        <v>5.8285857187043515</v>
      </c>
      <c r="H224" s="137">
        <f>(Main!$B$19-Current_limit!G224)*Current_limit!G224/(Main!$B$19*loop_gain!$B$17*loop_gain!$B$18)</f>
        <v>1.1020409664267128</v>
      </c>
      <c r="I224" s="137">
        <f t="shared" si="28"/>
        <v>2.7479590335732871</v>
      </c>
      <c r="J224" s="137"/>
      <c r="K224" s="138">
        <f>IF(A224&gt;$B$15,IF(I224&gt;Helper_calcs!$B$27,23,3),0)</f>
        <v>0</v>
      </c>
      <c r="L224" s="139">
        <f t="shared" si="26"/>
        <v>0</v>
      </c>
      <c r="M224" s="139">
        <f t="shared" si="29"/>
        <v>0</v>
      </c>
      <c r="N224" s="137">
        <f t="shared" si="30"/>
        <v>2.8299999999999832</v>
      </c>
      <c r="O224" s="137">
        <f t="shared" si="31"/>
        <v>5</v>
      </c>
      <c r="P224" s="140">
        <f>IF(OR(M224=0,M224=3),loop_gain!$B$18,IF(Current_limit!M224=1,Current_limit!$B$12/(2*(Current_limit!N224-Helper_calcs!$B$27)),IF(OR(M224=2,M224=23),(Main!$B$19-Current_limit!O224)*Current_limit!O224/(Main!$B$19*loop_gain!$B$17*(Helper_calcs!$B$26-Helper_calcs!$B$27)),x)))</f>
        <v>400000</v>
      </c>
      <c r="Q224" s="137"/>
    </row>
    <row r="225" spans="1:17" x14ac:dyDescent="0.25">
      <c r="A225">
        <f t="shared" ref="A225:A288" si="32">A224+0.01</f>
        <v>2.839999999999983</v>
      </c>
      <c r="B225">
        <f>Main!$B$20/A225</f>
        <v>1.7605633802817007</v>
      </c>
      <c r="D225" s="137">
        <f t="shared" si="25"/>
        <v>1.7605633802817007</v>
      </c>
      <c r="E225" s="137">
        <f>-B225*Main!$B$19-2*Main!$B$19*loop_gain!$B$17*loop_gain!$B$18</f>
        <v>-86.406760563380402</v>
      </c>
      <c r="F225" s="137">
        <f>2*Main!$B$19*loop_gain!$B$17*loop_gain!$B$18*Helper_calcs!$B$26*Current_limit!B225</f>
        <v>442.47887323943917</v>
      </c>
      <c r="G225" s="137">
        <f t="shared" si="27"/>
        <v>5.8082615844423664</v>
      </c>
      <c r="H225" s="137">
        <f>(Main!$B$19-Current_limit!G225)*Current_limit!G225/(Main!$B$19*loop_gain!$B$17*loop_gain!$B$18)</f>
        <v>1.1018148400735128</v>
      </c>
      <c r="I225" s="137">
        <f t="shared" si="28"/>
        <v>2.7481851599264879</v>
      </c>
      <c r="J225" s="137"/>
      <c r="K225" s="138">
        <f>IF(A225&gt;$B$15,IF(I225&gt;Helper_calcs!$B$27,23,3),0)</f>
        <v>0</v>
      </c>
      <c r="L225" s="139">
        <f t="shared" si="26"/>
        <v>0</v>
      </c>
      <c r="M225" s="139">
        <f t="shared" si="29"/>
        <v>0</v>
      </c>
      <c r="N225" s="137">
        <f t="shared" si="30"/>
        <v>2.839999999999983</v>
      </c>
      <c r="O225" s="137">
        <f t="shared" si="31"/>
        <v>5</v>
      </c>
      <c r="P225" s="140">
        <f>IF(OR(M225=0,M225=3),loop_gain!$B$18,IF(Current_limit!M225=1,Current_limit!$B$12/(2*(Current_limit!N225-Helper_calcs!$B$27)),IF(OR(M225=2,M225=23),(Main!$B$19-Current_limit!O225)*Current_limit!O225/(Main!$B$19*loop_gain!$B$17*(Helper_calcs!$B$26-Helper_calcs!$B$27)),x)))</f>
        <v>400000</v>
      </c>
      <c r="Q225" s="137"/>
    </row>
    <row r="226" spans="1:17" x14ac:dyDescent="0.25">
      <c r="A226">
        <f t="shared" si="32"/>
        <v>2.8499999999999828</v>
      </c>
      <c r="B226">
        <f>Main!$B$20/A226</f>
        <v>1.7543859649122913</v>
      </c>
      <c r="D226" s="137">
        <f t="shared" si="25"/>
        <v>1.7543859649122913</v>
      </c>
      <c r="E226" s="137">
        <f>-B226*Main!$B$19-2*Main!$B$19*loop_gain!$B$17*loop_gain!$B$18</f>
        <v>-86.332631578947485</v>
      </c>
      <c r="F226" s="137">
        <f>2*Main!$B$19*loop_gain!$B$17*loop_gain!$B$18*Helper_calcs!$B$26*Current_limit!B226</f>
        <v>440.92631578947623</v>
      </c>
      <c r="G226" s="137">
        <f t="shared" si="27"/>
        <v>5.788100421168469</v>
      </c>
      <c r="H226" s="137">
        <f>(Main!$B$19-Current_limit!G226)*Current_limit!G226/(Main!$B$19*loop_gain!$B$17*loop_gain!$B$18)</f>
        <v>1.1015655198679848</v>
      </c>
      <c r="I226" s="137">
        <f t="shared" si="28"/>
        <v>2.7484344801320151</v>
      </c>
      <c r="J226" s="137"/>
      <c r="K226" s="138">
        <f>IF(A226&gt;$B$15,IF(I226&gt;Helper_calcs!$B$27,23,3),0)</f>
        <v>0</v>
      </c>
      <c r="L226" s="139">
        <f t="shared" si="26"/>
        <v>0</v>
      </c>
      <c r="M226" s="139">
        <f t="shared" si="29"/>
        <v>0</v>
      </c>
      <c r="N226" s="137">
        <f t="shared" si="30"/>
        <v>2.8499999999999828</v>
      </c>
      <c r="O226" s="137">
        <f t="shared" si="31"/>
        <v>5</v>
      </c>
      <c r="P226" s="140">
        <f>IF(OR(M226=0,M226=3),loop_gain!$B$18,IF(Current_limit!M226=1,Current_limit!$B$12/(2*(Current_limit!N226-Helper_calcs!$B$27)),IF(OR(M226=2,M226=23),(Main!$B$19-Current_limit!O226)*Current_limit!O226/(Main!$B$19*loop_gain!$B$17*(Helper_calcs!$B$26-Helper_calcs!$B$27)),x)))</f>
        <v>400000</v>
      </c>
      <c r="Q226" s="137"/>
    </row>
    <row r="227" spans="1:17" x14ac:dyDescent="0.25">
      <c r="A227">
        <f t="shared" si="32"/>
        <v>2.8599999999999826</v>
      </c>
      <c r="B227">
        <f>Main!$B$20/A227</f>
        <v>1.748251748251759</v>
      </c>
      <c r="D227" s="137">
        <f t="shared" si="25"/>
        <v>1.748251748251759</v>
      </c>
      <c r="E227" s="137">
        <f>-B227*Main!$B$19-2*Main!$B$19*loop_gain!$B$17*loop_gain!$B$18</f>
        <v>-86.259020979021102</v>
      </c>
      <c r="F227" s="137">
        <f>2*Main!$B$19*loop_gain!$B$17*loop_gain!$B$18*Helper_calcs!$B$26*Current_limit!B227</f>
        <v>439.38461538461797</v>
      </c>
      <c r="G227" s="137">
        <f t="shared" si="27"/>
        <v>5.7681000188869431</v>
      </c>
      <c r="H227" s="137">
        <f>(Main!$B$19-Current_limit!G227)*Current_limit!G227/(Main!$B$19*loop_gain!$B$17*loop_gain!$B$18)</f>
        <v>1.1012935783933755</v>
      </c>
      <c r="I227" s="137">
        <f t="shared" si="28"/>
        <v>2.7487064216066237</v>
      </c>
      <c r="J227" s="137"/>
      <c r="K227" s="138">
        <f>IF(A227&gt;$B$15,IF(I227&gt;Helper_calcs!$B$27,23,3),0)</f>
        <v>0</v>
      </c>
      <c r="L227" s="139">
        <f t="shared" si="26"/>
        <v>0</v>
      </c>
      <c r="M227" s="139">
        <f t="shared" si="29"/>
        <v>0</v>
      </c>
      <c r="N227" s="137">
        <f t="shared" si="30"/>
        <v>2.8599999999999826</v>
      </c>
      <c r="O227" s="137">
        <f t="shared" si="31"/>
        <v>5</v>
      </c>
      <c r="P227" s="140">
        <f>IF(OR(M227=0,M227=3),loop_gain!$B$18,IF(Current_limit!M227=1,Current_limit!$B$12/(2*(Current_limit!N227-Helper_calcs!$B$27)),IF(OR(M227=2,M227=23),(Main!$B$19-Current_limit!O227)*Current_limit!O227/(Main!$B$19*loop_gain!$B$17*(Helper_calcs!$B$26-Helper_calcs!$B$27)),x)))</f>
        <v>400000</v>
      </c>
      <c r="Q227" s="137"/>
    </row>
    <row r="228" spans="1:17" x14ac:dyDescent="0.25">
      <c r="A228">
        <f t="shared" si="32"/>
        <v>2.8699999999999823</v>
      </c>
      <c r="B228">
        <f>Main!$B$20/A228</f>
        <v>1.7421602787456554</v>
      </c>
      <c r="D228" s="137">
        <f t="shared" si="25"/>
        <v>1.7421602787456554</v>
      </c>
      <c r="E228" s="137">
        <f>-B228*Main!$B$19-2*Main!$B$19*loop_gain!$B$17*loop_gain!$B$18</f>
        <v>-86.185923344947852</v>
      </c>
      <c r="F228" s="137">
        <f>2*Main!$B$19*loop_gain!$B$17*loop_gain!$B$18*Helper_calcs!$B$26*Current_limit!B228</f>
        <v>437.853658536588</v>
      </c>
      <c r="G228" s="137">
        <f t="shared" si="27"/>
        <v>5.7482582114278769</v>
      </c>
      <c r="H228" s="137">
        <f>(Main!$B$19-Current_limit!G228)*Current_limit!G228/(Main!$B$19*loop_gain!$B$17*loop_gain!$B$18)</f>
        <v>1.1009995732808369</v>
      </c>
      <c r="I228" s="137">
        <f t="shared" si="28"/>
        <v>2.7490004267191623</v>
      </c>
      <c r="J228" s="137"/>
      <c r="K228" s="138">
        <f>IF(A228&gt;$B$15,IF(I228&gt;Helper_calcs!$B$27,23,3),0)</f>
        <v>0</v>
      </c>
      <c r="L228" s="139">
        <f t="shared" si="26"/>
        <v>0</v>
      </c>
      <c r="M228" s="139">
        <f t="shared" si="29"/>
        <v>0</v>
      </c>
      <c r="N228" s="137">
        <f t="shared" si="30"/>
        <v>2.8699999999999823</v>
      </c>
      <c r="O228" s="137">
        <f t="shared" si="31"/>
        <v>5</v>
      </c>
      <c r="P228" s="140">
        <f>IF(OR(M228=0,M228=3),loop_gain!$B$18,IF(Current_limit!M228=1,Current_limit!$B$12/(2*(Current_limit!N228-Helper_calcs!$B$27)),IF(OR(M228=2,M228=23),(Main!$B$19-Current_limit!O228)*Current_limit!O228/(Main!$B$19*loop_gain!$B$17*(Helper_calcs!$B$26-Helper_calcs!$B$27)),x)))</f>
        <v>400000</v>
      </c>
      <c r="Q228" s="137"/>
    </row>
    <row r="229" spans="1:17" x14ac:dyDescent="0.25">
      <c r="A229">
        <f t="shared" si="32"/>
        <v>2.8799999999999821</v>
      </c>
      <c r="B229">
        <f>Main!$B$20/A229</f>
        <v>1.7361111111111218</v>
      </c>
      <c r="D229" s="137">
        <f t="shared" si="25"/>
        <v>1.7361111111111218</v>
      </c>
      <c r="E229" s="137">
        <f>-B229*Main!$B$19-2*Main!$B$19*loop_gain!$B$17*loop_gain!$B$18</f>
        <v>-86.113333333333458</v>
      </c>
      <c r="F229" s="137">
        <f>2*Main!$B$19*loop_gain!$B$17*loop_gain!$B$18*Helper_calcs!$B$26*Current_limit!B229</f>
        <v>436.33333333333593</v>
      </c>
      <c r="G229" s="137">
        <f t="shared" si="27"/>
        <v>5.7285728752859439</v>
      </c>
      <c r="H229" s="137">
        <f>(Main!$B$19-Current_limit!G229)*Current_limit!G229/(Main!$B$19*loop_gain!$B$17*loop_gain!$B$18)</f>
        <v>1.1006840476706332</v>
      </c>
      <c r="I229" s="137">
        <f t="shared" si="28"/>
        <v>2.7493159523293667</v>
      </c>
      <c r="J229" s="137"/>
      <c r="K229" s="138">
        <f>IF(A229&gt;$B$15,IF(I229&gt;Helper_calcs!$B$27,23,3),0)</f>
        <v>0</v>
      </c>
      <c r="L229" s="139">
        <f t="shared" si="26"/>
        <v>0</v>
      </c>
      <c r="M229" s="139">
        <f t="shared" si="29"/>
        <v>0</v>
      </c>
      <c r="N229" s="137">
        <f t="shared" si="30"/>
        <v>2.8799999999999821</v>
      </c>
      <c r="O229" s="137">
        <f t="shared" si="31"/>
        <v>5</v>
      </c>
      <c r="P229" s="140">
        <f>IF(OR(M229=0,M229=3),loop_gain!$B$18,IF(Current_limit!M229=1,Current_limit!$B$12/(2*(Current_limit!N229-Helper_calcs!$B$27)),IF(OR(M229=2,M229=23),(Main!$B$19-Current_limit!O229)*Current_limit!O229/(Main!$B$19*loop_gain!$B$17*(Helper_calcs!$B$26-Helper_calcs!$B$27)),x)))</f>
        <v>400000</v>
      </c>
      <c r="Q229" s="137"/>
    </row>
    <row r="230" spans="1:17" x14ac:dyDescent="0.25">
      <c r="A230">
        <f t="shared" si="32"/>
        <v>2.8899999999999819</v>
      </c>
      <c r="B230">
        <f>Main!$B$20/A230</f>
        <v>1.7301038062283844</v>
      </c>
      <c r="D230" s="137">
        <f t="shared" si="25"/>
        <v>1.7301038062283844</v>
      </c>
      <c r="E230" s="137">
        <f>-B230*Main!$B$19-2*Main!$B$19*loop_gain!$B$17*loop_gain!$B$18</f>
        <v>-86.041245674740594</v>
      </c>
      <c r="F230" s="137">
        <f>2*Main!$B$19*loop_gain!$B$17*loop_gain!$B$18*Helper_calcs!$B$26*Current_limit!B230</f>
        <v>434.82352941176731</v>
      </c>
      <c r="G230" s="137">
        <f t="shared" si="27"/>
        <v>5.7090419284978831</v>
      </c>
      <c r="H230" s="137">
        <f>(Main!$B$19-Current_limit!G230)*Current_limit!G230/(Main!$B$19*loop_gain!$B$17*loop_gain!$B$18)</f>
        <v>1.1003475306564883</v>
      </c>
      <c r="I230" s="137">
        <f t="shared" si="28"/>
        <v>2.7496524693435118</v>
      </c>
      <c r="J230" s="137"/>
      <c r="K230" s="138">
        <f>IF(A230&gt;$B$15,IF(I230&gt;Helper_calcs!$B$27,23,3),0)</f>
        <v>0</v>
      </c>
      <c r="L230" s="139">
        <f t="shared" si="26"/>
        <v>0</v>
      </c>
      <c r="M230" s="139">
        <f t="shared" si="29"/>
        <v>0</v>
      </c>
      <c r="N230" s="137">
        <f t="shared" si="30"/>
        <v>2.8899999999999819</v>
      </c>
      <c r="O230" s="137">
        <f t="shared" si="31"/>
        <v>5</v>
      </c>
      <c r="P230" s="140">
        <f>IF(OR(M230=0,M230=3),loop_gain!$B$18,IF(Current_limit!M230=1,Current_limit!$B$12/(2*(Current_limit!N230-Helper_calcs!$B$27)),IF(OR(M230=2,M230=23),(Main!$B$19-Current_limit!O230)*Current_limit!O230/(Main!$B$19*loop_gain!$B$17*(Helper_calcs!$B$26-Helper_calcs!$B$27)),x)))</f>
        <v>400000</v>
      </c>
      <c r="Q230" s="137"/>
    </row>
    <row r="231" spans="1:17" x14ac:dyDescent="0.25">
      <c r="A231">
        <f t="shared" si="32"/>
        <v>2.8999999999999817</v>
      </c>
      <c r="B231">
        <f>Main!$B$20/A231</f>
        <v>1.7241379310344935</v>
      </c>
      <c r="D231" s="137">
        <f t="shared" si="25"/>
        <v>1.7241379310344935</v>
      </c>
      <c r="E231" s="137">
        <f>-B231*Main!$B$19-2*Main!$B$19*loop_gain!$B$17*loop_gain!$B$18</f>
        <v>-85.969655172413908</v>
      </c>
      <c r="F231" s="137">
        <f>2*Main!$B$19*loop_gain!$B$17*loop_gain!$B$18*Helper_calcs!$B$26*Current_limit!B231</f>
        <v>433.32413793103711</v>
      </c>
      <c r="G231" s="137">
        <f t="shared" si="27"/>
        <v>5.6896633295571073</v>
      </c>
      <c r="H231" s="137">
        <f>(Main!$B$19-Current_limit!G231)*Current_limit!G231/(Main!$B$19*loop_gain!$B$17*loop_gain!$B$18)</f>
        <v>1.0999905377137997</v>
      </c>
      <c r="I231" s="137">
        <f t="shared" si="28"/>
        <v>2.7500094622862017</v>
      </c>
      <c r="J231" s="137"/>
      <c r="K231" s="138">
        <f>IF(A231&gt;$B$15,IF(I231&gt;Helper_calcs!$B$27,23,3),0)</f>
        <v>0</v>
      </c>
      <c r="L231" s="139">
        <f t="shared" si="26"/>
        <v>0</v>
      </c>
      <c r="M231" s="139">
        <f t="shared" si="29"/>
        <v>0</v>
      </c>
      <c r="N231" s="137">
        <f t="shared" si="30"/>
        <v>2.8999999999999817</v>
      </c>
      <c r="O231" s="137">
        <f t="shared" si="31"/>
        <v>5</v>
      </c>
      <c r="P231" s="140">
        <f>IF(OR(M231=0,M231=3),loop_gain!$B$18,IF(Current_limit!M231=1,Current_limit!$B$12/(2*(Current_limit!N231-Helper_calcs!$B$27)),IF(OR(M231=2,M231=23),(Main!$B$19-Current_limit!O231)*Current_limit!O231/(Main!$B$19*loop_gain!$B$17*(Helper_calcs!$B$26-Helper_calcs!$B$27)),x)))</f>
        <v>400000</v>
      </c>
      <c r="Q231" s="137"/>
    </row>
    <row r="232" spans="1:17" x14ac:dyDescent="0.25">
      <c r="A232">
        <f t="shared" si="32"/>
        <v>2.9099999999999815</v>
      </c>
      <c r="B232">
        <f>Main!$B$20/A232</f>
        <v>1.718213058419255</v>
      </c>
      <c r="D232" s="137">
        <f t="shared" si="25"/>
        <v>1.718213058419255</v>
      </c>
      <c r="E232" s="137">
        <f>-B232*Main!$B$19-2*Main!$B$19*loop_gain!$B$17*loop_gain!$B$18</f>
        <v>-85.898556701031055</v>
      </c>
      <c r="F232" s="137">
        <f>2*Main!$B$19*loop_gain!$B$17*loop_gain!$B$18*Helper_calcs!$B$26*Current_limit!B232</f>
        <v>431.83505154639442</v>
      </c>
      <c r="G232" s="137">
        <f t="shared" si="27"/>
        <v>5.6704350763639511</v>
      </c>
      <c r="H232" s="137">
        <f>(Main!$B$19-Current_limit!G232)*Current_limit!G232/(Main!$B$19*loop_gain!$B$17*loop_gain!$B$18)</f>
        <v>1.0996135711124011</v>
      </c>
      <c r="I232" s="137">
        <f t="shared" si="28"/>
        <v>2.7503864288875981</v>
      </c>
      <c r="J232" s="137"/>
      <c r="K232" s="138">
        <f>IF(A232&gt;$B$15,IF(I232&gt;Helper_calcs!$B$27,23,3),0)</f>
        <v>0</v>
      </c>
      <c r="L232" s="139">
        <f t="shared" si="26"/>
        <v>0</v>
      </c>
      <c r="M232" s="139">
        <f t="shared" si="29"/>
        <v>0</v>
      </c>
      <c r="N232" s="137">
        <f t="shared" si="30"/>
        <v>2.9099999999999815</v>
      </c>
      <c r="O232" s="137">
        <f t="shared" si="31"/>
        <v>5</v>
      </c>
      <c r="P232" s="140">
        <f>IF(OR(M232=0,M232=3),loop_gain!$B$18,IF(Current_limit!M232=1,Current_limit!$B$12/(2*(Current_limit!N232-Helper_calcs!$B$27)),IF(OR(M232=2,M232=23),(Main!$B$19-Current_limit!O232)*Current_limit!O232/(Main!$B$19*loop_gain!$B$17*(Helper_calcs!$B$26-Helper_calcs!$B$27)),x)))</f>
        <v>400000</v>
      </c>
      <c r="Q232" s="137"/>
    </row>
    <row r="233" spans="1:17" x14ac:dyDescent="0.25">
      <c r="A233">
        <f t="shared" si="32"/>
        <v>2.9199999999999813</v>
      </c>
      <c r="B233">
        <f>Main!$B$20/A233</f>
        <v>1.7123287671232987</v>
      </c>
      <c r="D233" s="137">
        <f t="shared" si="25"/>
        <v>1.7123287671232987</v>
      </c>
      <c r="E233" s="137">
        <f>-B233*Main!$B$19-2*Main!$B$19*loop_gain!$B$17*loop_gain!$B$18</f>
        <v>-85.82794520547958</v>
      </c>
      <c r="F233" s="137">
        <f>2*Main!$B$19*loop_gain!$B$17*loop_gain!$B$18*Helper_calcs!$B$26*Current_limit!B233</f>
        <v>430.35616438356431</v>
      </c>
      <c r="G233" s="137">
        <f t="shared" si="27"/>
        <v>5.6513552052102041</v>
      </c>
      <c r="H233" s="137">
        <f>(Main!$B$19-Current_limit!G233)*Current_limit!G233/(Main!$B$19*loop_gain!$B$17*loop_gain!$B$18)</f>
        <v>1.0992171203145218</v>
      </c>
      <c r="I233" s="137">
        <f t="shared" si="28"/>
        <v>2.7507828796854765</v>
      </c>
      <c r="J233" s="137"/>
      <c r="K233" s="138">
        <f>IF(A233&gt;$B$15,IF(I233&gt;Helper_calcs!$B$27,23,3),0)</f>
        <v>0</v>
      </c>
      <c r="L233" s="139">
        <f t="shared" si="26"/>
        <v>0</v>
      </c>
      <c r="M233" s="139">
        <f t="shared" si="29"/>
        <v>0</v>
      </c>
      <c r="N233" s="137">
        <f t="shared" si="30"/>
        <v>2.9199999999999813</v>
      </c>
      <c r="O233" s="137">
        <f t="shared" si="31"/>
        <v>5</v>
      </c>
      <c r="P233" s="140">
        <f>IF(OR(M233=0,M233=3),loop_gain!$B$18,IF(Current_limit!M233=1,Current_limit!$B$12/(2*(Current_limit!N233-Helper_calcs!$B$27)),IF(OR(M233=2,M233=23),(Main!$B$19-Current_limit!O233)*Current_limit!O233/(Main!$B$19*loop_gain!$B$17*(Helper_calcs!$B$26-Helper_calcs!$B$27)),x)))</f>
        <v>400000</v>
      </c>
      <c r="Q233" s="137"/>
    </row>
    <row r="234" spans="1:17" x14ac:dyDescent="0.25">
      <c r="A234">
        <f t="shared" si="32"/>
        <v>2.9299999999999811</v>
      </c>
      <c r="B234">
        <f>Main!$B$20/A234</f>
        <v>1.7064846416382362</v>
      </c>
      <c r="D234" s="137">
        <f t="shared" si="25"/>
        <v>1.7064846416382362</v>
      </c>
      <c r="E234" s="137">
        <f>-B234*Main!$B$19-2*Main!$B$19*loop_gain!$B$17*loop_gain!$B$18</f>
        <v>-85.757815699658821</v>
      </c>
      <c r="F234" s="137">
        <f>2*Main!$B$19*loop_gain!$B$17*loop_gain!$B$18*Helper_calcs!$B$26*Current_limit!B234</f>
        <v>428.88737201365456</v>
      </c>
      <c r="G234" s="137">
        <f t="shared" si="27"/>
        <v>5.6324217897964814</v>
      </c>
      <c r="H234" s="137">
        <f>(Main!$B$19-Current_limit!G234)*Current_limit!G234/(Main!$B$19*loop_gain!$B$17*loop_gain!$B$18)</f>
        <v>1.0988016623585657</v>
      </c>
      <c r="I234" s="137">
        <f t="shared" si="28"/>
        <v>2.7511983376414344</v>
      </c>
      <c r="J234" s="137"/>
      <c r="K234" s="138">
        <f>IF(A234&gt;$B$15,IF(I234&gt;Helper_calcs!$B$27,23,3),0)</f>
        <v>0</v>
      </c>
      <c r="L234" s="139">
        <f t="shared" si="26"/>
        <v>0</v>
      </c>
      <c r="M234" s="139">
        <f t="shared" si="29"/>
        <v>0</v>
      </c>
      <c r="N234" s="137">
        <f t="shared" si="30"/>
        <v>2.9299999999999811</v>
      </c>
      <c r="O234" s="137">
        <f t="shared" si="31"/>
        <v>5</v>
      </c>
      <c r="P234" s="140">
        <f>IF(OR(M234=0,M234=3),loop_gain!$B$18,IF(Current_limit!M234=1,Current_limit!$B$12/(2*(Current_limit!N234-Helper_calcs!$B$27)),IF(OR(M234=2,M234=23),(Main!$B$19-Current_limit!O234)*Current_limit!O234/(Main!$B$19*loop_gain!$B$17*(Helper_calcs!$B$26-Helper_calcs!$B$27)),x)))</f>
        <v>400000</v>
      </c>
      <c r="Q234" s="137"/>
    </row>
    <row r="235" spans="1:17" x14ac:dyDescent="0.25">
      <c r="A235">
        <f t="shared" si="32"/>
        <v>2.9399999999999809</v>
      </c>
      <c r="B235">
        <f>Main!$B$20/A235</f>
        <v>1.7006802721088545</v>
      </c>
      <c r="D235" s="137">
        <f t="shared" si="25"/>
        <v>1.7006802721088545</v>
      </c>
      <c r="E235" s="137">
        <f>-B235*Main!$B$19-2*Main!$B$19*loop_gain!$B$17*loop_gain!$B$18</f>
        <v>-85.688163265306244</v>
      </c>
      <c r="F235" s="137">
        <f>2*Main!$B$19*loop_gain!$B$17*loop_gain!$B$18*Helper_calcs!$B$26*Current_limit!B235</f>
        <v>427.42857142857412</v>
      </c>
      <c r="G235" s="137">
        <f t="shared" si="27"/>
        <v>5.6136329402812457</v>
      </c>
      <c r="H235" s="137">
        <f>(Main!$B$19-Current_limit!G235)*Current_limit!G235/(Main!$B$19*loop_gain!$B$17*loop_gain!$B$18)</f>
        <v>1.0983676622292982</v>
      </c>
      <c r="I235" s="137">
        <f t="shared" si="28"/>
        <v>2.7516323377707019</v>
      </c>
      <c r="J235" s="137"/>
      <c r="K235" s="138">
        <f>IF(A235&gt;$B$15,IF(I235&gt;Helper_calcs!$B$27,23,3),0)</f>
        <v>0</v>
      </c>
      <c r="L235" s="139">
        <f t="shared" si="26"/>
        <v>0</v>
      </c>
      <c r="M235" s="139">
        <f t="shared" si="29"/>
        <v>0</v>
      </c>
      <c r="N235" s="137">
        <f t="shared" si="30"/>
        <v>2.9399999999999809</v>
      </c>
      <c r="O235" s="137">
        <f t="shared" si="31"/>
        <v>5</v>
      </c>
      <c r="P235" s="140">
        <f>IF(OR(M235=0,M235=3),loop_gain!$B$18,IF(Current_limit!M235=1,Current_limit!$B$12/(2*(Current_limit!N235-Helper_calcs!$B$27)),IF(OR(M235=2,M235=23),(Main!$B$19-Current_limit!O235)*Current_limit!O235/(Main!$B$19*loop_gain!$B$17*(Helper_calcs!$B$26-Helper_calcs!$B$27)),x)))</f>
        <v>400000</v>
      </c>
      <c r="Q235" s="137"/>
    </row>
    <row r="236" spans="1:17" x14ac:dyDescent="0.25">
      <c r="A236">
        <f t="shared" si="32"/>
        <v>2.9499999999999806</v>
      </c>
      <c r="B236">
        <f>Main!$B$20/A236</f>
        <v>1.6949152542372992</v>
      </c>
      <c r="D236" s="137">
        <f t="shared" si="25"/>
        <v>1.6949152542372992</v>
      </c>
      <c r="E236" s="137">
        <f>-B236*Main!$B$19-2*Main!$B$19*loop_gain!$B$17*loop_gain!$B$18</f>
        <v>-85.618983050847575</v>
      </c>
      <c r="F236" s="137">
        <f>2*Main!$B$19*loop_gain!$B$17*loop_gain!$B$18*Helper_calcs!$B$26*Current_limit!B236</f>
        <v>425.97966101695181</v>
      </c>
      <c r="G236" s="137">
        <f t="shared" si="27"/>
        <v>5.5949868023602081</v>
      </c>
      <c r="H236" s="137">
        <f>(Main!$B$19-Current_limit!G236)*Current_limit!G236/(Main!$B$19*loop_gain!$B$17*loop_gain!$B$18)</f>
        <v>1.0979155732149999</v>
      </c>
      <c r="I236" s="137">
        <f t="shared" si="28"/>
        <v>2.7520844267850011</v>
      </c>
      <c r="J236" s="137"/>
      <c r="K236" s="138">
        <f>IF(A236&gt;$B$15,IF(I236&gt;Helper_calcs!$B$27,23,3),0)</f>
        <v>0</v>
      </c>
      <c r="L236" s="139">
        <f t="shared" si="26"/>
        <v>0</v>
      </c>
      <c r="M236" s="139">
        <f t="shared" si="29"/>
        <v>0</v>
      </c>
      <c r="N236" s="137">
        <f t="shared" si="30"/>
        <v>2.9499999999999806</v>
      </c>
      <c r="O236" s="137">
        <f t="shared" si="31"/>
        <v>5</v>
      </c>
      <c r="P236" s="140">
        <f>IF(OR(M236=0,M236=3),loop_gain!$B$18,IF(Current_limit!M236=1,Current_limit!$B$12/(2*(Current_limit!N236-Helper_calcs!$B$27)),IF(OR(M236=2,M236=23),(Main!$B$19-Current_limit!O236)*Current_limit!O236/(Main!$B$19*loop_gain!$B$17*(Helper_calcs!$B$26-Helper_calcs!$B$27)),x)))</f>
        <v>400000</v>
      </c>
      <c r="Q236" s="137"/>
    </row>
    <row r="237" spans="1:17" x14ac:dyDescent="0.25">
      <c r="A237">
        <f t="shared" si="32"/>
        <v>2.9599999999999804</v>
      </c>
      <c r="B237">
        <f>Main!$B$20/A237</f>
        <v>1.6891891891892004</v>
      </c>
      <c r="D237" s="137">
        <f t="shared" si="25"/>
        <v>1.6891891891892004</v>
      </c>
      <c r="E237" s="137">
        <f>-B237*Main!$B$19-2*Main!$B$19*loop_gain!$B$17*loop_gain!$B$18</f>
        <v>-85.550270270270389</v>
      </c>
      <c r="F237" s="137">
        <f>2*Main!$B$19*loop_gain!$B$17*loop_gain!$B$18*Helper_calcs!$B$26*Current_limit!B237</f>
        <v>424.54054054054325</v>
      </c>
      <c r="G237" s="137">
        <f t="shared" si="27"/>
        <v>5.5764815563749304</v>
      </c>
      <c r="H237" s="137">
        <f>(Main!$B$19-Current_limit!G237)*Current_limit!G237/(Main!$B$19*loop_gain!$B$17*loop_gain!$B$18)</f>
        <v>1.0974458372521263</v>
      </c>
      <c r="I237" s="137">
        <f t="shared" si="28"/>
        <v>2.7525541627478738</v>
      </c>
      <c r="J237" s="137"/>
      <c r="K237" s="138">
        <f>IF(A237&gt;$B$15,IF(I237&gt;Helper_calcs!$B$27,23,3),0)</f>
        <v>0</v>
      </c>
      <c r="L237" s="139">
        <f t="shared" si="26"/>
        <v>0</v>
      </c>
      <c r="M237" s="139">
        <f t="shared" si="29"/>
        <v>0</v>
      </c>
      <c r="N237" s="137">
        <f t="shared" si="30"/>
        <v>2.9599999999999804</v>
      </c>
      <c r="O237" s="137">
        <f t="shared" si="31"/>
        <v>5</v>
      </c>
      <c r="P237" s="140">
        <f>IF(OR(M237=0,M237=3),loop_gain!$B$18,IF(Current_limit!M237=1,Current_limit!$B$12/(2*(Current_limit!N237-Helper_calcs!$B$27)),IF(OR(M237=2,M237=23),(Main!$B$19-Current_limit!O237)*Current_limit!O237/(Main!$B$19*loop_gain!$B$17*(Helper_calcs!$B$26-Helper_calcs!$B$27)),x)))</f>
        <v>400000</v>
      </c>
      <c r="Q237" s="137"/>
    </row>
    <row r="238" spans="1:17" x14ac:dyDescent="0.25">
      <c r="A238">
        <f t="shared" si="32"/>
        <v>2.9699999999999802</v>
      </c>
      <c r="B238">
        <f>Main!$B$20/A238</f>
        <v>1.6835016835016947</v>
      </c>
      <c r="D238" s="137">
        <f t="shared" si="25"/>
        <v>1.6835016835016947</v>
      </c>
      <c r="E238" s="137">
        <f>-B238*Main!$B$19-2*Main!$B$19*loop_gain!$B$17*loop_gain!$B$18</f>
        <v>-85.482020202020323</v>
      </c>
      <c r="F238" s="137">
        <f>2*Main!$B$19*loop_gain!$B$17*loop_gain!$B$18*Helper_calcs!$B$26*Current_limit!B238</f>
        <v>423.11111111111381</v>
      </c>
      <c r="G238" s="137">
        <f t="shared" si="27"/>
        <v>5.5581154164495512</v>
      </c>
      <c r="H238" s="137">
        <f>(Main!$B$19-Current_limit!G238)*Current_limit!G238/(Main!$B$19*loop_gain!$B$17*loop_gain!$B$18)</f>
        <v>1.0969588852579795</v>
      </c>
      <c r="I238" s="137">
        <f t="shared" si="28"/>
        <v>2.7530411147420217</v>
      </c>
      <c r="J238" s="137"/>
      <c r="K238" s="138">
        <f>IF(A238&gt;$B$15,IF(I238&gt;Helper_calcs!$B$27,23,3),0)</f>
        <v>0</v>
      </c>
      <c r="L238" s="139">
        <f t="shared" si="26"/>
        <v>0</v>
      </c>
      <c r="M238" s="139">
        <f t="shared" si="29"/>
        <v>0</v>
      </c>
      <c r="N238" s="137">
        <f t="shared" si="30"/>
        <v>2.9699999999999802</v>
      </c>
      <c r="O238" s="137">
        <f t="shared" si="31"/>
        <v>5</v>
      </c>
      <c r="P238" s="140">
        <f>IF(OR(M238=0,M238=3),loop_gain!$B$18,IF(Current_limit!M238=1,Current_limit!$B$12/(2*(Current_limit!N238-Helper_calcs!$B$27)),IF(OR(M238=2,M238=23),(Main!$B$19-Current_limit!O238)*Current_limit!O238/(Main!$B$19*loop_gain!$B$17*(Helper_calcs!$B$26-Helper_calcs!$B$27)),x)))</f>
        <v>400000</v>
      </c>
      <c r="Q238" s="137"/>
    </row>
    <row r="239" spans="1:17" x14ac:dyDescent="0.25">
      <c r="A239">
        <f t="shared" si="32"/>
        <v>2.97999999999998</v>
      </c>
      <c r="B239">
        <f>Main!$B$20/A239</f>
        <v>1.6778523489932999</v>
      </c>
      <c r="D239" s="137">
        <f t="shared" si="25"/>
        <v>1.6778523489932999</v>
      </c>
      <c r="E239" s="137">
        <f>-B239*Main!$B$19-2*Main!$B$19*loop_gain!$B$17*loop_gain!$B$18</f>
        <v>-85.414228187919591</v>
      </c>
      <c r="F239" s="137">
        <f>2*Main!$B$19*loop_gain!$B$17*loop_gain!$B$18*Helper_calcs!$B$26*Current_limit!B239</f>
        <v>421.69127516778798</v>
      </c>
      <c r="G239" s="137">
        <f t="shared" si="27"/>
        <v>5.5398866296545011</v>
      </c>
      <c r="H239" s="137">
        <f>(Main!$B$19-Current_limit!G239)*Current_limit!G239/(Main!$B$19*loop_gain!$B$17*loop_gain!$B$18)</f>
        <v>1.0964551374518785</v>
      </c>
      <c r="I239" s="137">
        <f t="shared" si="28"/>
        <v>2.7535448625481207</v>
      </c>
      <c r="J239" s="137"/>
      <c r="K239" s="138">
        <f>IF(A239&gt;$B$15,IF(I239&gt;Helper_calcs!$B$27,23,3),0)</f>
        <v>0</v>
      </c>
      <c r="L239" s="139">
        <f t="shared" si="26"/>
        <v>0</v>
      </c>
      <c r="M239" s="139">
        <f t="shared" si="29"/>
        <v>0</v>
      </c>
      <c r="N239" s="137">
        <f t="shared" si="30"/>
        <v>2.97999999999998</v>
      </c>
      <c r="O239" s="137">
        <f t="shared" si="31"/>
        <v>5</v>
      </c>
      <c r="P239" s="140">
        <f>IF(OR(M239=0,M239=3),loop_gain!$B$18,IF(Current_limit!M239=1,Current_limit!$B$12/(2*(Current_limit!N239-Helper_calcs!$B$27)),IF(OR(M239=2,M239=23),(Main!$B$19-Current_limit!O239)*Current_limit!O239/(Main!$B$19*loop_gain!$B$17*(Helper_calcs!$B$26-Helper_calcs!$B$27)),x)))</f>
        <v>400000</v>
      </c>
      <c r="Q239" s="137"/>
    </row>
    <row r="240" spans="1:17" x14ac:dyDescent="0.25">
      <c r="A240">
        <f t="shared" si="32"/>
        <v>2.9899999999999798</v>
      </c>
      <c r="B240">
        <f>Main!$B$20/A240</f>
        <v>1.6722408026755966</v>
      </c>
      <c r="D240" s="137">
        <f t="shared" si="25"/>
        <v>1.6722408026755966</v>
      </c>
      <c r="E240" s="137">
        <f>-B240*Main!$B$19-2*Main!$B$19*loop_gain!$B$17*loop_gain!$B$18</f>
        <v>-85.34688963210715</v>
      </c>
      <c r="F240" s="137">
        <f>2*Main!$B$19*loop_gain!$B$17*loop_gain!$B$18*Helper_calcs!$B$26*Current_limit!B240</f>
        <v>420.28093645485228</v>
      </c>
      <c r="G240" s="137">
        <f t="shared" si="27"/>
        <v>5.5217934751962812</v>
      </c>
      <c r="H240" s="137">
        <f>(Main!$B$19-Current_limit!G240)*Current_limit!G240/(Main!$B$19*loop_gain!$B$17*loop_gain!$B$18)</f>
        <v>1.0959350036652928</v>
      </c>
      <c r="I240" s="137">
        <f t="shared" si="28"/>
        <v>2.7540649963347072</v>
      </c>
      <c r="J240" s="137"/>
      <c r="K240" s="138">
        <f>IF(A240&gt;$B$15,IF(I240&gt;Helper_calcs!$B$27,23,3),0)</f>
        <v>0</v>
      </c>
      <c r="L240" s="139">
        <f t="shared" si="26"/>
        <v>0</v>
      </c>
      <c r="M240" s="139">
        <f t="shared" si="29"/>
        <v>0</v>
      </c>
      <c r="N240" s="137">
        <f t="shared" si="30"/>
        <v>2.9899999999999798</v>
      </c>
      <c r="O240" s="137">
        <f t="shared" si="31"/>
        <v>5</v>
      </c>
      <c r="P240" s="140">
        <f>IF(OR(M240=0,M240=3),loop_gain!$B$18,IF(Current_limit!M240=1,Current_limit!$B$12/(2*(Current_limit!N240-Helper_calcs!$B$27)),IF(OR(M240=2,M240=23),(Main!$B$19-Current_limit!O240)*Current_limit!O240/(Main!$B$19*loop_gain!$B$17*(Helper_calcs!$B$26-Helper_calcs!$B$27)),x)))</f>
        <v>400000</v>
      </c>
      <c r="Q240" s="137"/>
    </row>
    <row r="241" spans="1:17" x14ac:dyDescent="0.25">
      <c r="A241">
        <f t="shared" si="32"/>
        <v>2.9999999999999796</v>
      </c>
      <c r="B241">
        <f>Main!$B$20/A241</f>
        <v>1.6666666666666781</v>
      </c>
      <c r="D241" s="137">
        <f t="shared" si="25"/>
        <v>1.6666666666666781</v>
      </c>
      <c r="E241" s="137">
        <f>-B241*Main!$B$19-2*Main!$B$19*loop_gain!$B$17*loop_gain!$B$18</f>
        <v>-85.280000000000115</v>
      </c>
      <c r="F241" s="137">
        <f>2*Main!$B$19*loop_gain!$B$17*loop_gain!$B$18*Helper_calcs!$B$26*Current_limit!B241</f>
        <v>418.88000000000278</v>
      </c>
      <c r="G241" s="137">
        <f t="shared" si="27"/>
        <v>5.5038342636322231</v>
      </c>
      <c r="H241" s="137">
        <f>(Main!$B$19-Current_limit!G241)*Current_limit!G241/(Main!$B$19*loop_gain!$B$17*loop_gain!$B$18)</f>
        <v>1.0953988836413797</v>
      </c>
      <c r="I241" s="137">
        <f t="shared" si="28"/>
        <v>2.7546011163586215</v>
      </c>
      <c r="J241" s="137"/>
      <c r="K241" s="138">
        <f>IF(A241&gt;$B$15,IF(I241&gt;Helper_calcs!$B$27,23,3),0)</f>
        <v>0</v>
      </c>
      <c r="L241" s="139">
        <f t="shared" si="26"/>
        <v>0</v>
      </c>
      <c r="M241" s="139">
        <f t="shared" si="29"/>
        <v>0</v>
      </c>
      <c r="N241" s="137">
        <f t="shared" si="30"/>
        <v>2.9999999999999796</v>
      </c>
      <c r="O241" s="137">
        <f t="shared" si="31"/>
        <v>5</v>
      </c>
      <c r="P241" s="140">
        <f>IF(OR(M241=0,M241=3),loop_gain!$B$18,IF(Current_limit!M241=1,Current_limit!$B$12/(2*(Current_limit!N241-Helper_calcs!$B$27)),IF(OR(M241=2,M241=23),(Main!$B$19-Current_limit!O241)*Current_limit!O241/(Main!$B$19*loop_gain!$B$17*(Helper_calcs!$B$26-Helper_calcs!$B$27)),x)))</f>
        <v>400000</v>
      </c>
      <c r="Q241" s="137"/>
    </row>
    <row r="242" spans="1:17" x14ac:dyDescent="0.25">
      <c r="A242">
        <f t="shared" si="32"/>
        <v>3.0099999999999794</v>
      </c>
      <c r="B242">
        <f>Main!$B$20/A242</f>
        <v>1.6611295681063236</v>
      </c>
      <c r="D242" s="137">
        <f t="shared" si="25"/>
        <v>1.6611295681063236</v>
      </c>
      <c r="E242" s="137">
        <f>-B242*Main!$B$19-2*Main!$B$19*loop_gain!$B$17*loop_gain!$B$18</f>
        <v>-85.213554817275877</v>
      </c>
      <c r="F242" s="137">
        <f>2*Main!$B$19*loop_gain!$B$17*loop_gain!$B$18*Helper_calcs!$B$26*Current_limit!B242</f>
        <v>417.48837209302599</v>
      </c>
      <c r="G242" s="137">
        <f t="shared" si="27"/>
        <v>5.4860073361093864</v>
      </c>
      <c r="H242" s="137">
        <f>(Main!$B$19-Current_limit!G242)*Current_limit!G242/(Main!$B$19*loop_gain!$B$17*loop_gain!$B$18)</f>
        <v>1.0948471673243456</v>
      </c>
      <c r="I242" s="137">
        <f t="shared" si="28"/>
        <v>2.7551528326756554</v>
      </c>
      <c r="J242" s="137"/>
      <c r="K242" s="138">
        <f>IF(A242&gt;$B$15,IF(I242&gt;Helper_calcs!$B$27,23,3),0)</f>
        <v>0</v>
      </c>
      <c r="L242" s="139">
        <f t="shared" si="26"/>
        <v>0</v>
      </c>
      <c r="M242" s="139">
        <f t="shared" si="29"/>
        <v>0</v>
      </c>
      <c r="N242" s="137">
        <f t="shared" si="30"/>
        <v>3.0099999999999794</v>
      </c>
      <c r="O242" s="137">
        <f t="shared" si="31"/>
        <v>5</v>
      </c>
      <c r="P242" s="140">
        <f>IF(OR(M242=0,M242=3),loop_gain!$B$18,IF(Current_limit!M242=1,Current_limit!$B$12/(2*(Current_limit!N242-Helper_calcs!$B$27)),IF(OR(M242=2,M242=23),(Main!$B$19-Current_limit!O242)*Current_limit!O242/(Main!$B$19*loop_gain!$B$17*(Helper_calcs!$B$26-Helper_calcs!$B$27)),x)))</f>
        <v>400000</v>
      </c>
      <c r="Q242" s="137"/>
    </row>
    <row r="243" spans="1:17" x14ac:dyDescent="0.25">
      <c r="A243">
        <f t="shared" si="32"/>
        <v>3.0199999999999791</v>
      </c>
      <c r="B243">
        <f>Main!$B$20/A243</f>
        <v>1.655629139072859</v>
      </c>
      <c r="D243" s="137">
        <f t="shared" si="25"/>
        <v>1.655629139072859</v>
      </c>
      <c r="E243" s="137">
        <f>-B243*Main!$B$19-2*Main!$B$19*loop_gain!$B$17*loop_gain!$B$18</f>
        <v>-85.147549668874291</v>
      </c>
      <c r="F243" s="137">
        <f>2*Main!$B$19*loop_gain!$B$17*loop_gain!$B$18*Helper_calcs!$B$26*Current_limit!B243</f>
        <v>416.10596026490344</v>
      </c>
      <c r="G243" s="137">
        <f t="shared" si="27"/>
        <v>5.4683110636266612</v>
      </c>
      <c r="H243" s="137">
        <f>(Main!$B$19-Current_limit!G243)*Current_limit!G243/(Main!$B$19*loop_gain!$B$17*loop_gain!$B$18)</f>
        <v>1.0942802351390379</v>
      </c>
      <c r="I243" s="137">
        <f t="shared" si="28"/>
        <v>2.7557197648609622</v>
      </c>
      <c r="J243" s="137"/>
      <c r="K243" s="138">
        <f>IF(A243&gt;$B$15,IF(I243&gt;Helper_calcs!$B$27,23,3),0)</f>
        <v>0</v>
      </c>
      <c r="L243" s="139">
        <f t="shared" si="26"/>
        <v>0</v>
      </c>
      <c r="M243" s="139">
        <f t="shared" si="29"/>
        <v>0</v>
      </c>
      <c r="N243" s="137">
        <f t="shared" si="30"/>
        <v>3.0199999999999791</v>
      </c>
      <c r="O243" s="137">
        <f t="shared" si="31"/>
        <v>5</v>
      </c>
      <c r="P243" s="140">
        <f>IF(OR(M243=0,M243=3),loop_gain!$B$18,IF(Current_limit!M243=1,Current_limit!$B$12/(2*(Current_limit!N243-Helper_calcs!$B$27)),IF(OR(M243=2,M243=23),(Main!$B$19-Current_limit!O243)*Current_limit!O243/(Main!$B$19*loop_gain!$B$17*(Helper_calcs!$B$26-Helper_calcs!$B$27)),x)))</f>
        <v>400000</v>
      </c>
      <c r="Q243" s="137"/>
    </row>
    <row r="244" spans="1:17" x14ac:dyDescent="0.25">
      <c r="A244">
        <f t="shared" si="32"/>
        <v>3.0299999999999789</v>
      </c>
      <c r="B244">
        <f>Main!$B$20/A244</f>
        <v>1.6501650165016617</v>
      </c>
      <c r="D244" s="137">
        <f t="shared" si="25"/>
        <v>1.6501650165016617</v>
      </c>
      <c r="E244" s="137">
        <f>-B244*Main!$B$19-2*Main!$B$19*loop_gain!$B$17*loop_gain!$B$18</f>
        <v>-85.08198019801992</v>
      </c>
      <c r="F244" s="137">
        <f>2*Main!$B$19*loop_gain!$B$17*loop_gain!$B$18*Helper_calcs!$B$26*Current_limit!B244</f>
        <v>414.73267326732952</v>
      </c>
      <c r="G244" s="137">
        <f t="shared" si="27"/>
        <v>5.4507438463192237</v>
      </c>
      <c r="H244" s="137">
        <f>(Main!$B$19-Current_limit!G244)*Current_limit!G244/(Main!$B$19*loop_gain!$B$17*loop_gain!$B$18)</f>
        <v>1.093698458261146</v>
      </c>
      <c r="I244" s="137">
        <f t="shared" si="28"/>
        <v>2.7563015417388534</v>
      </c>
      <c r="J244" s="137"/>
      <c r="K244" s="138">
        <f>IF(A244&gt;$B$15,IF(I244&gt;Helper_calcs!$B$27,23,3),0)</f>
        <v>0</v>
      </c>
      <c r="L244" s="139">
        <f t="shared" si="26"/>
        <v>0</v>
      </c>
      <c r="M244" s="139">
        <f t="shared" si="29"/>
        <v>0</v>
      </c>
      <c r="N244" s="137">
        <f t="shared" si="30"/>
        <v>3.0299999999999789</v>
      </c>
      <c r="O244" s="137">
        <f t="shared" si="31"/>
        <v>5</v>
      </c>
      <c r="P244" s="140">
        <f>IF(OR(M244=0,M244=3),loop_gain!$B$18,IF(Current_limit!M244=1,Current_limit!$B$12/(2*(Current_limit!N244-Helper_calcs!$B$27)),IF(OR(M244=2,M244=23),(Main!$B$19-Current_limit!O244)*Current_limit!O244/(Main!$B$19*loop_gain!$B$17*(Helper_calcs!$B$26-Helper_calcs!$B$27)),x)))</f>
        <v>400000</v>
      </c>
      <c r="Q244" s="137"/>
    </row>
    <row r="245" spans="1:17" x14ac:dyDescent="0.25">
      <c r="A245">
        <f t="shared" si="32"/>
        <v>3.0399999999999787</v>
      </c>
      <c r="B245">
        <f>Main!$B$20/A245</f>
        <v>1.6447368421052746</v>
      </c>
      <c r="D245" s="137">
        <f t="shared" si="25"/>
        <v>1.6447368421052746</v>
      </c>
      <c r="E245" s="137">
        <f>-B245*Main!$B$19-2*Main!$B$19*loop_gain!$B$17*loop_gain!$B$18</f>
        <v>-85.016842105263279</v>
      </c>
      <c r="F245" s="137">
        <f>2*Main!$B$19*loop_gain!$B$17*loop_gain!$B$18*Helper_calcs!$B$26*Current_limit!B245</f>
        <v>413.36842105263435</v>
      </c>
      <c r="G245" s="137">
        <f t="shared" si="27"/>
        <v>5.433304112764529</v>
      </c>
      <c r="H245" s="137">
        <f>(Main!$B$19-Current_limit!G245)*Current_limit!G245/(Main!$B$19*loop_gain!$B$17*loop_gain!$B$18)</f>
        <v>1.0931021988783827</v>
      </c>
      <c r="I245" s="137">
        <f t="shared" si="28"/>
        <v>2.7568978011216192</v>
      </c>
      <c r="J245" s="137"/>
      <c r="K245" s="138">
        <f>IF(A245&gt;$B$15,IF(I245&gt;Helper_calcs!$B$27,23,3),0)</f>
        <v>0</v>
      </c>
      <c r="L245" s="139">
        <f t="shared" si="26"/>
        <v>0</v>
      </c>
      <c r="M245" s="139">
        <f t="shared" si="29"/>
        <v>0</v>
      </c>
      <c r="N245" s="137">
        <f t="shared" si="30"/>
        <v>3.0399999999999787</v>
      </c>
      <c r="O245" s="137">
        <f t="shared" si="31"/>
        <v>5</v>
      </c>
      <c r="P245" s="140">
        <f>IF(OR(M245=0,M245=3),loop_gain!$B$18,IF(Current_limit!M245=1,Current_limit!$B$12/(2*(Current_limit!N245-Helper_calcs!$B$27)),IF(OR(M245=2,M245=23),(Main!$B$19-Current_limit!O245)*Current_limit!O245/(Main!$B$19*loop_gain!$B$17*(Helper_calcs!$B$26-Helper_calcs!$B$27)),x)))</f>
        <v>400000</v>
      </c>
      <c r="Q245" s="137"/>
    </row>
    <row r="246" spans="1:17" x14ac:dyDescent="0.25">
      <c r="A246">
        <f t="shared" si="32"/>
        <v>3.0499999999999785</v>
      </c>
      <c r="B246">
        <f>Main!$B$20/A246</f>
        <v>1.6393442622950936</v>
      </c>
      <c r="D246" s="137">
        <f t="shared" si="25"/>
        <v>1.6393442622950936</v>
      </c>
      <c r="E246" s="137">
        <f>-B246*Main!$B$19-2*Main!$B$19*loop_gain!$B$17*loop_gain!$B$18</f>
        <v>-84.95213114754111</v>
      </c>
      <c r="F246" s="137">
        <f>2*Main!$B$19*loop_gain!$B$17*loop_gain!$B$18*Helper_calcs!$B$26*Current_limit!B246</f>
        <v>412.0131147541012</v>
      </c>
      <c r="G246" s="137">
        <f t="shared" si="27"/>
        <v>5.4159903193090582</v>
      </c>
      <c r="H246" s="137">
        <f>(Main!$B$19-Current_limit!G246)*Current_limit!G246/(Main!$B$19*loop_gain!$B$17*loop_gain!$B$18)</f>
        <v>1.0924918104429924</v>
      </c>
      <c r="I246" s="137">
        <f t="shared" si="28"/>
        <v>2.7575081895570057</v>
      </c>
      <c r="J246" s="137"/>
      <c r="K246" s="138">
        <f>IF(A246&gt;$B$15,IF(I246&gt;Helper_calcs!$B$27,23,3),0)</f>
        <v>0</v>
      </c>
      <c r="L246" s="139">
        <f t="shared" si="26"/>
        <v>0</v>
      </c>
      <c r="M246" s="139">
        <f t="shared" si="29"/>
        <v>0</v>
      </c>
      <c r="N246" s="137">
        <f t="shared" si="30"/>
        <v>3.0499999999999785</v>
      </c>
      <c r="O246" s="137">
        <f t="shared" si="31"/>
        <v>5</v>
      </c>
      <c r="P246" s="140">
        <f>IF(OR(M246=0,M246=3),loop_gain!$B$18,IF(Current_limit!M246=1,Current_limit!$B$12/(2*(Current_limit!N246-Helper_calcs!$B$27)),IF(OR(M246=2,M246=23),(Main!$B$19-Current_limit!O246)*Current_limit!O246/(Main!$B$19*loop_gain!$B$17*(Helper_calcs!$B$26-Helper_calcs!$B$27)),x)))</f>
        <v>400000</v>
      </c>
      <c r="Q246" s="137"/>
    </row>
    <row r="247" spans="1:17" x14ac:dyDescent="0.25">
      <c r="A247">
        <f t="shared" si="32"/>
        <v>3.0599999999999783</v>
      </c>
      <c r="B247">
        <f>Main!$B$20/A247</f>
        <v>1.6339869281045867</v>
      </c>
      <c r="D247" s="137">
        <f t="shared" si="25"/>
        <v>1.6339869281045867</v>
      </c>
      <c r="E247" s="137">
        <f>-B247*Main!$B$19-2*Main!$B$19*loop_gain!$B$17*loop_gain!$B$18</f>
        <v>-84.887843137255032</v>
      </c>
      <c r="F247" s="137">
        <f>2*Main!$B$19*loop_gain!$B$17*loop_gain!$B$18*Helper_calcs!$B$26*Current_limit!B247</f>
        <v>410.66666666666947</v>
      </c>
      <c r="G247" s="137">
        <f t="shared" si="27"/>
        <v>5.398800949415131</v>
      </c>
      <c r="H247" s="137">
        <f>(Main!$B$19-Current_limit!G247)*Current_limit!G247/(Main!$B$19*loop_gain!$B$17*loop_gain!$B$18)</f>
        <v>1.0918676379159271</v>
      </c>
      <c r="I247" s="137">
        <f t="shared" si="28"/>
        <v>2.7581323620840736</v>
      </c>
      <c r="J247" s="137"/>
      <c r="K247" s="138">
        <f>IF(A247&gt;$B$15,IF(I247&gt;Helper_calcs!$B$27,23,3),0)</f>
        <v>0</v>
      </c>
      <c r="L247" s="139">
        <f t="shared" si="26"/>
        <v>0</v>
      </c>
      <c r="M247" s="139">
        <f t="shared" si="29"/>
        <v>0</v>
      </c>
      <c r="N247" s="137">
        <f t="shared" si="30"/>
        <v>3.0599999999999783</v>
      </c>
      <c r="O247" s="137">
        <f t="shared" si="31"/>
        <v>5</v>
      </c>
      <c r="P247" s="140">
        <f>IF(OR(M247=0,M247=3),loop_gain!$B$18,IF(Current_limit!M247=1,Current_limit!$B$12/(2*(Current_limit!N247-Helper_calcs!$B$27)),IF(OR(M247=2,M247=23),(Main!$B$19-Current_limit!O247)*Current_limit!O247/(Main!$B$19*loop_gain!$B$17*(Helper_calcs!$B$26-Helper_calcs!$B$27)),x)))</f>
        <v>400000</v>
      </c>
      <c r="Q247" s="137"/>
    </row>
    <row r="248" spans="1:17" x14ac:dyDescent="0.25">
      <c r="A248">
        <f t="shared" si="32"/>
        <v>3.0699999999999781</v>
      </c>
      <c r="B248">
        <f>Main!$B$20/A248</f>
        <v>1.6286644951140181</v>
      </c>
      <c r="D248" s="137">
        <f t="shared" si="25"/>
        <v>1.6286644951140181</v>
      </c>
      <c r="E248" s="137">
        <f>-B248*Main!$B$19-2*Main!$B$19*loop_gain!$B$17*loop_gain!$B$18</f>
        <v>-84.823973941368209</v>
      </c>
      <c r="F248" s="137">
        <f>2*Main!$B$19*loop_gain!$B$17*loop_gain!$B$18*Helper_calcs!$B$26*Current_limit!B248</f>
        <v>409.32899022801587</v>
      </c>
      <c r="G248" s="137">
        <f t="shared" si="27"/>
        <v>5.3817345130269096</v>
      </c>
      <c r="H248" s="137">
        <f>(Main!$B$19-Current_limit!G248)*Current_limit!G248/(Main!$B$19*loop_gain!$B$17*loop_gain!$B$18)</f>
        <v>1.0912300180030006</v>
      </c>
      <c r="I248" s="137">
        <f t="shared" si="28"/>
        <v>2.7587699819969989</v>
      </c>
      <c r="J248" s="137"/>
      <c r="K248" s="138">
        <f>IF(A248&gt;$B$15,IF(I248&gt;Helper_calcs!$B$27,23,3),0)</f>
        <v>0</v>
      </c>
      <c r="L248" s="139">
        <f t="shared" si="26"/>
        <v>0</v>
      </c>
      <c r="M248" s="139">
        <f t="shared" si="29"/>
        <v>0</v>
      </c>
      <c r="N248" s="137">
        <f t="shared" si="30"/>
        <v>3.0699999999999781</v>
      </c>
      <c r="O248" s="137">
        <f t="shared" si="31"/>
        <v>5</v>
      </c>
      <c r="P248" s="140">
        <f>IF(OR(M248=0,M248=3),loop_gain!$B$18,IF(Current_limit!M248=1,Current_limit!$B$12/(2*(Current_limit!N248-Helper_calcs!$B$27)),IF(OR(M248=2,M248=23),(Main!$B$19-Current_limit!O248)*Current_limit!O248/(Main!$B$19*loop_gain!$B$17*(Helper_calcs!$B$26-Helper_calcs!$B$27)),x)))</f>
        <v>400000</v>
      </c>
      <c r="Q248" s="137"/>
    </row>
    <row r="249" spans="1:17" x14ac:dyDescent="0.25">
      <c r="A249">
        <f t="shared" si="32"/>
        <v>3.0799999999999779</v>
      </c>
      <c r="B249">
        <f>Main!$B$20/A249</f>
        <v>1.6233766233766351</v>
      </c>
      <c r="D249" s="137">
        <f t="shared" si="25"/>
        <v>1.6233766233766351</v>
      </c>
      <c r="E249" s="137">
        <f>-B249*Main!$B$19-2*Main!$B$19*loop_gain!$B$17*loop_gain!$B$18</f>
        <v>-84.760519480519605</v>
      </c>
      <c r="F249" s="137">
        <f>2*Main!$B$19*loop_gain!$B$17*loop_gain!$B$18*Helper_calcs!$B$26*Current_limit!B249</f>
        <v>408.00000000000284</v>
      </c>
      <c r="G249" s="137">
        <f t="shared" si="27"/>
        <v>5.3647895459551247</v>
      </c>
      <c r="H249" s="137">
        <f>(Main!$B$19-Current_limit!G249)*Current_limit!G249/(Main!$B$19*loop_gain!$B$17*loop_gain!$B$18)</f>
        <v>1.0905792793833367</v>
      </c>
      <c r="I249" s="137">
        <f t="shared" si="28"/>
        <v>2.7594207206166645</v>
      </c>
      <c r="J249" s="137"/>
      <c r="K249" s="138">
        <f>IF(A249&gt;$B$15,IF(I249&gt;Helper_calcs!$B$27,23,3),0)</f>
        <v>0</v>
      </c>
      <c r="L249" s="139">
        <f t="shared" si="26"/>
        <v>0</v>
      </c>
      <c r="M249" s="139">
        <f t="shared" si="29"/>
        <v>0</v>
      </c>
      <c r="N249" s="137">
        <f t="shared" si="30"/>
        <v>3.0799999999999779</v>
      </c>
      <c r="O249" s="137">
        <f t="shared" si="31"/>
        <v>5</v>
      </c>
      <c r="P249" s="140">
        <f>IF(OR(M249=0,M249=3),loop_gain!$B$18,IF(Current_limit!M249=1,Current_limit!$B$12/(2*(Current_limit!N249-Helper_calcs!$B$27)),IF(OR(M249=2,M249=23),(Main!$B$19-Current_limit!O249)*Current_limit!O249/(Main!$B$19*loop_gain!$B$17*(Helper_calcs!$B$26-Helper_calcs!$B$27)),x)))</f>
        <v>400000</v>
      </c>
      <c r="Q249" s="137"/>
    </row>
    <row r="250" spans="1:17" x14ac:dyDescent="0.25">
      <c r="A250">
        <f t="shared" si="32"/>
        <v>3.0899999999999777</v>
      </c>
      <c r="B250">
        <f>Main!$B$20/A250</f>
        <v>1.61812297734629</v>
      </c>
      <c r="D250" s="137">
        <f t="shared" si="25"/>
        <v>1.61812297734629</v>
      </c>
      <c r="E250" s="137">
        <f>-B250*Main!$B$19-2*Main!$B$19*loop_gain!$B$17*loop_gain!$B$18</f>
        <v>-84.697475728155467</v>
      </c>
      <c r="F250" s="137">
        <f>2*Main!$B$19*loop_gain!$B$17*loop_gain!$B$18*Helper_calcs!$B$26*Current_limit!B250</f>
        <v>406.67961165048825</v>
      </c>
      <c r="G250" s="137">
        <f t="shared" si="27"/>
        <v>5.3479646092796518</v>
      </c>
      <c r="H250" s="137">
        <f>(Main!$B$19-Current_limit!G250)*Current_limit!G250/(Main!$B$19*loop_gain!$B$17*loop_gain!$B$18)</f>
        <v>1.0899157429303974</v>
      </c>
      <c r="I250" s="137">
        <f t="shared" si="28"/>
        <v>2.760084257069602</v>
      </c>
      <c r="J250" s="137"/>
      <c r="K250" s="138">
        <f>IF(A250&gt;$B$15,IF(I250&gt;Helper_calcs!$B$27,23,3),0)</f>
        <v>0</v>
      </c>
      <c r="L250" s="139">
        <f t="shared" si="26"/>
        <v>0</v>
      </c>
      <c r="M250" s="139">
        <f t="shared" si="29"/>
        <v>0</v>
      </c>
      <c r="N250" s="137">
        <f t="shared" si="30"/>
        <v>3.0899999999999777</v>
      </c>
      <c r="O250" s="137">
        <f t="shared" si="31"/>
        <v>5</v>
      </c>
      <c r="P250" s="140">
        <f>IF(OR(M250=0,M250=3),loop_gain!$B$18,IF(Current_limit!M250=1,Current_limit!$B$12/(2*(Current_limit!N250-Helper_calcs!$B$27)),IF(OR(M250=2,M250=23),(Main!$B$19-Current_limit!O250)*Current_limit!O250/(Main!$B$19*loop_gain!$B$17*(Helper_calcs!$B$26-Helper_calcs!$B$27)),x)))</f>
        <v>400000</v>
      </c>
      <c r="Q250" s="137"/>
    </row>
    <row r="251" spans="1:17" x14ac:dyDescent="0.25">
      <c r="A251">
        <f t="shared" si="32"/>
        <v>3.0999999999999774</v>
      </c>
      <c r="B251">
        <f>Main!$B$20/A251</f>
        <v>1.6129032258064633</v>
      </c>
      <c r="D251" s="137">
        <f t="shared" si="25"/>
        <v>1.6129032258064633</v>
      </c>
      <c r="E251" s="137">
        <f>-B251*Main!$B$19-2*Main!$B$19*loop_gain!$B$17*loop_gain!$B$18</f>
        <v>-84.634838709677553</v>
      </c>
      <c r="F251" s="137">
        <f>2*Main!$B$19*loop_gain!$B$17*loop_gain!$B$18*Helper_calcs!$B$26*Current_limit!B251</f>
        <v>405.36774193548672</v>
      </c>
      <c r="G251" s="137">
        <f t="shared" si="27"/>
        <v>5.3312582887694919</v>
      </c>
      <c r="H251" s="137">
        <f>(Main!$B$19-Current_limit!G251)*Current_limit!G251/(Main!$B$19*loop_gain!$B$17*loop_gain!$B$18)</f>
        <v>1.0892397219258731</v>
      </c>
      <c r="I251" s="137">
        <f t="shared" si="28"/>
        <v>2.7607602780741245</v>
      </c>
      <c r="J251" s="137"/>
      <c r="K251" s="138">
        <f>IF(A251&gt;$B$15,IF(I251&gt;Helper_calcs!$B$27,23,3),0)</f>
        <v>0</v>
      </c>
      <c r="L251" s="139">
        <f t="shared" si="26"/>
        <v>0</v>
      </c>
      <c r="M251" s="139">
        <f t="shared" si="29"/>
        <v>0</v>
      </c>
      <c r="N251" s="137">
        <f t="shared" si="30"/>
        <v>3.0999999999999774</v>
      </c>
      <c r="O251" s="137">
        <f t="shared" si="31"/>
        <v>5</v>
      </c>
      <c r="P251" s="140">
        <f>IF(OR(M251=0,M251=3),loop_gain!$B$18,IF(Current_limit!M251=1,Current_limit!$B$12/(2*(Current_limit!N251-Helper_calcs!$B$27)),IF(OR(M251=2,M251=23),(Main!$B$19-Current_limit!O251)*Current_limit!O251/(Main!$B$19*loop_gain!$B$17*(Helper_calcs!$B$26-Helper_calcs!$B$27)),x)))</f>
        <v>400000</v>
      </c>
      <c r="Q251" s="137"/>
    </row>
    <row r="252" spans="1:17" x14ac:dyDescent="0.25">
      <c r="A252">
        <f t="shared" si="32"/>
        <v>3.1099999999999772</v>
      </c>
      <c r="B252">
        <f>Main!$B$20/A252</f>
        <v>1.6077170418006548</v>
      </c>
      <c r="D252" s="137">
        <f t="shared" si="25"/>
        <v>1.6077170418006548</v>
      </c>
      <c r="E252" s="137">
        <f>-B252*Main!$B$19-2*Main!$B$19*loop_gain!$B$17*loop_gain!$B$18</f>
        <v>-84.572604501607842</v>
      </c>
      <c r="F252" s="137">
        <f>2*Main!$B$19*loop_gain!$B$17*loop_gain!$B$18*Helper_calcs!$B$26*Current_limit!B252</f>
        <v>404.0643086816749</v>
      </c>
      <c r="G252" s="137">
        <f t="shared" si="27"/>
        <v>5.3146691943194089</v>
      </c>
      <c r="H252" s="137">
        <f>(Main!$B$19-Current_limit!G252)*Current_limit!G252/(Main!$B$19*loop_gain!$B$17*loop_gain!$B$18)</f>
        <v>1.0885515222667035</v>
      </c>
      <c r="I252" s="137">
        <f t="shared" si="28"/>
        <v>2.7614484777332966</v>
      </c>
      <c r="J252" s="137"/>
      <c r="K252" s="138">
        <f>IF(A252&gt;$B$15,IF(I252&gt;Helper_calcs!$B$27,23,3),0)</f>
        <v>0</v>
      </c>
      <c r="L252" s="139">
        <f t="shared" si="26"/>
        <v>0</v>
      </c>
      <c r="M252" s="139">
        <f t="shared" si="29"/>
        <v>0</v>
      </c>
      <c r="N252" s="137">
        <f t="shared" si="30"/>
        <v>3.1099999999999772</v>
      </c>
      <c r="O252" s="137">
        <f t="shared" si="31"/>
        <v>5</v>
      </c>
      <c r="P252" s="140">
        <f>IF(OR(M252=0,M252=3),loop_gain!$B$18,IF(Current_limit!M252=1,Current_limit!$B$12/(2*(Current_limit!N252-Helper_calcs!$B$27)),IF(OR(M252=2,M252=23),(Main!$B$19-Current_limit!O252)*Current_limit!O252/(Main!$B$19*loop_gain!$B$17*(Helper_calcs!$B$26-Helper_calcs!$B$27)),x)))</f>
        <v>400000</v>
      </c>
      <c r="Q252" s="137"/>
    </row>
    <row r="253" spans="1:17" x14ac:dyDescent="0.25">
      <c r="A253">
        <f t="shared" si="32"/>
        <v>3.119999999999977</v>
      </c>
      <c r="B253">
        <f>Main!$B$20/A253</f>
        <v>1.6025641025641144</v>
      </c>
      <c r="D253" s="137">
        <f t="shared" si="25"/>
        <v>1.6025641025641144</v>
      </c>
      <c r="E253" s="137">
        <f>-B253*Main!$B$19-2*Main!$B$19*loop_gain!$B$17*loop_gain!$B$18</f>
        <v>-84.510769230769355</v>
      </c>
      <c r="F253" s="137">
        <f>2*Main!$B$19*loop_gain!$B$17*loop_gain!$B$18*Helper_calcs!$B$26*Current_limit!B253</f>
        <v>402.76923076923367</v>
      </c>
      <c r="G253" s="137">
        <f t="shared" si="27"/>
        <v>5.2981959594026975</v>
      </c>
      <c r="H253" s="137">
        <f>(Main!$B$19-Current_limit!G253)*Current_limit!G253/(Main!$B$19*loop_gain!$B$17*loop_gain!$B$18)</f>
        <v>1.0878514426654813</v>
      </c>
      <c r="I253" s="137">
        <f t="shared" si="28"/>
        <v>2.7621485573345179</v>
      </c>
      <c r="J253" s="137"/>
      <c r="K253" s="138">
        <f>IF(A253&gt;$B$15,IF(I253&gt;Helper_calcs!$B$27,23,3),0)</f>
        <v>0</v>
      </c>
      <c r="L253" s="139">
        <f t="shared" si="26"/>
        <v>0</v>
      </c>
      <c r="M253" s="139">
        <f t="shared" si="29"/>
        <v>0</v>
      </c>
      <c r="N253" s="137">
        <f t="shared" si="30"/>
        <v>3.119999999999977</v>
      </c>
      <c r="O253" s="137">
        <f t="shared" si="31"/>
        <v>5</v>
      </c>
      <c r="P253" s="140">
        <f>IF(OR(M253=0,M253=3),loop_gain!$B$18,IF(Current_limit!M253=1,Current_limit!$B$12/(2*(Current_limit!N253-Helper_calcs!$B$27)),IF(OR(M253=2,M253=23),(Main!$B$19-Current_limit!O253)*Current_limit!O253/(Main!$B$19*loop_gain!$B$17*(Helper_calcs!$B$26-Helper_calcs!$B$27)),x)))</f>
        <v>400000</v>
      </c>
      <c r="Q253" s="137"/>
    </row>
    <row r="254" spans="1:17" x14ac:dyDescent="0.25">
      <c r="A254">
        <f t="shared" si="32"/>
        <v>3.1299999999999768</v>
      </c>
      <c r="B254">
        <f>Main!$B$20/A254</f>
        <v>1.5974440894568809</v>
      </c>
      <c r="D254" s="137">
        <f t="shared" si="25"/>
        <v>1.5974440894568809</v>
      </c>
      <c r="E254" s="137">
        <f>-B254*Main!$B$19-2*Main!$B$19*loop_gain!$B$17*loop_gain!$B$18</f>
        <v>-84.449329073482559</v>
      </c>
      <c r="F254" s="137">
        <f>2*Main!$B$19*loop_gain!$B$17*loop_gain!$B$18*Helper_calcs!$B$26*Current_limit!B254</f>
        <v>401.48242811501888</v>
      </c>
      <c r="G254" s="137">
        <f t="shared" si="27"/>
        <v>5.2818372405395833</v>
      </c>
      <c r="H254" s="137">
        <f>(Main!$B$19-Current_limit!G254)*Current_limit!G254/(Main!$B$19*loop_gain!$B$17*loop_gain!$B$18)</f>
        <v>1.0871397748444915</v>
      </c>
      <c r="I254" s="137">
        <f t="shared" si="28"/>
        <v>2.7628602251555088</v>
      </c>
      <c r="J254" s="137"/>
      <c r="K254" s="138">
        <f>IF(A254&gt;$B$15,IF(I254&gt;Helper_calcs!$B$27,23,3),0)</f>
        <v>0</v>
      </c>
      <c r="L254" s="139">
        <f t="shared" si="26"/>
        <v>0</v>
      </c>
      <c r="M254" s="139">
        <f t="shared" si="29"/>
        <v>0</v>
      </c>
      <c r="N254" s="137">
        <f t="shared" si="30"/>
        <v>3.1299999999999768</v>
      </c>
      <c r="O254" s="137">
        <f t="shared" si="31"/>
        <v>5</v>
      </c>
      <c r="P254" s="140">
        <f>IF(OR(M254=0,M254=3),loop_gain!$B$18,IF(Current_limit!M254=1,Current_limit!$B$12/(2*(Current_limit!N254-Helper_calcs!$B$27)),IF(OR(M254=2,M254=23),(Main!$B$19-Current_limit!O254)*Current_limit!O254/(Main!$B$19*loop_gain!$B$17*(Helper_calcs!$B$26-Helper_calcs!$B$27)),x)))</f>
        <v>400000</v>
      </c>
      <c r="Q254" s="137"/>
    </row>
    <row r="255" spans="1:17" x14ac:dyDescent="0.25">
      <c r="A255">
        <f t="shared" si="32"/>
        <v>3.1399999999999766</v>
      </c>
      <c r="B255">
        <f>Main!$B$20/A255</f>
        <v>1.592356687898101</v>
      </c>
      <c r="D255" s="137">
        <f t="shared" si="25"/>
        <v>1.592356687898101</v>
      </c>
      <c r="E255" s="137">
        <f>-B255*Main!$B$19-2*Main!$B$19*loop_gain!$B$17*loop_gain!$B$18</f>
        <v>-84.3882802547772</v>
      </c>
      <c r="F255" s="137">
        <f>2*Main!$B$19*loop_gain!$B$17*loop_gain!$B$18*Helper_calcs!$B$26*Current_limit!B255</f>
        <v>400.20382165605383</v>
      </c>
      <c r="G255" s="137">
        <f t="shared" si="27"/>
        <v>5.2655917167806008</v>
      </c>
      <c r="H255" s="137">
        <f>(Main!$B$19-Current_limit!G255)*Current_limit!G255/(Main!$B$19*loop_gain!$B$17*loop_gain!$B$18)</f>
        <v>1.0864168037236135</v>
      </c>
      <c r="I255" s="137">
        <f t="shared" si="28"/>
        <v>2.7635831962763859</v>
      </c>
      <c r="J255" s="137"/>
      <c r="K255" s="138">
        <f>IF(A255&gt;$B$15,IF(I255&gt;Helper_calcs!$B$27,23,3),0)</f>
        <v>0</v>
      </c>
      <c r="L255" s="139">
        <f t="shared" si="26"/>
        <v>0</v>
      </c>
      <c r="M255" s="139">
        <f t="shared" si="29"/>
        <v>0</v>
      </c>
      <c r="N255" s="137">
        <f t="shared" si="30"/>
        <v>3.1399999999999766</v>
      </c>
      <c r="O255" s="137">
        <f t="shared" si="31"/>
        <v>5</v>
      </c>
      <c r="P255" s="140">
        <f>IF(OR(M255=0,M255=3),loop_gain!$B$18,IF(Current_limit!M255=1,Current_limit!$B$12/(2*(Current_limit!N255-Helper_calcs!$B$27)),IF(OR(M255=2,M255=23),(Main!$B$19-Current_limit!O255)*Current_limit!O255/(Main!$B$19*loop_gain!$B$17*(Helper_calcs!$B$26-Helper_calcs!$B$27)),x)))</f>
        <v>400000</v>
      </c>
      <c r="Q255" s="137"/>
    </row>
    <row r="256" spans="1:17" x14ac:dyDescent="0.25">
      <c r="A256">
        <f t="shared" si="32"/>
        <v>3.1499999999999764</v>
      </c>
      <c r="B256">
        <f>Main!$B$20/A256</f>
        <v>1.5873015873015992</v>
      </c>
      <c r="D256" s="137">
        <f t="shared" si="25"/>
        <v>1.5873015873015992</v>
      </c>
      <c r="E256" s="137">
        <f>-B256*Main!$B$19-2*Main!$B$19*loop_gain!$B$17*loop_gain!$B$18</f>
        <v>-84.32761904761918</v>
      </c>
      <c r="F256" s="137">
        <f>2*Main!$B$19*loop_gain!$B$17*loop_gain!$B$18*Helper_calcs!$B$26*Current_limit!B256</f>
        <v>398.93333333333624</v>
      </c>
      <c r="G256" s="137">
        <f t="shared" si="27"/>
        <v>5.249458089204551</v>
      </c>
      <c r="H256" s="137">
        <f>(Main!$B$19-Current_limit!G256)*Current_limit!G256/(Main!$B$19*loop_gain!$B$17*loop_gain!$B$18)</f>
        <v>1.0856828076023137</v>
      </c>
      <c r="I256" s="137">
        <f t="shared" si="28"/>
        <v>2.7643171923976855</v>
      </c>
      <c r="J256" s="137"/>
      <c r="K256" s="138">
        <f>IF(A256&gt;$B$15,IF(I256&gt;Helper_calcs!$B$27,23,3),0)</f>
        <v>0</v>
      </c>
      <c r="L256" s="139">
        <f t="shared" si="26"/>
        <v>0</v>
      </c>
      <c r="M256" s="139">
        <f t="shared" si="29"/>
        <v>0</v>
      </c>
      <c r="N256" s="137">
        <f t="shared" si="30"/>
        <v>3.1499999999999764</v>
      </c>
      <c r="O256" s="137">
        <f t="shared" si="31"/>
        <v>5</v>
      </c>
      <c r="P256" s="140">
        <f>IF(OR(M256=0,M256=3),loop_gain!$B$18,IF(Current_limit!M256=1,Current_limit!$B$12/(2*(Current_limit!N256-Helper_calcs!$B$27)),IF(OR(M256=2,M256=23),(Main!$B$19-Current_limit!O256)*Current_limit!O256/(Main!$B$19*loop_gain!$B$17*(Helper_calcs!$B$26-Helper_calcs!$B$27)),x)))</f>
        <v>400000</v>
      </c>
      <c r="Q256" s="137"/>
    </row>
    <row r="257" spans="1:17" x14ac:dyDescent="0.25">
      <c r="A257">
        <f t="shared" si="32"/>
        <v>3.1599999999999762</v>
      </c>
      <c r="B257">
        <f>Main!$B$20/A257</f>
        <v>1.5822784810126702</v>
      </c>
      <c r="D257" s="137">
        <f t="shared" si="25"/>
        <v>1.5822784810126702</v>
      </c>
      <c r="E257" s="137">
        <f>-B257*Main!$B$19-2*Main!$B$19*loop_gain!$B$17*loop_gain!$B$18</f>
        <v>-84.267341772152037</v>
      </c>
      <c r="F257" s="137">
        <f>2*Main!$B$19*loop_gain!$B$17*loop_gain!$B$18*Helper_calcs!$B$26*Current_limit!B257</f>
        <v>397.6708860759523</v>
      </c>
      <c r="G257" s="137">
        <f t="shared" si="27"/>
        <v>5.2334350804304561</v>
      </c>
      <c r="H257" s="137">
        <f>(Main!$B$19-Current_limit!G257)*Current_limit!G257/(Main!$B$19*loop_gain!$B$17*loop_gain!$B$18)</f>
        <v>1.084938058335948</v>
      </c>
      <c r="I257" s="137">
        <f t="shared" si="28"/>
        <v>2.7650619416640492</v>
      </c>
      <c r="J257" s="137"/>
      <c r="K257" s="138">
        <f>IF(A257&gt;$B$15,IF(I257&gt;Helper_calcs!$B$27,23,3),0)</f>
        <v>0</v>
      </c>
      <c r="L257" s="139">
        <f t="shared" si="26"/>
        <v>0</v>
      </c>
      <c r="M257" s="139">
        <f t="shared" si="29"/>
        <v>0</v>
      </c>
      <c r="N257" s="137">
        <f t="shared" si="30"/>
        <v>3.1599999999999762</v>
      </c>
      <c r="O257" s="137">
        <f t="shared" si="31"/>
        <v>5</v>
      </c>
      <c r="P257" s="140">
        <f>IF(OR(M257=0,M257=3),loop_gain!$B$18,IF(Current_limit!M257=1,Current_limit!$B$12/(2*(Current_limit!N257-Helper_calcs!$B$27)),IF(OR(M257=2,M257=23),(Main!$B$19-Current_limit!O257)*Current_limit!O257/(Main!$B$19*loop_gain!$B$17*(Helper_calcs!$B$26-Helper_calcs!$B$27)),x)))</f>
        <v>400000</v>
      </c>
      <c r="Q257" s="137"/>
    </row>
    <row r="258" spans="1:17" x14ac:dyDescent="0.25">
      <c r="A258">
        <f t="shared" si="32"/>
        <v>3.1699999999999759</v>
      </c>
      <c r="B258">
        <f>Main!$B$20/A258</f>
        <v>1.5772870662460687</v>
      </c>
      <c r="D258" s="137">
        <f t="shared" si="25"/>
        <v>1.5772870662460687</v>
      </c>
      <c r="E258" s="137">
        <f>-B258*Main!$B$19-2*Main!$B$19*loop_gain!$B$17*loop_gain!$B$18</f>
        <v>-84.207444794952806</v>
      </c>
      <c r="F258" s="137">
        <f>2*Main!$B$19*loop_gain!$B$17*loop_gain!$B$18*Helper_calcs!$B$26*Current_limit!B258</f>
        <v>396.41640378549187</v>
      </c>
      <c r="G258" s="137">
        <f t="shared" si="27"/>
        <v>5.2175214341431184</v>
      </c>
      <c r="H258" s="137">
        <f>(Main!$B$19-Current_limit!G258)*Current_limit!G258/(Main!$B$19*loop_gain!$B$17*loop_gain!$B$18)</f>
        <v>1.0841828215065736</v>
      </c>
      <c r="I258" s="137">
        <f t="shared" si="28"/>
        <v>2.7658171784934256</v>
      </c>
      <c r="J258" s="137"/>
      <c r="K258" s="138">
        <f>IF(A258&gt;$B$15,IF(I258&gt;Helper_calcs!$B$27,23,3),0)</f>
        <v>0</v>
      </c>
      <c r="L258" s="139">
        <f t="shared" si="26"/>
        <v>0</v>
      </c>
      <c r="M258" s="139">
        <f t="shared" si="29"/>
        <v>0</v>
      </c>
      <c r="N258" s="137">
        <f t="shared" si="30"/>
        <v>3.1699999999999759</v>
      </c>
      <c r="O258" s="137">
        <f t="shared" si="31"/>
        <v>5</v>
      </c>
      <c r="P258" s="140">
        <f>IF(OR(M258=0,M258=3),loop_gain!$B$18,IF(Current_limit!M258=1,Current_limit!$B$12/(2*(Current_limit!N258-Helper_calcs!$B$27)),IF(OR(M258=2,M258=23),(Main!$B$19-Current_limit!O258)*Current_limit!O258/(Main!$B$19*loop_gain!$B$17*(Helper_calcs!$B$26-Helper_calcs!$B$27)),x)))</f>
        <v>400000</v>
      </c>
      <c r="Q258" s="137"/>
    </row>
    <row r="259" spans="1:17" x14ac:dyDescent="0.25">
      <c r="A259">
        <f t="shared" si="32"/>
        <v>3.1799999999999757</v>
      </c>
      <c r="B259">
        <f>Main!$B$20/A259</f>
        <v>1.5723270440251693</v>
      </c>
      <c r="D259" s="137">
        <f t="shared" si="25"/>
        <v>1.5723270440251693</v>
      </c>
      <c r="E259" s="137">
        <f>-B259*Main!$B$19-2*Main!$B$19*loop_gain!$B$17*loop_gain!$B$18</f>
        <v>-84.147924528302013</v>
      </c>
      <c r="F259" s="137">
        <f>2*Main!$B$19*loop_gain!$B$17*loop_gain!$B$18*Helper_calcs!$B$26*Current_limit!B259</f>
        <v>395.16981132075767</v>
      </c>
      <c r="G259" s="137">
        <f t="shared" si="27"/>
        <v>5.2017159146317438</v>
      </c>
      <c r="H259" s="137">
        <f>(Main!$B$19-Current_limit!G259)*Current_limit!G259/(Main!$B$19*loop_gain!$B$17*loop_gain!$B$18)</f>
        <v>1.0834173565884733</v>
      </c>
      <c r="I259" s="137">
        <f t="shared" si="28"/>
        <v>2.7665826434115268</v>
      </c>
      <c r="J259" s="137"/>
      <c r="K259" s="138">
        <f>IF(A259&gt;$B$15,IF(I259&gt;Helper_calcs!$B$27,23,3),0)</f>
        <v>0</v>
      </c>
      <c r="L259" s="139">
        <f t="shared" si="26"/>
        <v>0</v>
      </c>
      <c r="M259" s="139">
        <f t="shared" si="29"/>
        <v>0</v>
      </c>
      <c r="N259" s="137">
        <f t="shared" si="30"/>
        <v>3.1799999999999757</v>
      </c>
      <c r="O259" s="137">
        <f t="shared" si="31"/>
        <v>5</v>
      </c>
      <c r="P259" s="140">
        <f>IF(OR(M259=0,M259=3),loop_gain!$B$18,IF(Current_limit!M259=1,Current_limit!$B$12/(2*(Current_limit!N259-Helper_calcs!$B$27)),IF(OR(M259=2,M259=23),(Main!$B$19-Current_limit!O259)*Current_limit!O259/(Main!$B$19*loop_gain!$B$17*(Helper_calcs!$B$26-Helper_calcs!$B$27)),x)))</f>
        <v>400000</v>
      </c>
      <c r="Q259" s="137"/>
    </row>
    <row r="260" spans="1:17" x14ac:dyDescent="0.25">
      <c r="A260">
        <f t="shared" si="32"/>
        <v>3.1899999999999755</v>
      </c>
      <c r="B260">
        <f>Main!$B$20/A260</f>
        <v>1.567398119122269</v>
      </c>
      <c r="D260" s="137">
        <f t="shared" si="25"/>
        <v>1.567398119122269</v>
      </c>
      <c r="E260" s="137">
        <f>-B260*Main!$B$19-2*Main!$B$19*loop_gain!$B$17*loop_gain!$B$18</f>
        <v>-84.088777429467214</v>
      </c>
      <c r="F260" s="137">
        <f>2*Main!$B$19*loop_gain!$B$17*loop_gain!$B$18*Helper_calcs!$B$26*Current_limit!B260</f>
        <v>393.93103448276156</v>
      </c>
      <c r="G260" s="137">
        <f t="shared" si="27"/>
        <v>5.1860173063412773</v>
      </c>
      <c r="H260" s="137">
        <f>(Main!$B$19-Current_limit!G260)*Current_limit!G260/(Main!$B$19*loop_gain!$B$17*loop_gain!$B$18)</f>
        <v>1.0826419171085813</v>
      </c>
      <c r="I260" s="137">
        <f t="shared" si="28"/>
        <v>2.7673580828914188</v>
      </c>
      <c r="J260" s="137"/>
      <c r="K260" s="138">
        <f>IF(A260&gt;$B$15,IF(I260&gt;Helper_calcs!$B$27,23,3),0)</f>
        <v>0</v>
      </c>
      <c r="L260" s="139">
        <f t="shared" si="26"/>
        <v>0</v>
      </c>
      <c r="M260" s="139">
        <f t="shared" si="29"/>
        <v>0</v>
      </c>
      <c r="N260" s="137">
        <f t="shared" si="30"/>
        <v>3.1899999999999755</v>
      </c>
      <c r="O260" s="137">
        <f t="shared" si="31"/>
        <v>5</v>
      </c>
      <c r="P260" s="140">
        <f>IF(OR(M260=0,M260=3),loop_gain!$B$18,IF(Current_limit!M260=1,Current_limit!$B$12/(2*(Current_limit!N260-Helper_calcs!$B$27)),IF(OR(M260=2,M260=23),(Main!$B$19-Current_limit!O260)*Current_limit!O260/(Main!$B$19*loop_gain!$B$17*(Helper_calcs!$B$26-Helper_calcs!$B$27)),x)))</f>
        <v>400000</v>
      </c>
      <c r="Q260" s="137"/>
    </row>
    <row r="261" spans="1:17" x14ac:dyDescent="0.25">
      <c r="A261">
        <f t="shared" si="32"/>
        <v>3.1999999999999753</v>
      </c>
      <c r="B261">
        <f>Main!$B$20/A261</f>
        <v>1.562500000000012</v>
      </c>
      <c r="D261" s="137">
        <f t="shared" si="25"/>
        <v>1.562500000000012</v>
      </c>
      <c r="E261" s="137">
        <f>-B261*Main!$B$19-2*Main!$B$19*loop_gain!$B$17*loop_gain!$B$18</f>
        <v>-84.030000000000129</v>
      </c>
      <c r="F261" s="137">
        <f>2*Main!$B$19*loop_gain!$B$17*loop_gain!$B$18*Helper_calcs!$B$26*Current_limit!B261</f>
        <v>392.70000000000294</v>
      </c>
      <c r="G261" s="137">
        <f t="shared" si="27"/>
        <v>5.1704244134359865</v>
      </c>
      <c r="H261" s="137">
        <f>(Main!$B$19-Current_limit!G261)*Current_limit!G261/(Main!$B$19*loop_gain!$B$17*loop_gain!$B$18)</f>
        <v>1.0818567508019907</v>
      </c>
      <c r="I261" s="137">
        <f t="shared" si="28"/>
        <v>2.7681432491980105</v>
      </c>
      <c r="J261" s="137"/>
      <c r="K261" s="138">
        <f>IF(A261&gt;$B$15,IF(I261&gt;Helper_calcs!$B$27,23,3),0)</f>
        <v>0</v>
      </c>
      <c r="L261" s="139">
        <f t="shared" si="26"/>
        <v>0</v>
      </c>
      <c r="M261" s="139">
        <f t="shared" si="29"/>
        <v>0</v>
      </c>
      <c r="N261" s="137">
        <f t="shared" si="30"/>
        <v>3.1999999999999753</v>
      </c>
      <c r="O261" s="137">
        <f t="shared" si="31"/>
        <v>5</v>
      </c>
      <c r="P261" s="140">
        <f>IF(OR(M261=0,M261=3),loop_gain!$B$18,IF(Current_limit!M261=1,Current_limit!$B$12/(2*(Current_limit!N261-Helper_calcs!$B$27)),IF(OR(M261=2,M261=23),(Main!$B$19-Current_limit!O261)*Current_limit!O261/(Main!$B$19*loop_gain!$B$17*(Helper_calcs!$B$26-Helper_calcs!$B$27)),x)))</f>
        <v>400000</v>
      </c>
      <c r="Q261" s="137"/>
    </row>
    <row r="262" spans="1:17" x14ac:dyDescent="0.25">
      <c r="A262">
        <f t="shared" si="32"/>
        <v>3.2099999999999751</v>
      </c>
      <c r="B262">
        <f>Main!$B$20/A262</f>
        <v>1.5576323987539062</v>
      </c>
      <c r="D262" s="137">
        <f t="shared" si="25"/>
        <v>1.5576323987539062</v>
      </c>
      <c r="E262" s="137">
        <f>-B262*Main!$B$19-2*Main!$B$19*loop_gain!$B$17*loop_gain!$B$18</f>
        <v>-83.971588785046862</v>
      </c>
      <c r="F262" s="137">
        <f>2*Main!$B$19*loop_gain!$B$17*loop_gain!$B$18*Helper_calcs!$B$26*Current_limit!B262</f>
        <v>391.47663551402167</v>
      </c>
      <c r="G262" s="137">
        <f t="shared" si="27"/>
        <v>5.1549360593748688</v>
      </c>
      <c r="H262" s="137">
        <f>(Main!$B$19-Current_limit!G262)*Current_limit!G262/(Main!$B$19*loop_gain!$B$17*loop_gain!$B$18)</f>
        <v>1.0810620997627185</v>
      </c>
      <c r="I262" s="137">
        <f t="shared" si="28"/>
        <v>2.7689379002372809</v>
      </c>
      <c r="J262" s="137"/>
      <c r="K262" s="138">
        <f>IF(A262&gt;$B$15,IF(I262&gt;Helper_calcs!$B$27,23,3),0)</f>
        <v>0</v>
      </c>
      <c r="L262" s="139">
        <f t="shared" si="26"/>
        <v>0</v>
      </c>
      <c r="M262" s="139">
        <f t="shared" si="29"/>
        <v>0</v>
      </c>
      <c r="N262" s="137">
        <f t="shared" si="30"/>
        <v>3.2099999999999751</v>
      </c>
      <c r="O262" s="137">
        <f t="shared" si="31"/>
        <v>5</v>
      </c>
      <c r="P262" s="140">
        <f>IF(OR(M262=0,M262=3),loop_gain!$B$18,IF(Current_limit!M262=1,Current_limit!$B$12/(2*(Current_limit!N262-Helper_calcs!$B$27)),IF(OR(M262=2,M262=23),(Main!$B$19-Current_limit!O262)*Current_limit!O262/(Main!$B$19*loop_gain!$B$17*(Helper_calcs!$B$26-Helper_calcs!$B$27)),x)))</f>
        <v>400000</v>
      </c>
      <c r="Q262" s="137"/>
    </row>
    <row r="263" spans="1:17" x14ac:dyDescent="0.25">
      <c r="A263">
        <f t="shared" si="32"/>
        <v>3.2199999999999749</v>
      </c>
      <c r="B263">
        <f>Main!$B$20/A263</f>
        <v>1.5527950310559127</v>
      </c>
      <c r="D263" s="137">
        <f t="shared" si="25"/>
        <v>1.5527950310559127</v>
      </c>
      <c r="E263" s="137">
        <f>-B263*Main!$B$19-2*Main!$B$19*loop_gain!$B$17*loop_gain!$B$18</f>
        <v>-83.913540372670937</v>
      </c>
      <c r="F263" s="137">
        <f>2*Main!$B$19*loop_gain!$B$17*loop_gain!$B$18*Helper_calcs!$B$26*Current_limit!B263</f>
        <v>390.26086956522033</v>
      </c>
      <c r="G263" s="137">
        <f t="shared" si="27"/>
        <v>5.139551086498571</v>
      </c>
      <c r="H263" s="137">
        <f>(Main!$B$19-Current_limit!G263)*Current_limit!G263/(Main!$B$19*loop_gain!$B$17*loop_gain!$B$18)</f>
        <v>1.0802582005898962</v>
      </c>
      <c r="I263" s="137">
        <f t="shared" si="28"/>
        <v>2.7697417994101059</v>
      </c>
      <c r="J263" s="137"/>
      <c r="K263" s="138">
        <f>IF(A263&gt;$B$15,IF(I263&gt;Helper_calcs!$B$27,23,3),0)</f>
        <v>0</v>
      </c>
      <c r="L263" s="139">
        <f t="shared" si="26"/>
        <v>0</v>
      </c>
      <c r="M263" s="139">
        <f t="shared" si="29"/>
        <v>0</v>
      </c>
      <c r="N263" s="137">
        <f t="shared" si="30"/>
        <v>3.2199999999999749</v>
      </c>
      <c r="O263" s="137">
        <f t="shared" si="31"/>
        <v>5</v>
      </c>
      <c r="P263" s="140">
        <f>IF(OR(M263=0,M263=3),loop_gain!$B$18,IF(Current_limit!M263=1,Current_limit!$B$12/(2*(Current_limit!N263-Helper_calcs!$B$27)),IF(OR(M263=2,M263=23),(Main!$B$19-Current_limit!O263)*Current_limit!O263/(Main!$B$19*loop_gain!$B$17*(Helper_calcs!$B$26-Helper_calcs!$B$27)),x)))</f>
        <v>400000</v>
      </c>
      <c r="Q263" s="137"/>
    </row>
    <row r="264" spans="1:17" x14ac:dyDescent="0.25">
      <c r="A264">
        <f t="shared" si="32"/>
        <v>3.2299999999999747</v>
      </c>
      <c r="B264">
        <f>Main!$B$20/A264</f>
        <v>1.5479876160990833</v>
      </c>
      <c r="D264" s="137">
        <f t="shared" si="25"/>
        <v>1.5479876160990833</v>
      </c>
      <c r="E264" s="137">
        <f>-B264*Main!$B$19-2*Main!$B$19*loop_gain!$B$17*loop_gain!$B$18</f>
        <v>-83.855851393188985</v>
      </c>
      <c r="F264" s="137">
        <f>2*Main!$B$19*loop_gain!$B$17*loop_gain!$B$18*Helper_calcs!$B$26*Current_limit!B264</f>
        <v>389.05263157895035</v>
      </c>
      <c r="G264" s="137">
        <f t="shared" si="27"/>
        <v>5.1242683556273265</v>
      </c>
      <c r="H264" s="137">
        <f>(Main!$B$19-Current_limit!G264)*Current_limit!G264/(Main!$B$19*loop_gain!$B$17*loop_gain!$B$18)</f>
        <v>1.0794452845295448</v>
      </c>
      <c r="I264" s="137">
        <f t="shared" si="28"/>
        <v>2.7705547154704546</v>
      </c>
      <c r="J264" s="137"/>
      <c r="K264" s="138">
        <f>IF(A264&gt;$B$15,IF(I264&gt;Helper_calcs!$B$27,23,3),0)</f>
        <v>0</v>
      </c>
      <c r="L264" s="139">
        <f t="shared" si="26"/>
        <v>0</v>
      </c>
      <c r="M264" s="139">
        <f t="shared" si="29"/>
        <v>0</v>
      </c>
      <c r="N264" s="137">
        <f t="shared" si="30"/>
        <v>3.2299999999999747</v>
      </c>
      <c r="O264" s="137">
        <f t="shared" si="31"/>
        <v>5</v>
      </c>
      <c r="P264" s="140">
        <f>IF(OR(M264=0,M264=3),loop_gain!$B$18,IF(Current_limit!M264=1,Current_limit!$B$12/(2*(Current_limit!N264-Helper_calcs!$B$27)),IF(OR(M264=2,M264=23),(Main!$B$19-Current_limit!O264)*Current_limit!O264/(Main!$B$19*loop_gain!$B$17*(Helper_calcs!$B$26-Helper_calcs!$B$27)),x)))</f>
        <v>400000</v>
      </c>
      <c r="Q264" s="137"/>
    </row>
    <row r="265" spans="1:17" x14ac:dyDescent="0.25">
      <c r="A265">
        <f t="shared" si="32"/>
        <v>3.2399999999999745</v>
      </c>
      <c r="B265">
        <f>Main!$B$20/A265</f>
        <v>1.5432098765432221</v>
      </c>
      <c r="D265" s="137">
        <f t="shared" si="25"/>
        <v>1.5432098765432221</v>
      </c>
      <c r="E265" s="137">
        <f>-B265*Main!$B$19-2*Main!$B$19*loop_gain!$B$17*loop_gain!$B$18</f>
        <v>-83.798518518518648</v>
      </c>
      <c r="F265" s="137">
        <f>2*Main!$B$19*loop_gain!$B$17*loop_gain!$B$18*Helper_calcs!$B$26*Current_limit!B265</f>
        <v>387.8518518518548</v>
      </c>
      <c r="G265" s="137">
        <f t="shared" si="27"/>
        <v>5.1090867456697238</v>
      </c>
      <c r="H265" s="137">
        <f>(Main!$B$19-Current_limit!G265)*Current_limit!G265/(Main!$B$19*loop_gain!$B$17*loop_gain!$B$18)</f>
        <v>1.0786235776120907</v>
      </c>
      <c r="I265" s="137">
        <f t="shared" si="28"/>
        <v>2.7713764223879096</v>
      </c>
      <c r="J265" s="137"/>
      <c r="K265" s="138">
        <f>IF(A265&gt;$B$15,IF(I265&gt;Helper_calcs!$B$27,23,3),0)</f>
        <v>0</v>
      </c>
      <c r="L265" s="139">
        <f t="shared" si="26"/>
        <v>0</v>
      </c>
      <c r="M265" s="139">
        <f t="shared" si="29"/>
        <v>0</v>
      </c>
      <c r="N265" s="137">
        <f t="shared" si="30"/>
        <v>3.2399999999999745</v>
      </c>
      <c r="O265" s="137">
        <f t="shared" si="31"/>
        <v>5</v>
      </c>
      <c r="P265" s="140">
        <f>IF(OR(M265=0,M265=3),loop_gain!$B$18,IF(Current_limit!M265=1,Current_limit!$B$12/(2*(Current_limit!N265-Helper_calcs!$B$27)),IF(OR(M265=2,M265=23),(Main!$B$19-Current_limit!O265)*Current_limit!O265/(Main!$B$19*loop_gain!$B$17*(Helper_calcs!$B$26-Helper_calcs!$B$27)),x)))</f>
        <v>400000</v>
      </c>
      <c r="Q265" s="137"/>
    </row>
    <row r="266" spans="1:17" x14ac:dyDescent="0.25">
      <c r="A266">
        <f t="shared" si="32"/>
        <v>3.2499999999999742</v>
      </c>
      <c r="B266">
        <f>Main!$B$20/A266</f>
        <v>1.5384615384615508</v>
      </c>
      <c r="D266" s="137">
        <f t="shared" si="25"/>
        <v>1.5384615384615508</v>
      </c>
      <c r="E266" s="137">
        <f>-B266*Main!$B$19-2*Main!$B$19*loop_gain!$B$17*loop_gain!$B$18</f>
        <v>-83.741538461538596</v>
      </c>
      <c r="F266" s="137">
        <f>2*Main!$B$19*loop_gain!$B$17*loop_gain!$B$18*Helper_calcs!$B$26*Current_limit!B266</f>
        <v>386.65846153846456</v>
      </c>
      <c r="G266" s="137">
        <f t="shared" si="27"/>
        <v>5.094005153241759</v>
      </c>
      <c r="H266" s="137">
        <f>(Main!$B$19-Current_limit!G266)*Current_limit!G266/(Main!$B$19*loop_gain!$B$17*loop_gain!$B$18)</f>
        <v>1.0777933007857696</v>
      </c>
      <c r="I266" s="137">
        <f t="shared" si="28"/>
        <v>2.772206699214232</v>
      </c>
      <c r="J266" s="137"/>
      <c r="K266" s="138">
        <f>IF(A266&gt;$B$15,IF(I266&gt;Helper_calcs!$B$27,23,3),0)</f>
        <v>0</v>
      </c>
      <c r="L266" s="139">
        <f t="shared" si="26"/>
        <v>0</v>
      </c>
      <c r="M266" s="139">
        <f t="shared" si="29"/>
        <v>0</v>
      </c>
      <c r="N266" s="137">
        <f t="shared" si="30"/>
        <v>3.2499999999999742</v>
      </c>
      <c r="O266" s="137">
        <f t="shared" si="31"/>
        <v>5</v>
      </c>
      <c r="P266" s="140">
        <f>IF(OR(M266=0,M266=3),loop_gain!$B$18,IF(Current_limit!M266=1,Current_limit!$B$12/(2*(Current_limit!N266-Helper_calcs!$B$27)),IF(OR(M266=2,M266=23),(Main!$B$19-Current_limit!O266)*Current_limit!O266/(Main!$B$19*loop_gain!$B$17*(Helper_calcs!$B$26-Helper_calcs!$B$27)),x)))</f>
        <v>400000</v>
      </c>
      <c r="Q266" s="137"/>
    </row>
    <row r="267" spans="1:17" x14ac:dyDescent="0.25">
      <c r="A267">
        <f t="shared" si="32"/>
        <v>3.259999999999974</v>
      </c>
      <c r="B267">
        <f>Main!$B$20/A267</f>
        <v>1.5337423312883558</v>
      </c>
      <c r="D267" s="137">
        <f t="shared" si="25"/>
        <v>1.5337423312883558</v>
      </c>
      <c r="E267" s="137">
        <f>-B267*Main!$B$19-2*Main!$B$19*loop_gain!$B$17*loop_gain!$B$18</f>
        <v>-83.684907975460249</v>
      </c>
      <c r="F267" s="137">
        <f>2*Main!$B$19*loop_gain!$B$17*loop_gain!$B$18*Helper_calcs!$B$26*Current_limit!B267</f>
        <v>385.47239263803982</v>
      </c>
      <c r="G267" s="137">
        <f t="shared" si="27"/>
        <v>5.0790224922960094</v>
      </c>
      <c r="H267" s="137">
        <f>(Main!$B$19-Current_limit!G267)*Current_limit!G267/(Main!$B$19*loop_gain!$B$17*loop_gain!$B$18)</f>
        <v>1.0769546700460586</v>
      </c>
      <c r="I267" s="137">
        <f t="shared" si="28"/>
        <v>2.7730453299539426</v>
      </c>
      <c r="J267" s="137"/>
      <c r="K267" s="138">
        <f>IF(A267&gt;$B$15,IF(I267&gt;Helper_calcs!$B$27,23,3),0)</f>
        <v>0</v>
      </c>
      <c r="L267" s="139">
        <f t="shared" si="26"/>
        <v>0</v>
      </c>
      <c r="M267" s="139">
        <f t="shared" si="29"/>
        <v>0</v>
      </c>
      <c r="N267" s="137">
        <f t="shared" si="30"/>
        <v>3.259999999999974</v>
      </c>
      <c r="O267" s="137">
        <f t="shared" si="31"/>
        <v>5</v>
      </c>
      <c r="P267" s="140">
        <f>IF(OR(M267=0,M267=3),loop_gain!$B$18,IF(Current_limit!M267=1,Current_limit!$B$12/(2*(Current_limit!N267-Helper_calcs!$B$27)),IF(OR(M267=2,M267=23),(Main!$B$19-Current_limit!O267)*Current_limit!O267/(Main!$B$19*loop_gain!$B$17*(Helper_calcs!$B$26-Helper_calcs!$B$27)),x)))</f>
        <v>400000</v>
      </c>
      <c r="Q267" s="137"/>
    </row>
    <row r="268" spans="1:17" x14ac:dyDescent="0.25">
      <c r="A268">
        <f t="shared" si="32"/>
        <v>3.2699999999999738</v>
      </c>
      <c r="B268">
        <f>Main!$B$20/A268</f>
        <v>1.5290519877675963</v>
      </c>
      <c r="D268" s="137">
        <f t="shared" si="25"/>
        <v>1.5290519877675963</v>
      </c>
      <c r="E268" s="137">
        <f>-B268*Main!$B$19-2*Main!$B$19*loop_gain!$B$17*loop_gain!$B$18</f>
        <v>-83.628623853211138</v>
      </c>
      <c r="F268" s="137">
        <f>2*Main!$B$19*loop_gain!$B$17*loop_gain!$B$18*Helper_calcs!$B$26*Current_limit!B268</f>
        <v>384.29357798165438</v>
      </c>
      <c r="G268" s="137">
        <f t="shared" si="27"/>
        <v>5.0641376937605305</v>
      </c>
      <c r="H268" s="137">
        <f>(Main!$B$19-Current_limit!G268)*Current_limit!G268/(Main!$B$19*loop_gain!$B$17*loop_gain!$B$18)</f>
        <v>1.0761078965612789</v>
      </c>
      <c r="I268" s="137">
        <f t="shared" si="28"/>
        <v>2.7738921034387212</v>
      </c>
      <c r="J268" s="137"/>
      <c r="K268" s="138">
        <f>IF(A268&gt;$B$15,IF(I268&gt;Helper_calcs!$B$27,23,3),0)</f>
        <v>0</v>
      </c>
      <c r="L268" s="139">
        <f t="shared" si="26"/>
        <v>0</v>
      </c>
      <c r="M268" s="139">
        <f t="shared" si="29"/>
        <v>0</v>
      </c>
      <c r="N268" s="137">
        <f t="shared" si="30"/>
        <v>3.2699999999999738</v>
      </c>
      <c r="O268" s="137">
        <f t="shared" si="31"/>
        <v>5</v>
      </c>
      <c r="P268" s="140">
        <f>IF(OR(M268=0,M268=3),loop_gain!$B$18,IF(Current_limit!M268=1,Current_limit!$B$12/(2*(Current_limit!N268-Helper_calcs!$B$27)),IF(OR(M268=2,M268=23),(Main!$B$19-Current_limit!O268)*Current_limit!O268/(Main!$B$19*loop_gain!$B$17*(Helper_calcs!$B$26-Helper_calcs!$B$27)),x)))</f>
        <v>400000</v>
      </c>
      <c r="Q268" s="137"/>
    </row>
    <row r="269" spans="1:17" x14ac:dyDescent="0.25">
      <c r="A269">
        <f t="shared" si="32"/>
        <v>3.2799999999999736</v>
      </c>
      <c r="B269">
        <f>Main!$B$20/A269</f>
        <v>1.5243902439024513</v>
      </c>
      <c r="D269" s="137">
        <f t="shared" si="25"/>
        <v>1.5243902439024513</v>
      </c>
      <c r="E269" s="137">
        <f>-B269*Main!$B$19-2*Main!$B$19*loop_gain!$B$17*loop_gain!$B$18</f>
        <v>-83.572682926829401</v>
      </c>
      <c r="F269" s="137">
        <f>2*Main!$B$19*loop_gain!$B$17*loop_gain!$B$18*Helper_calcs!$B$26*Current_limit!B269</f>
        <v>383.12195121951521</v>
      </c>
      <c r="G269" s="137">
        <f t="shared" si="27"/>
        <v>5.0493497051871641</v>
      </c>
      <c r="H269" s="137">
        <f>(Main!$B$19-Current_limit!G269)*Current_limit!G269/(Main!$B$19*loop_gain!$B$17*loop_gain!$B$18)</f>
        <v>1.0752531867944939</v>
      </c>
      <c r="I269" s="137">
        <f t="shared" si="28"/>
        <v>2.7747468132055064</v>
      </c>
      <c r="J269" s="137"/>
      <c r="K269" s="138">
        <f>IF(A269&gt;$B$15,IF(I269&gt;Helper_calcs!$B$27,23,3),0)</f>
        <v>0</v>
      </c>
      <c r="L269" s="139">
        <f t="shared" si="26"/>
        <v>0</v>
      </c>
      <c r="M269" s="139">
        <f t="shared" si="29"/>
        <v>0</v>
      </c>
      <c r="N269" s="137">
        <f t="shared" si="30"/>
        <v>3.2799999999999736</v>
      </c>
      <c r="O269" s="137">
        <f t="shared" si="31"/>
        <v>5</v>
      </c>
      <c r="P269" s="140">
        <f>IF(OR(M269=0,M269=3),loop_gain!$B$18,IF(Current_limit!M269=1,Current_limit!$B$12/(2*(Current_limit!N269-Helper_calcs!$B$27)),IF(OR(M269=2,M269=23),(Main!$B$19-Current_limit!O269)*Current_limit!O269/(Main!$B$19*loop_gain!$B$17*(Helper_calcs!$B$26-Helper_calcs!$B$27)),x)))</f>
        <v>400000</v>
      </c>
      <c r="Q269" s="137"/>
    </row>
    <row r="270" spans="1:17" x14ac:dyDescent="0.25">
      <c r="A270">
        <f t="shared" si="32"/>
        <v>3.2899999999999734</v>
      </c>
      <c r="B270">
        <f>Main!$B$20/A270</f>
        <v>1.5197568389057874</v>
      </c>
      <c r="D270" s="137">
        <f t="shared" si="25"/>
        <v>1.5197568389057874</v>
      </c>
      <c r="E270" s="137">
        <f>-B270*Main!$B$19-2*Main!$B$19*loop_gain!$B$17*loop_gain!$B$18</f>
        <v>-83.517082066869435</v>
      </c>
      <c r="F270" s="137">
        <f>2*Main!$B$19*loop_gain!$B$17*loop_gain!$B$18*Helper_calcs!$B$26*Current_limit!B270</f>
        <v>381.95744680851362</v>
      </c>
      <c r="G270" s="137">
        <f t="shared" si="27"/>
        <v>5.0346574904089829</v>
      </c>
      <c r="H270" s="137">
        <f>(Main!$B$19-Current_limit!G270)*Current_limit!G270/(Main!$B$19*loop_gain!$B$17*loop_gain!$B$18)</f>
        <v>1.0743907426218298</v>
      </c>
      <c r="I270" s="137">
        <f t="shared" si="28"/>
        <v>2.7756092573781688</v>
      </c>
      <c r="J270" s="137"/>
      <c r="K270" s="138">
        <f>IF(A270&gt;$B$15,IF(I270&gt;Helper_calcs!$B$27,23,3),0)</f>
        <v>0</v>
      </c>
      <c r="L270" s="139">
        <f t="shared" si="26"/>
        <v>0</v>
      </c>
      <c r="M270" s="139">
        <f t="shared" si="29"/>
        <v>0</v>
      </c>
      <c r="N270" s="137">
        <f t="shared" si="30"/>
        <v>3.2899999999999734</v>
      </c>
      <c r="O270" s="137">
        <f t="shared" si="31"/>
        <v>5</v>
      </c>
      <c r="P270" s="140">
        <f>IF(OR(M270=0,M270=3),loop_gain!$B$18,IF(Current_limit!M270=1,Current_limit!$B$12/(2*(Current_limit!N270-Helper_calcs!$B$27)),IF(OR(M270=2,M270=23),(Main!$B$19-Current_limit!O270)*Current_limit!O270/(Main!$B$19*loop_gain!$B$17*(Helper_calcs!$B$26-Helper_calcs!$B$27)),x)))</f>
        <v>400000</v>
      </c>
      <c r="Q270" s="137"/>
    </row>
    <row r="271" spans="1:17" x14ac:dyDescent="0.25">
      <c r="A271">
        <f t="shared" si="32"/>
        <v>3.2999999999999732</v>
      </c>
      <c r="B271">
        <f>Main!$B$20/A271</f>
        <v>1.5151515151515276</v>
      </c>
      <c r="D271" s="137">
        <f t="shared" si="25"/>
        <v>1.5151515151515276</v>
      </c>
      <c r="E271" s="137">
        <f>-B271*Main!$B$19-2*Main!$B$19*loop_gain!$B$17*loop_gain!$B$18</f>
        <v>-83.461818181818316</v>
      </c>
      <c r="F271" s="137">
        <f>2*Main!$B$19*loop_gain!$B$17*loop_gain!$B$18*Helper_calcs!$B$26*Current_limit!B271</f>
        <v>380.80000000000302</v>
      </c>
      <c r="G271" s="137">
        <f t="shared" si="27"/>
        <v>5.0200600292065971</v>
      </c>
      <c r="H271" s="137">
        <f>(Main!$B$19-Current_limit!G271)*Current_limit!G271/(Main!$B$19*loop_gain!$B$17*loop_gain!$B$18)</f>
        <v>1.0735207614473479</v>
      </c>
      <c r="I271" s="137">
        <f t="shared" si="28"/>
        <v>2.7764792385526529</v>
      </c>
      <c r="J271" s="137"/>
      <c r="K271" s="138">
        <f>IF(A271&gt;$B$15,IF(I271&gt;Helper_calcs!$B$27,23,3),0)</f>
        <v>0</v>
      </c>
      <c r="L271" s="139">
        <f t="shared" si="26"/>
        <v>0</v>
      </c>
      <c r="M271" s="139">
        <f t="shared" si="29"/>
        <v>0</v>
      </c>
      <c r="N271" s="137">
        <f t="shared" si="30"/>
        <v>3.2999999999999732</v>
      </c>
      <c r="O271" s="137">
        <f t="shared" si="31"/>
        <v>5</v>
      </c>
      <c r="P271" s="140">
        <f>IF(OR(M271=0,M271=3),loop_gain!$B$18,IF(Current_limit!M271=1,Current_limit!$B$12/(2*(Current_limit!N271-Helper_calcs!$B$27)),IF(OR(M271=2,M271=23),(Main!$B$19-Current_limit!O271)*Current_limit!O271/(Main!$B$19*loop_gain!$B$17*(Helper_calcs!$B$26-Helper_calcs!$B$27)),x)))</f>
        <v>400000</v>
      </c>
      <c r="Q271" s="137"/>
    </row>
    <row r="272" spans="1:17" x14ac:dyDescent="0.25">
      <c r="A272">
        <f t="shared" si="32"/>
        <v>3.309999999999973</v>
      </c>
      <c r="B272">
        <f>Main!$B$20/A272</f>
        <v>1.5105740181269005</v>
      </c>
      <c r="D272" s="137">
        <f t="shared" si="25"/>
        <v>1.5105740181269005</v>
      </c>
      <c r="E272" s="137">
        <f>-B272*Main!$B$19-2*Main!$B$19*loop_gain!$B$17*loop_gain!$B$18</f>
        <v>-83.406888217522791</v>
      </c>
      <c r="F272" s="137">
        <f>2*Main!$B$19*loop_gain!$B$17*loop_gain!$B$18*Helper_calcs!$B$26*Current_limit!B272</f>
        <v>379.64954682779756</v>
      </c>
      <c r="G272" s="137">
        <f t="shared" si="27"/>
        <v>5.0055563169829957</v>
      </c>
      <c r="H272" s="137">
        <f>(Main!$B$19-Current_limit!G272)*Current_limit!G272/(Main!$B$19*loop_gain!$B$17*loop_gain!$B$18)</f>
        <v>1.0726434363145705</v>
      </c>
      <c r="I272" s="137">
        <f t="shared" si="28"/>
        <v>2.7773565636854309</v>
      </c>
      <c r="J272" s="137"/>
      <c r="K272" s="138">
        <f>IF(A272&gt;$B$15,IF(I272&gt;Helper_calcs!$B$27,23,3),0)</f>
        <v>0</v>
      </c>
      <c r="L272" s="139">
        <f t="shared" si="26"/>
        <v>0</v>
      </c>
      <c r="M272" s="139">
        <f t="shared" si="29"/>
        <v>0</v>
      </c>
      <c r="N272" s="137">
        <f t="shared" si="30"/>
        <v>3.309999999999973</v>
      </c>
      <c r="O272" s="137">
        <f t="shared" si="31"/>
        <v>5</v>
      </c>
      <c r="P272" s="140">
        <f>IF(OR(M272=0,M272=3),loop_gain!$B$18,IF(Current_limit!M272=1,Current_limit!$B$12/(2*(Current_limit!N272-Helper_calcs!$B$27)),IF(OR(M272=2,M272=23),(Main!$B$19-Current_limit!O272)*Current_limit!O272/(Main!$B$19*loop_gain!$B$17*(Helper_calcs!$B$26-Helper_calcs!$B$27)),x)))</f>
        <v>400000</v>
      </c>
      <c r="Q272" s="137"/>
    </row>
    <row r="273" spans="1:17" x14ac:dyDescent="0.25">
      <c r="A273">
        <f t="shared" si="32"/>
        <v>3.3199999999999728</v>
      </c>
      <c r="B273">
        <f>Main!$B$20/A273</f>
        <v>1.5060240963855545</v>
      </c>
      <c r="D273" s="137">
        <f t="shared" si="25"/>
        <v>1.5060240963855545</v>
      </c>
      <c r="E273" s="137">
        <f>-B273*Main!$B$19-2*Main!$B$19*loop_gain!$B$17*loop_gain!$B$18</f>
        <v>-83.35228915662664</v>
      </c>
      <c r="F273" s="137">
        <f>2*Main!$B$19*loop_gain!$B$17*loop_gain!$B$18*Helper_calcs!$B$26*Current_limit!B273</f>
        <v>378.50602409638856</v>
      </c>
      <c r="G273" s="137">
        <f t="shared" si="27"/>
        <v>4.9911453644467345</v>
      </c>
      <c r="H273" s="137">
        <f>(Main!$B$19-Current_limit!G273)*Current_limit!G273/(Main!$B$19*loop_gain!$B$17*loop_gain!$B$18)</f>
        <v>1.0717589560147884</v>
      </c>
      <c r="I273" s="137">
        <f t="shared" si="28"/>
        <v>2.7782410439852105</v>
      </c>
      <c r="J273" s="137"/>
      <c r="K273" s="138">
        <f>IF(A273&gt;$B$15,IF(I273&gt;Helper_calcs!$B$27,23,3),0)</f>
        <v>3</v>
      </c>
      <c r="L273" s="139">
        <f t="shared" si="26"/>
        <v>0</v>
      </c>
      <c r="M273" s="139">
        <f t="shared" si="29"/>
        <v>3</v>
      </c>
      <c r="N273" s="137">
        <f t="shared" si="30"/>
        <v>3.3141205219926047</v>
      </c>
      <c r="O273" s="137">
        <f t="shared" si="31"/>
        <v>4.9911453644467345</v>
      </c>
      <c r="P273" s="140">
        <f>IF(OR(M273=0,M273=3),loop_gain!$B$18,IF(Current_limit!M273=1,Current_limit!$B$12/(2*(Current_limit!N273-Helper_calcs!$B$27)),IF(OR(M273=2,M273=23),(Main!$B$19-Current_limit!O273)*Current_limit!O273/(Main!$B$19*loop_gain!$B$17*(Helper_calcs!$B$26-Helper_calcs!$B$27)),x)))</f>
        <v>400000</v>
      </c>
      <c r="Q273" s="137"/>
    </row>
    <row r="274" spans="1:17" x14ac:dyDescent="0.25">
      <c r="A274">
        <f t="shared" si="32"/>
        <v>3.3299999999999725</v>
      </c>
      <c r="B274">
        <f>Main!$B$20/A274</f>
        <v>1.5015015015015138</v>
      </c>
      <c r="D274" s="137">
        <f t="shared" si="25"/>
        <v>1.5015015015015138</v>
      </c>
      <c r="E274" s="137">
        <f>-B274*Main!$B$19-2*Main!$B$19*loop_gain!$B$17*loop_gain!$B$18</f>
        <v>-83.298018018018155</v>
      </c>
      <c r="F274" s="137">
        <f>2*Main!$B$19*loop_gain!$B$17*loop_gain!$B$18*Helper_calcs!$B$26*Current_limit!B274</f>
        <v>377.36936936937241</v>
      </c>
      <c r="G274" s="137">
        <f t="shared" si="27"/>
        <v>4.976826197303164</v>
      </c>
      <c r="H274" s="137">
        <f>(Main!$B$19-Current_limit!G274)*Current_limit!G274/(Main!$B$19*loop_gain!$B$17*loop_gain!$B$18)</f>
        <v>1.0708675051922458</v>
      </c>
      <c r="I274" s="137">
        <f t="shared" si="28"/>
        <v>2.7791324948077571</v>
      </c>
      <c r="J274" s="137"/>
      <c r="K274" s="138">
        <f>IF(A274&gt;$B$15,IF(I274&gt;Helper_calcs!$B$27,23,3),0)</f>
        <v>3</v>
      </c>
      <c r="L274" s="139">
        <f t="shared" si="26"/>
        <v>0</v>
      </c>
      <c r="M274" s="139">
        <f t="shared" si="29"/>
        <v>3</v>
      </c>
      <c r="N274" s="137">
        <f t="shared" si="30"/>
        <v>3.3145662474038802</v>
      </c>
      <c r="O274" s="137">
        <f t="shared" si="31"/>
        <v>4.976826197303164</v>
      </c>
      <c r="P274" s="140">
        <f>IF(OR(M274=0,M274=3),loop_gain!$B$18,IF(Current_limit!M274=1,Current_limit!$B$12/(2*(Current_limit!N274-Helper_calcs!$B$27)),IF(OR(M274=2,M274=23),(Main!$B$19-Current_limit!O274)*Current_limit!O274/(Main!$B$19*loop_gain!$B$17*(Helper_calcs!$B$26-Helper_calcs!$B$27)),x)))</f>
        <v>400000</v>
      </c>
      <c r="Q274" s="137"/>
    </row>
    <row r="275" spans="1:17" x14ac:dyDescent="0.25">
      <c r="A275">
        <f t="shared" si="32"/>
        <v>3.3399999999999723</v>
      </c>
      <c r="B275">
        <f>Main!$B$20/A275</f>
        <v>1.4970059880239646</v>
      </c>
      <c r="D275" s="137">
        <f t="shared" si="25"/>
        <v>1.4970059880239646</v>
      </c>
      <c r="E275" s="137">
        <f>-B275*Main!$B$19-2*Main!$B$19*loop_gain!$B$17*loop_gain!$B$18</f>
        <v>-83.244071856287562</v>
      </c>
      <c r="F275" s="137">
        <f>2*Main!$B$19*loop_gain!$B$17*loop_gain!$B$18*Helper_calcs!$B$26*Current_limit!B275</f>
        <v>376.23952095808687</v>
      </c>
      <c r="G275" s="137">
        <f t="shared" si="27"/>
        <v>4.9625978559534039</v>
      </c>
      <c r="H275" s="137">
        <f>(Main!$B$19-Current_limit!G275)*Current_limit!G275/(Main!$B$19*loop_gain!$B$17*loop_gain!$B$18)</f>
        <v>1.069969264446309</v>
      </c>
      <c r="I275" s="137">
        <f t="shared" si="28"/>
        <v>2.7800307355536917</v>
      </c>
      <c r="J275" s="137"/>
      <c r="K275" s="138">
        <f>IF(A275&gt;$B$15,IF(I275&gt;Helper_calcs!$B$27,23,3),0)</f>
        <v>3</v>
      </c>
      <c r="L275" s="139">
        <f t="shared" si="26"/>
        <v>0</v>
      </c>
      <c r="M275" s="139">
        <f t="shared" si="29"/>
        <v>3</v>
      </c>
      <c r="N275" s="137">
        <f t="shared" si="30"/>
        <v>3.3150153677768461</v>
      </c>
      <c r="O275" s="137">
        <f t="shared" si="31"/>
        <v>4.9625978559534039</v>
      </c>
      <c r="P275" s="140">
        <f>IF(OR(M275=0,M275=3),loop_gain!$B$18,IF(Current_limit!M275=1,Current_limit!$B$12/(2*(Current_limit!N275-Helper_calcs!$B$27)),IF(OR(M275=2,M275=23),(Main!$B$19-Current_limit!O275)*Current_limit!O275/(Main!$B$19*loop_gain!$B$17*(Helper_calcs!$B$26-Helper_calcs!$B$27)),x)))</f>
        <v>400000</v>
      </c>
      <c r="Q275" s="137"/>
    </row>
    <row r="276" spans="1:17" x14ac:dyDescent="0.25">
      <c r="A276">
        <f t="shared" si="32"/>
        <v>3.3499999999999721</v>
      </c>
      <c r="B276">
        <f>Main!$B$20/A276</f>
        <v>1.4925373134328483</v>
      </c>
      <c r="D276" s="137">
        <f t="shared" si="25"/>
        <v>1.4925373134328483</v>
      </c>
      <c r="E276" s="137">
        <f>-B276*Main!$B$19-2*Main!$B$19*loop_gain!$B$17*loop_gain!$B$18</f>
        <v>-83.190447761194164</v>
      </c>
      <c r="F276" s="137">
        <f>2*Main!$B$19*loop_gain!$B$17*loop_gain!$B$18*Helper_calcs!$B$26*Current_limit!B276</f>
        <v>375.11641791045082</v>
      </c>
      <c r="G276" s="137">
        <f t="shared" si="27"/>
        <v>4.9484593952009899</v>
      </c>
      <c r="H276" s="137">
        <f>(Main!$B$19-Current_limit!G276)*Current_limit!G276/(Main!$B$19*loop_gain!$B$17*loop_gain!$B$18)</f>
        <v>1.0690644104307272</v>
      </c>
      <c r="I276" s="137">
        <f t="shared" si="28"/>
        <v>2.780935589569272</v>
      </c>
      <c r="J276" s="137"/>
      <c r="K276" s="138">
        <f>IF(A276&gt;$B$15,IF(I276&gt;Helper_calcs!$B$27,23,3),0)</f>
        <v>3</v>
      </c>
      <c r="L276" s="139">
        <f t="shared" si="26"/>
        <v>0</v>
      </c>
      <c r="M276" s="139">
        <f t="shared" si="29"/>
        <v>3</v>
      </c>
      <c r="N276" s="137">
        <f t="shared" si="30"/>
        <v>3.3154677947846354</v>
      </c>
      <c r="O276" s="137">
        <f t="shared" si="31"/>
        <v>4.9484593952009899</v>
      </c>
      <c r="P276" s="140">
        <f>IF(OR(M276=0,M276=3),loop_gain!$B$18,IF(Current_limit!M276=1,Current_limit!$B$12/(2*(Current_limit!N276-Helper_calcs!$B$27)),IF(OR(M276=2,M276=23),(Main!$B$19-Current_limit!O276)*Current_limit!O276/(Main!$B$19*loop_gain!$B$17*(Helper_calcs!$B$26-Helper_calcs!$B$27)),x)))</f>
        <v>400000</v>
      </c>
      <c r="Q276" s="137"/>
    </row>
    <row r="277" spans="1:17" x14ac:dyDescent="0.25">
      <c r="A277">
        <f t="shared" si="32"/>
        <v>3.3599999999999719</v>
      </c>
      <c r="B277">
        <f>Main!$B$20/A277</f>
        <v>1.4880952380952506</v>
      </c>
      <c r="D277" s="137">
        <f t="shared" si="25"/>
        <v>1.4880952380952506</v>
      </c>
      <c r="E277" s="137">
        <f>-B277*Main!$B$19-2*Main!$B$19*loop_gain!$B$17*loop_gain!$B$18</f>
        <v>-83.13714285714299</v>
      </c>
      <c r="F277" s="137">
        <f>2*Main!$B$19*loop_gain!$B$17*loop_gain!$B$18*Helper_calcs!$B$26*Current_limit!B277</f>
        <v>374.00000000000307</v>
      </c>
      <c r="G277" s="137">
        <f t="shared" si="27"/>
        <v>4.9344098839657642</v>
      </c>
      <c r="H277" s="137">
        <f>(Main!$B$19-Current_limit!G277)*Current_limit!G277/(Main!$B$19*loop_gain!$B$17*loop_gain!$B$18)</f>
        <v>1.0681531159500659</v>
      </c>
      <c r="I277" s="137">
        <f t="shared" si="28"/>
        <v>2.7818468840499326</v>
      </c>
      <c r="J277" s="137"/>
      <c r="K277" s="138">
        <f>IF(A277&gt;$B$15,IF(I277&gt;Helper_calcs!$B$27,23,3),0)</f>
        <v>3</v>
      </c>
      <c r="L277" s="139">
        <f t="shared" si="26"/>
        <v>0</v>
      </c>
      <c r="M277" s="139">
        <f t="shared" si="29"/>
        <v>3</v>
      </c>
      <c r="N277" s="137">
        <f t="shared" si="30"/>
        <v>3.3159234420249657</v>
      </c>
      <c r="O277" s="137">
        <f t="shared" si="31"/>
        <v>4.9344098839657642</v>
      </c>
      <c r="P277" s="140">
        <f>IF(OR(M277=0,M277=3),loop_gain!$B$18,IF(Current_limit!M277=1,Current_limit!$B$12/(2*(Current_limit!N277-Helper_calcs!$B$27)),IF(OR(M277=2,M277=23),(Main!$B$19-Current_limit!O277)*Current_limit!O277/(Main!$B$19*loop_gain!$B$17*(Helper_calcs!$B$26-Helper_calcs!$B$27)),x)))</f>
        <v>400000</v>
      </c>
      <c r="Q277" s="137"/>
    </row>
    <row r="278" spans="1:17" x14ac:dyDescent="0.25">
      <c r="A278">
        <f t="shared" si="32"/>
        <v>3.3699999999999717</v>
      </c>
      <c r="B278">
        <f>Main!$B$20/A278</f>
        <v>1.4836795252225643</v>
      </c>
      <c r="D278" s="137">
        <f t="shared" si="25"/>
        <v>1.4836795252225643</v>
      </c>
      <c r="E278" s="137">
        <f>-B278*Main!$B$19-2*Main!$B$19*loop_gain!$B$17*loop_gain!$B$18</f>
        <v>-83.084154302670754</v>
      </c>
      <c r="F278" s="137">
        <f>2*Main!$B$19*loop_gain!$B$17*loop_gain!$B$18*Helper_calcs!$B$26*Current_limit!B278</f>
        <v>372.89020771513657</v>
      </c>
      <c r="G278" s="137">
        <f t="shared" si="27"/>
        <v>4.9204484050049242</v>
      </c>
      <c r="H278" s="137">
        <f>(Main!$B$19-Current_limit!G278)*Current_limit!G278/(Main!$B$19*loop_gain!$B$17*loop_gain!$B$18)</f>
        <v>1.067235550053419</v>
      </c>
      <c r="I278" s="137">
        <f t="shared" si="28"/>
        <v>2.7827644499465816</v>
      </c>
      <c r="J278" s="137"/>
      <c r="K278" s="138">
        <f>IF(A278&gt;$B$15,IF(I278&gt;Helper_calcs!$B$27,23,3),0)</f>
        <v>3</v>
      </c>
      <c r="L278" s="139">
        <f t="shared" si="26"/>
        <v>0</v>
      </c>
      <c r="M278" s="139">
        <f t="shared" si="29"/>
        <v>3</v>
      </c>
      <c r="N278" s="137">
        <f t="shared" si="30"/>
        <v>3.316382224973291</v>
      </c>
      <c r="O278" s="137">
        <f t="shared" si="31"/>
        <v>4.9204484050049242</v>
      </c>
      <c r="P278" s="140">
        <f>IF(OR(M278=0,M278=3),loop_gain!$B$18,IF(Current_limit!M278=1,Current_limit!$B$12/(2*(Current_limit!N278-Helper_calcs!$B$27)),IF(OR(M278=2,M278=23),(Main!$B$19-Current_limit!O278)*Current_limit!O278/(Main!$B$19*loop_gain!$B$17*(Helper_calcs!$B$26-Helper_calcs!$B$27)),x)))</f>
        <v>400000</v>
      </c>
      <c r="Q278" s="137"/>
    </row>
    <row r="279" spans="1:17" x14ac:dyDescent="0.25">
      <c r="A279">
        <f t="shared" si="32"/>
        <v>3.3799999999999715</v>
      </c>
      <c r="B279">
        <f>Main!$B$20/A279</f>
        <v>1.4792899408284148</v>
      </c>
      <c r="D279" s="137">
        <f t="shared" ref="D279:D342" si="33">B279</f>
        <v>1.4792899408284148</v>
      </c>
      <c r="E279" s="137">
        <f>-B279*Main!$B$19-2*Main!$B$19*loop_gain!$B$17*loop_gain!$B$18</f>
        <v>-83.031479289940961</v>
      </c>
      <c r="F279" s="137">
        <f>2*Main!$B$19*loop_gain!$B$17*loop_gain!$B$18*Helper_calcs!$B$26*Current_limit!B279</f>
        <v>371.78698224852377</v>
      </c>
      <c r="G279" s="137">
        <f t="shared" si="27"/>
        <v>4.9065740546409566</v>
      </c>
      <c r="H279" s="137">
        <f>(Main!$B$19-Current_limit!G279)*Current_limit!G279/(Main!$B$19*loop_gain!$B$17*loop_gain!$B$18)</f>
        <v>1.0663118781254808</v>
      </c>
      <c r="I279" s="137">
        <f t="shared" si="28"/>
        <v>2.7836881218745186</v>
      </c>
      <c r="J279" s="137"/>
      <c r="K279" s="138">
        <f>IF(A279&gt;$B$15,IF(I279&gt;Helper_calcs!$B$27,23,3),0)</f>
        <v>3</v>
      </c>
      <c r="L279" s="139">
        <f t="shared" ref="L279:L342" si="34">IF(A279&gt;$B$13,IF(A279&gt;$B$14,2,1),0)</f>
        <v>0</v>
      </c>
      <c r="M279" s="139">
        <f t="shared" si="29"/>
        <v>3</v>
      </c>
      <c r="N279" s="137">
        <f t="shared" si="30"/>
        <v>3.3168440609372589</v>
      </c>
      <c r="O279" s="137">
        <f t="shared" si="31"/>
        <v>4.9065740546409566</v>
      </c>
      <c r="P279" s="140">
        <f>IF(OR(M279=0,M279=3),loop_gain!$B$18,IF(Current_limit!M279=1,Current_limit!$B$12/(2*(Current_limit!N279-Helper_calcs!$B$27)),IF(OR(M279=2,M279=23),(Main!$B$19-Current_limit!O279)*Current_limit!O279/(Main!$B$19*loop_gain!$B$17*(Helper_calcs!$B$26-Helper_calcs!$B$27)),x)))</f>
        <v>400000</v>
      </c>
      <c r="Q279" s="137"/>
    </row>
    <row r="280" spans="1:17" x14ac:dyDescent="0.25">
      <c r="A280">
        <f t="shared" si="32"/>
        <v>3.3899999999999713</v>
      </c>
      <c r="B280">
        <f>Main!$B$20/A280</f>
        <v>1.4749262536873282</v>
      </c>
      <c r="D280" s="137">
        <f t="shared" si="33"/>
        <v>1.4749262536873282</v>
      </c>
      <c r="E280" s="137">
        <f>-B280*Main!$B$19-2*Main!$B$19*loop_gain!$B$17*loop_gain!$B$18</f>
        <v>-82.979115044247919</v>
      </c>
      <c r="F280" s="137">
        <f>2*Main!$B$19*loop_gain!$B$17*loop_gain!$B$18*Helper_calcs!$B$26*Current_limit!B280</f>
        <v>370.69026548672872</v>
      </c>
      <c r="G280" s="137">
        <f t="shared" ref="G280:G343" si="35">(-E280-SQRT(E280^2-4*D280*F280))/(2*D280)</f>
        <v>4.8927859424963041</v>
      </c>
      <c r="H280" s="137">
        <f>(Main!$B$19-Current_limit!G280)*Current_limit!G280/(Main!$B$19*loop_gain!$B$17*loop_gain!$B$18)</f>
        <v>1.0653822619750677</v>
      </c>
      <c r="I280" s="137">
        <f t="shared" ref="I280:I343" si="36">(G280/B280)-0.5*H280</f>
        <v>2.7846177380249317</v>
      </c>
      <c r="J280" s="137"/>
      <c r="K280" s="138">
        <f>IF(A280&gt;$B$15,IF(I280&gt;Helper_calcs!$B$27,23,3),0)</f>
        <v>3</v>
      </c>
      <c r="L280" s="139">
        <f t="shared" si="34"/>
        <v>0</v>
      </c>
      <c r="M280" s="139">
        <f t="shared" ref="M280:M343" si="37">IF($B$16="N",L280,K280)</f>
        <v>3</v>
      </c>
      <c r="N280" s="137">
        <f t="shared" ref="N280:N343" si="38">IF(OR(M280=0,M280=1),A280,IF(OR(M280=2,M280=23),$B$14,G280/B280))</f>
        <v>3.3173088690124657</v>
      </c>
      <c r="O280" s="137">
        <f t="shared" ref="O280:O343" si="39">N280*B280</f>
        <v>4.8927859424963041</v>
      </c>
      <c r="P280" s="140">
        <f>IF(OR(M280=0,M280=3),loop_gain!$B$18,IF(Current_limit!M280=1,Current_limit!$B$12/(2*(Current_limit!N280-Helper_calcs!$B$27)),IF(OR(M280=2,M280=23),(Main!$B$19-Current_limit!O280)*Current_limit!O280/(Main!$B$19*loop_gain!$B$17*(Helper_calcs!$B$26-Helper_calcs!$B$27)),x)))</f>
        <v>400000</v>
      </c>
      <c r="Q280" s="137"/>
    </row>
    <row r="281" spans="1:17" x14ac:dyDescent="0.25">
      <c r="A281">
        <f t="shared" si="32"/>
        <v>3.399999999999971</v>
      </c>
      <c r="B281">
        <f>Main!$B$20/A281</f>
        <v>1.4705882352941302</v>
      </c>
      <c r="D281" s="137">
        <f t="shared" si="33"/>
        <v>1.4705882352941302</v>
      </c>
      <c r="E281" s="137">
        <f>-B281*Main!$B$19-2*Main!$B$19*loop_gain!$B$17*loop_gain!$B$18</f>
        <v>-82.927058823529549</v>
      </c>
      <c r="F281" s="137">
        <f>2*Main!$B$19*loop_gain!$B$17*loop_gain!$B$18*Helper_calcs!$B$26*Current_limit!B281</f>
        <v>369.60000000000309</v>
      </c>
      <c r="G281" s="137">
        <f t="shared" si="35"/>
        <v>4.8790831912344768</v>
      </c>
      <c r="H281" s="137">
        <f>(Main!$B$19-Current_limit!G281)*Current_limit!G281/(Main!$B$19*loop_gain!$B$17*loop_gain!$B$18)</f>
        <v>1.0644468599211681</v>
      </c>
      <c r="I281" s="137">
        <f t="shared" si="36"/>
        <v>2.7855531400788318</v>
      </c>
      <c r="J281" s="137"/>
      <c r="K281" s="138">
        <f>IF(A281&gt;$B$15,IF(I281&gt;Helper_calcs!$B$27,23,3),0)</f>
        <v>3</v>
      </c>
      <c r="L281" s="139">
        <f t="shared" si="34"/>
        <v>0</v>
      </c>
      <c r="M281" s="139">
        <f t="shared" si="37"/>
        <v>3</v>
      </c>
      <c r="N281" s="137">
        <f t="shared" si="38"/>
        <v>3.317776570039416</v>
      </c>
      <c r="O281" s="137">
        <f t="shared" si="39"/>
        <v>4.8790831912344768</v>
      </c>
      <c r="P281" s="140">
        <f>IF(OR(M281=0,M281=3),loop_gain!$B$18,IF(Current_limit!M281=1,Current_limit!$B$12/(2*(Current_limit!N281-Helper_calcs!$B$27)),IF(OR(M281=2,M281=23),(Main!$B$19-Current_limit!O281)*Current_limit!O281/(Main!$B$19*loop_gain!$B$17*(Helper_calcs!$B$26-Helper_calcs!$B$27)),x)))</f>
        <v>400000</v>
      </c>
      <c r="Q281" s="137"/>
    </row>
    <row r="282" spans="1:17" x14ac:dyDescent="0.25">
      <c r="A282">
        <f t="shared" si="32"/>
        <v>3.4099999999999708</v>
      </c>
      <c r="B282">
        <f>Main!$B$20/A282</f>
        <v>1.4662756598240594</v>
      </c>
      <c r="D282" s="137">
        <f t="shared" si="33"/>
        <v>1.4662756598240594</v>
      </c>
      <c r="E282" s="137">
        <f>-B282*Main!$B$19-2*Main!$B$19*loop_gain!$B$17*loop_gain!$B$18</f>
        <v>-82.875307917888705</v>
      </c>
      <c r="F282" s="137">
        <f>2*Main!$B$19*loop_gain!$B$17*loop_gain!$B$18*Helper_calcs!$B$26*Current_limit!B282</f>
        <v>368.51612903226112</v>
      </c>
      <c r="G282" s="137">
        <f t="shared" si="35"/>
        <v>4.865464936307518</v>
      </c>
      <c r="H282" s="137">
        <f>(Main!$B$19-Current_limit!G282)*Current_limit!G282/(Main!$B$19*loop_gain!$B$17*loop_gain!$B$18)</f>
        <v>1.0635058268766024</v>
      </c>
      <c r="I282" s="137">
        <f t="shared" si="36"/>
        <v>2.7864941731233976</v>
      </c>
      <c r="J282" s="137"/>
      <c r="K282" s="138">
        <f>IF(A282&gt;$B$15,IF(I282&gt;Helper_calcs!$B$27,23,3),0)</f>
        <v>3</v>
      </c>
      <c r="L282" s="139">
        <f t="shared" si="34"/>
        <v>0</v>
      </c>
      <c r="M282" s="139">
        <f t="shared" si="37"/>
        <v>3</v>
      </c>
      <c r="N282" s="137">
        <f t="shared" si="38"/>
        <v>3.3182470865616991</v>
      </c>
      <c r="O282" s="137">
        <f t="shared" si="39"/>
        <v>4.865464936307518</v>
      </c>
      <c r="P282" s="140">
        <f>IF(OR(M282=0,M282=3),loop_gain!$B$18,IF(Current_limit!M282=1,Current_limit!$B$12/(2*(Current_limit!N282-Helper_calcs!$B$27)),IF(OR(M282=2,M282=23),(Main!$B$19-Current_limit!O282)*Current_limit!O282/(Main!$B$19*loop_gain!$B$17*(Helper_calcs!$B$26-Helper_calcs!$B$27)),x)))</f>
        <v>400000</v>
      </c>
      <c r="Q282" s="137"/>
    </row>
    <row r="283" spans="1:17" x14ac:dyDescent="0.25">
      <c r="A283">
        <f t="shared" si="32"/>
        <v>3.4199999999999706</v>
      </c>
      <c r="B283">
        <f>Main!$B$20/A283</f>
        <v>1.4619883040935797</v>
      </c>
      <c r="D283" s="137">
        <f t="shared" si="33"/>
        <v>1.4619883040935797</v>
      </c>
      <c r="E283" s="137">
        <f>-B283*Main!$B$19-2*Main!$B$19*loop_gain!$B$17*loop_gain!$B$18</f>
        <v>-82.823859649122937</v>
      </c>
      <c r="F283" s="137">
        <f>2*Main!$B$19*loop_gain!$B$17*loop_gain!$B$18*Helper_calcs!$B$26*Current_limit!B283</f>
        <v>367.43859649123112</v>
      </c>
      <c r="G283" s="137">
        <f t="shared" si="35"/>
        <v>4.8519303257095663</v>
      </c>
      <c r="H283" s="137">
        <f>(Main!$B$19-Current_limit!G283)*Current_limit!G283/(Main!$B$19*loop_gain!$B$17*loop_gain!$B$18)</f>
        <v>1.062559314429371</v>
      </c>
      <c r="I283" s="137">
        <f t="shared" si="36"/>
        <v>2.7874406855706297</v>
      </c>
      <c r="J283" s="137"/>
      <c r="K283" s="138">
        <f>IF(A283&gt;$B$15,IF(I283&gt;Helper_calcs!$B$27,23,3),0)</f>
        <v>3</v>
      </c>
      <c r="L283" s="139">
        <f t="shared" si="34"/>
        <v>0</v>
      </c>
      <c r="M283" s="139">
        <f t="shared" si="37"/>
        <v>3</v>
      </c>
      <c r="N283" s="137">
        <f t="shared" si="38"/>
        <v>3.3187203427853151</v>
      </c>
      <c r="O283" s="137">
        <f t="shared" si="39"/>
        <v>4.8519303257095663</v>
      </c>
      <c r="P283" s="140">
        <f>IF(OR(M283=0,M283=3),loop_gain!$B$18,IF(Current_limit!M283=1,Current_limit!$B$12/(2*(Current_limit!N283-Helper_calcs!$B$27)),IF(OR(M283=2,M283=23),(Main!$B$19-Current_limit!O283)*Current_limit!O283/(Main!$B$19*loop_gain!$B$17*(Helper_calcs!$B$26-Helper_calcs!$B$27)),x)))</f>
        <v>400000</v>
      </c>
      <c r="Q283" s="137"/>
    </row>
    <row r="284" spans="1:17" x14ac:dyDescent="0.25">
      <c r="A284">
        <f t="shared" si="32"/>
        <v>3.4299999999999704</v>
      </c>
      <c r="B284">
        <f>Main!$B$20/A284</f>
        <v>1.4577259475218785</v>
      </c>
      <c r="D284" s="137">
        <f t="shared" si="33"/>
        <v>1.4577259475218785</v>
      </c>
      <c r="E284" s="137">
        <f>-B284*Main!$B$19-2*Main!$B$19*loop_gain!$B$17*loop_gain!$B$18</f>
        <v>-82.772711370262527</v>
      </c>
      <c r="F284" s="137">
        <f>2*Main!$B$19*loop_gain!$B$17*loop_gain!$B$18*Helper_calcs!$B$26*Current_limit!B284</f>
        <v>366.36734693877861</v>
      </c>
      <c r="G284" s="137">
        <f t="shared" si="35"/>
        <v>4.8384785197363689</v>
      </c>
      <c r="H284" s="137">
        <f>(Main!$B$19-Current_limit!G284)*Current_limit!G284/(Main!$B$19*loop_gain!$B$17*loop_gain!$B$18)</f>
        <v>1.0616074709217584</v>
      </c>
      <c r="I284" s="137">
        <f t="shared" si="36"/>
        <v>2.7883925290782416</v>
      </c>
      <c r="J284" s="137"/>
      <c r="K284" s="138">
        <f>IF(A284&gt;$B$15,IF(I284&gt;Helper_calcs!$B$27,23,3),0)</f>
        <v>3</v>
      </c>
      <c r="L284" s="139">
        <f t="shared" si="34"/>
        <v>0</v>
      </c>
      <c r="M284" s="139">
        <f t="shared" si="37"/>
        <v>3</v>
      </c>
      <c r="N284" s="137">
        <f t="shared" si="38"/>
        <v>3.3191962645391206</v>
      </c>
      <c r="O284" s="137">
        <f t="shared" si="39"/>
        <v>4.8384785197363689</v>
      </c>
      <c r="P284" s="140">
        <f>IF(OR(M284=0,M284=3),loop_gain!$B$18,IF(Current_limit!M284=1,Current_limit!$B$12/(2*(Current_limit!N284-Helper_calcs!$B$27)),IF(OR(M284=2,M284=23),(Main!$B$19-Current_limit!O284)*Current_limit!O284/(Main!$B$19*loop_gain!$B$17*(Helper_calcs!$B$26-Helper_calcs!$B$27)),x)))</f>
        <v>400000</v>
      </c>
      <c r="Q284" s="137"/>
    </row>
    <row r="285" spans="1:17" x14ac:dyDescent="0.25">
      <c r="A285">
        <f t="shared" si="32"/>
        <v>3.4399999999999702</v>
      </c>
      <c r="B285">
        <f>Main!$B$20/A285</f>
        <v>1.4534883720930358</v>
      </c>
      <c r="D285" s="137">
        <f t="shared" si="33"/>
        <v>1.4534883720930358</v>
      </c>
      <c r="E285" s="137">
        <f>-B285*Main!$B$19-2*Main!$B$19*loop_gain!$B$17*loop_gain!$B$18</f>
        <v>-82.721860465116421</v>
      </c>
      <c r="F285" s="137">
        <f>2*Main!$B$19*loop_gain!$B$17*loop_gain!$B$18*Helper_calcs!$B$26*Current_limit!B285</f>
        <v>365.30232558139841</v>
      </c>
      <c r="G285" s="137">
        <f t="shared" si="35"/>
        <v>4.8251086907505716</v>
      </c>
      <c r="H285" s="137">
        <f>(Main!$B$19-Current_limit!G285)*Current_limit!G285/(Main!$B$19*loop_gain!$B$17*loop_gain!$B$18)</f>
        <v>1.0606504415272724</v>
      </c>
      <c r="I285" s="137">
        <f t="shared" si="36"/>
        <v>2.7893495584727281</v>
      </c>
      <c r="J285" s="137"/>
      <c r="K285" s="138">
        <f>IF(A285&gt;$B$15,IF(I285&gt;Helper_calcs!$B$27,23,3),0)</f>
        <v>3</v>
      </c>
      <c r="L285" s="139">
        <f t="shared" si="34"/>
        <v>2</v>
      </c>
      <c r="M285" s="139">
        <f t="shared" si="37"/>
        <v>3</v>
      </c>
      <c r="N285" s="137">
        <f t="shared" si="38"/>
        <v>3.3196747792363643</v>
      </c>
      <c r="O285" s="137">
        <f t="shared" si="39"/>
        <v>4.8251086907505716</v>
      </c>
      <c r="P285" s="140">
        <f>IF(OR(M285=0,M285=3),loop_gain!$B$18,IF(Current_limit!M285=1,Current_limit!$B$12/(2*(Current_limit!N285-Helper_calcs!$B$27)),IF(OR(M285=2,M285=23),(Main!$B$19-Current_limit!O285)*Current_limit!O285/(Main!$B$19*loop_gain!$B$17*(Helper_calcs!$B$26-Helper_calcs!$B$27)),x)))</f>
        <v>400000</v>
      </c>
      <c r="Q285" s="137"/>
    </row>
    <row r="286" spans="1:17" x14ac:dyDescent="0.25">
      <c r="A286">
        <f t="shared" si="32"/>
        <v>3.44999999999997</v>
      </c>
      <c r="B286">
        <f>Main!$B$20/A286</f>
        <v>1.4492753623188532</v>
      </c>
      <c r="D286" s="137">
        <f t="shared" si="33"/>
        <v>1.4492753623188532</v>
      </c>
      <c r="E286" s="137">
        <f>-B286*Main!$B$19-2*Main!$B$19*loop_gain!$B$17*loop_gain!$B$18</f>
        <v>-82.671304347826222</v>
      </c>
      <c r="F286" s="137">
        <f>2*Main!$B$19*loop_gain!$B$17*loop_gain!$B$18*Helper_calcs!$B$26*Current_limit!B286</f>
        <v>364.24347826087268</v>
      </c>
      <c r="G286" s="137">
        <f t="shared" si="35"/>
        <v>4.8118200229525954</v>
      </c>
      <c r="H286" s="137">
        <f>(Main!$B$19-Current_limit!G286)*Current_limit!G286/(Main!$B$19*loop_gain!$B$17*loop_gain!$B$18)</f>
        <v>1.059688368325479</v>
      </c>
      <c r="I286" s="137">
        <f t="shared" si="36"/>
        <v>2.7903116316745225</v>
      </c>
      <c r="J286" s="137"/>
      <c r="K286" s="138">
        <f>IF(A286&gt;$B$15,IF(I286&gt;Helper_calcs!$B$27,23,3),0)</f>
        <v>3</v>
      </c>
      <c r="L286" s="139">
        <f t="shared" si="34"/>
        <v>2</v>
      </c>
      <c r="M286" s="139">
        <f t="shared" si="37"/>
        <v>3</v>
      </c>
      <c r="N286" s="137">
        <f t="shared" si="38"/>
        <v>3.3201558158372619</v>
      </c>
      <c r="O286" s="137">
        <f t="shared" si="39"/>
        <v>4.8118200229525954</v>
      </c>
      <c r="P286" s="140">
        <f>IF(OR(M286=0,M286=3),loop_gain!$B$18,IF(Current_limit!M286=1,Current_limit!$B$12/(2*(Current_limit!N286-Helper_calcs!$B$27)),IF(OR(M286=2,M286=23),(Main!$B$19-Current_limit!O286)*Current_limit!O286/(Main!$B$19*loop_gain!$B$17*(Helper_calcs!$B$26-Helper_calcs!$B$27)),x)))</f>
        <v>400000</v>
      </c>
      <c r="Q286" s="137"/>
    </row>
    <row r="287" spans="1:17" x14ac:dyDescent="0.25">
      <c r="A287">
        <f t="shared" si="32"/>
        <v>3.4599999999999698</v>
      </c>
      <c r="B287">
        <f>Main!$B$20/A287</f>
        <v>1.4450867052023249</v>
      </c>
      <c r="D287" s="137">
        <f t="shared" si="33"/>
        <v>1.4450867052023249</v>
      </c>
      <c r="E287" s="137">
        <f>-B287*Main!$B$19-2*Main!$B$19*loop_gain!$B$17*loop_gain!$B$18</f>
        <v>-82.621040462427885</v>
      </c>
      <c r="F287" s="137">
        <f>2*Main!$B$19*loop_gain!$B$17*loop_gain!$B$18*Helper_calcs!$B$26*Current_limit!B287</f>
        <v>363.1907514450898</v>
      </c>
      <c r="G287" s="137">
        <f t="shared" si="35"/>
        <v>4.7986117121569754</v>
      </c>
      <c r="H287" s="137">
        <f>(Main!$B$19-Current_limit!G287)*Current_limit!G287/(Main!$B$19*loop_gain!$B$17*loop_gain!$B$18)</f>
        <v>1.0587213903748043</v>
      </c>
      <c r="I287" s="137">
        <f t="shared" si="36"/>
        <v>2.7912786096251958</v>
      </c>
      <c r="J287" s="137"/>
      <c r="K287" s="138">
        <f>IF(A287&gt;$B$15,IF(I287&gt;Helper_calcs!$B$27,23,3),0)</f>
        <v>3</v>
      </c>
      <c r="L287" s="139">
        <f t="shared" si="34"/>
        <v>2</v>
      </c>
      <c r="M287" s="139">
        <f t="shared" si="37"/>
        <v>3</v>
      </c>
      <c r="N287" s="137">
        <f t="shared" si="38"/>
        <v>3.3206393048125977</v>
      </c>
      <c r="O287" s="137">
        <f t="shared" si="39"/>
        <v>4.7986117121569754</v>
      </c>
      <c r="P287" s="140">
        <f>IF(OR(M287=0,M287=3),loop_gain!$B$18,IF(Current_limit!M287=1,Current_limit!$B$12/(2*(Current_limit!N287-Helper_calcs!$B$27)),IF(OR(M287=2,M287=23),(Main!$B$19-Current_limit!O287)*Current_limit!O287/(Main!$B$19*loop_gain!$B$17*(Helper_calcs!$B$26-Helper_calcs!$B$27)),x)))</f>
        <v>400000</v>
      </c>
      <c r="Q287" s="137"/>
    </row>
    <row r="288" spans="1:17" x14ac:dyDescent="0.25">
      <c r="A288">
        <f t="shared" si="32"/>
        <v>3.4699999999999696</v>
      </c>
      <c r="B288">
        <f>Main!$B$20/A288</f>
        <v>1.4409221902017417</v>
      </c>
      <c r="D288" s="137">
        <f t="shared" si="33"/>
        <v>1.4409221902017417</v>
      </c>
      <c r="E288" s="137">
        <f>-B288*Main!$B$19-2*Main!$B$19*loop_gain!$B$17*loop_gain!$B$18</f>
        <v>-82.571066282420887</v>
      </c>
      <c r="F288" s="137">
        <f>2*Main!$B$19*loop_gain!$B$17*loop_gain!$B$18*Helper_calcs!$B$26*Current_limit!B288</f>
        <v>362.14409221902326</v>
      </c>
      <c r="G288" s="137">
        <f t="shared" si="35"/>
        <v>4.7854829655739852</v>
      </c>
      <c r="H288" s="137">
        <f>(Main!$B$19-Current_limit!G288)*Current_limit!G288/(Main!$B$19*loop_gain!$B$17*loop_gain!$B$18)</f>
        <v>1.0577496437833653</v>
      </c>
      <c r="I288" s="137">
        <f t="shared" si="36"/>
        <v>2.7922503562166341</v>
      </c>
      <c r="J288" s="137"/>
      <c r="K288" s="138">
        <f>IF(A288&gt;$B$15,IF(I288&gt;Helper_calcs!$B$27,23,3),0)</f>
        <v>3</v>
      </c>
      <c r="L288" s="139">
        <f t="shared" si="34"/>
        <v>2</v>
      </c>
      <c r="M288" s="139">
        <f t="shared" si="37"/>
        <v>3</v>
      </c>
      <c r="N288" s="137">
        <f t="shared" si="38"/>
        <v>3.3211251781083169</v>
      </c>
      <c r="O288" s="137">
        <f t="shared" si="39"/>
        <v>4.7854829655739852</v>
      </c>
      <c r="P288" s="140">
        <f>IF(OR(M288=0,M288=3),loop_gain!$B$18,IF(Current_limit!M288=1,Current_limit!$B$12/(2*(Current_limit!N288-Helper_calcs!$B$27)),IF(OR(M288=2,M288=23),(Main!$B$19-Current_limit!O288)*Current_limit!O288/(Main!$B$19*loop_gain!$B$17*(Helper_calcs!$B$26-Helper_calcs!$B$27)),x)))</f>
        <v>400000</v>
      </c>
      <c r="Q288" s="137"/>
    </row>
    <row r="289" spans="1:17" x14ac:dyDescent="0.25">
      <c r="A289">
        <f t="shared" ref="A289:A352" si="40">A288+0.01</f>
        <v>3.4799999999999693</v>
      </c>
      <c r="B289">
        <f>Main!$B$20/A289</f>
        <v>1.4367816091954149</v>
      </c>
      <c r="D289" s="137">
        <f t="shared" si="33"/>
        <v>1.4367816091954149</v>
      </c>
      <c r="E289" s="137">
        <f>-B289*Main!$B$19-2*Main!$B$19*loop_gain!$B$17*loop_gain!$B$18</f>
        <v>-82.521379310344969</v>
      </c>
      <c r="F289" s="137">
        <f>2*Main!$B$19*loop_gain!$B$17*loop_gain!$B$18*Helper_calcs!$B$26*Current_limit!B289</f>
        <v>361.10344827586516</v>
      </c>
      <c r="G289" s="137">
        <f t="shared" si="35"/>
        <v>4.7724330015963838</v>
      </c>
      <c r="H289" s="137">
        <f>(Main!$B$19-Current_limit!G289)*Current_limit!G289/(Main!$B$19*loop_gain!$B$17*loop_gain!$B$18)</f>
        <v>1.0567732617778904</v>
      </c>
      <c r="I289" s="137">
        <f t="shared" si="36"/>
        <v>2.793226738222109</v>
      </c>
      <c r="J289" s="137"/>
      <c r="K289" s="138">
        <f>IF(A289&gt;$B$15,IF(I289&gt;Helper_calcs!$B$27,23,3),0)</f>
        <v>3</v>
      </c>
      <c r="L289" s="139">
        <f t="shared" si="34"/>
        <v>2</v>
      </c>
      <c r="M289" s="139">
        <f t="shared" si="37"/>
        <v>3</v>
      </c>
      <c r="N289" s="137">
        <f t="shared" si="38"/>
        <v>3.3216133691110543</v>
      </c>
      <c r="O289" s="137">
        <f t="shared" si="39"/>
        <v>4.7724330015963838</v>
      </c>
      <c r="P289" s="140">
        <f>IF(OR(M289=0,M289=3),loop_gain!$B$18,IF(Current_limit!M289=1,Current_limit!$B$12/(2*(Current_limit!N289-Helper_calcs!$B$27)),IF(OR(M289=2,M289=23),(Main!$B$19-Current_limit!O289)*Current_limit!O289/(Main!$B$19*loop_gain!$B$17*(Helper_calcs!$B$26-Helper_calcs!$B$27)),x)))</f>
        <v>400000</v>
      </c>
      <c r="Q289" s="137"/>
    </row>
    <row r="290" spans="1:17" x14ac:dyDescent="0.25">
      <c r="A290">
        <f t="shared" si="40"/>
        <v>3.4899999999999691</v>
      </c>
      <c r="B290">
        <f>Main!$B$20/A290</f>
        <v>1.4326647564470041</v>
      </c>
      <c r="D290" s="137">
        <f t="shared" si="33"/>
        <v>1.4326647564470041</v>
      </c>
      <c r="E290" s="137">
        <f>-B290*Main!$B$19-2*Main!$B$19*loop_gain!$B$17*loop_gain!$B$18</f>
        <v>-82.471977077364045</v>
      </c>
      <c r="F290" s="137">
        <f>2*Main!$B$19*loop_gain!$B$17*loop_gain!$B$18*Helper_calcs!$B$26*Current_limit!B290</f>
        <v>360.06876790831257</v>
      </c>
      <c r="G290" s="137">
        <f t="shared" si="35"/>
        <v>4.7594610495911658</v>
      </c>
      <c r="H290" s="137">
        <f>(Main!$B$19-Current_limit!G290)*Current_limit!G290/(Main!$B$19*loop_gain!$B$17*loop_gain!$B$18)</f>
        <v>1.0557923747707889</v>
      </c>
      <c r="I290" s="137">
        <f t="shared" si="36"/>
        <v>2.7942076252292098</v>
      </c>
      <c r="J290" s="137"/>
      <c r="K290" s="138">
        <f>IF(A290&gt;$B$15,IF(I290&gt;Helper_calcs!$B$27,23,3),0)</f>
        <v>3</v>
      </c>
      <c r="L290" s="139">
        <f t="shared" si="34"/>
        <v>2</v>
      </c>
      <c r="M290" s="139">
        <f t="shared" si="37"/>
        <v>3</v>
      </c>
      <c r="N290" s="137">
        <f t="shared" si="38"/>
        <v>3.3221038126146043</v>
      </c>
      <c r="O290" s="137">
        <f t="shared" si="39"/>
        <v>4.7594610495911658</v>
      </c>
      <c r="P290" s="140">
        <f>IF(OR(M290=0,M290=3),loop_gain!$B$18,IF(Current_limit!M290=1,Current_limit!$B$12/(2*(Current_limit!N290-Helper_calcs!$B$27)),IF(OR(M290=2,M290=23),(Main!$B$19-Current_limit!O290)*Current_limit!O290/(Main!$B$19*loop_gain!$B$17*(Helper_calcs!$B$26-Helper_calcs!$B$27)),x)))</f>
        <v>400000</v>
      </c>
      <c r="Q290" s="137"/>
    </row>
    <row r="291" spans="1:17" x14ac:dyDescent="0.25">
      <c r="A291">
        <f t="shared" si="40"/>
        <v>3.4999999999999689</v>
      </c>
      <c r="B291">
        <f>Main!$B$20/A291</f>
        <v>1.4285714285714413</v>
      </c>
      <c r="D291" s="137">
        <f t="shared" si="33"/>
        <v>1.4285714285714413</v>
      </c>
      <c r="E291" s="137">
        <f>-B291*Main!$B$19-2*Main!$B$19*loop_gain!$B$17*loop_gain!$B$18</f>
        <v>-82.422857142857282</v>
      </c>
      <c r="F291" s="137">
        <f>2*Main!$B$19*loop_gain!$B$17*loop_gain!$B$18*Helper_calcs!$B$26*Current_limit!B291</f>
        <v>359.04000000000309</v>
      </c>
      <c r="G291" s="137">
        <f t="shared" si="35"/>
        <v>4.7465663496961632</v>
      </c>
      <c r="H291" s="137">
        <f>(Main!$B$19-Current_limit!G291)*Current_limit!G291/(Main!$B$19*loop_gain!$B$17*loop_gain!$B$18)</f>
        <v>1.0548071104254291</v>
      </c>
      <c r="I291" s="137">
        <f t="shared" si="36"/>
        <v>2.7951928895745701</v>
      </c>
      <c r="J291" s="137"/>
      <c r="K291" s="138">
        <f>IF(A291&gt;$B$15,IF(I291&gt;Helper_calcs!$B$27,23,3),0)</f>
        <v>3</v>
      </c>
      <c r="L291" s="139">
        <f t="shared" si="34"/>
        <v>2</v>
      </c>
      <c r="M291" s="139">
        <f t="shared" si="37"/>
        <v>3</v>
      </c>
      <c r="N291" s="137">
        <f t="shared" si="38"/>
        <v>3.3225964447872847</v>
      </c>
      <c r="O291" s="137">
        <f t="shared" si="39"/>
        <v>4.7465663496961632</v>
      </c>
      <c r="P291" s="140">
        <f>IF(OR(M291=0,M291=3),loop_gain!$B$18,IF(Current_limit!M291=1,Current_limit!$B$12/(2*(Current_limit!N291-Helper_calcs!$B$27)),IF(OR(M291=2,M291=23),(Main!$B$19-Current_limit!O291)*Current_limit!O291/(Main!$B$19*loop_gain!$B$17*(Helper_calcs!$B$26-Helper_calcs!$B$27)),x)))</f>
        <v>400000</v>
      </c>
      <c r="Q291" s="137"/>
    </row>
    <row r="292" spans="1:17" x14ac:dyDescent="0.25">
      <c r="A292">
        <f t="shared" si="40"/>
        <v>3.5099999999999687</v>
      </c>
      <c r="B292">
        <f>Main!$B$20/A292</f>
        <v>1.4245014245014371</v>
      </c>
      <c r="D292" s="137">
        <f t="shared" si="33"/>
        <v>1.4245014245014371</v>
      </c>
      <c r="E292" s="137">
        <f>-B292*Main!$B$19-2*Main!$B$19*loop_gain!$B$17*loop_gain!$B$18</f>
        <v>-82.374017094017233</v>
      </c>
      <c r="F292" s="137">
        <f>2*Main!$B$19*loop_gain!$B$17*loop_gain!$B$18*Helper_calcs!$B$26*Current_limit!B292</f>
        <v>358.01709401709712</v>
      </c>
      <c r="G292" s="137">
        <f t="shared" si="35"/>
        <v>4.7337481526213532</v>
      </c>
      <c r="H292" s="137">
        <f>(Main!$B$19-Current_limit!G292)*Current_limit!G292/(Main!$B$19*loop_gain!$B$17*loop_gain!$B$18)</f>
        <v>1.0538175937196743</v>
      </c>
      <c r="I292" s="137">
        <f t="shared" si="36"/>
        <v>2.7961824062803231</v>
      </c>
      <c r="J292" s="137"/>
      <c r="K292" s="138">
        <f>IF(A292&gt;$B$15,IF(I292&gt;Helper_calcs!$B$27,23,3),0)</f>
        <v>3</v>
      </c>
      <c r="L292" s="139">
        <f t="shared" si="34"/>
        <v>2</v>
      </c>
      <c r="M292" s="139">
        <f t="shared" si="37"/>
        <v>3</v>
      </c>
      <c r="N292" s="137">
        <f t="shared" si="38"/>
        <v>3.3230912031401605</v>
      </c>
      <c r="O292" s="137">
        <f t="shared" si="39"/>
        <v>4.7337481526213532</v>
      </c>
      <c r="P292" s="140">
        <f>IF(OR(M292=0,M292=3),loop_gain!$B$18,IF(Current_limit!M292=1,Current_limit!$B$12/(2*(Current_limit!N292-Helper_calcs!$B$27)),IF(OR(M292=2,M292=23),(Main!$B$19-Current_limit!O292)*Current_limit!O292/(Main!$B$19*loop_gain!$B$17*(Helper_calcs!$B$26-Helper_calcs!$B$27)),x)))</f>
        <v>400000</v>
      </c>
      <c r="Q292" s="137"/>
    </row>
    <row r="293" spans="1:17" x14ac:dyDescent="0.25">
      <c r="A293">
        <f t="shared" si="40"/>
        <v>3.5199999999999685</v>
      </c>
      <c r="B293">
        <f>Main!$B$20/A293</f>
        <v>1.4204545454545581</v>
      </c>
      <c r="D293" s="137">
        <f t="shared" si="33"/>
        <v>1.4204545454545581</v>
      </c>
      <c r="E293" s="137">
        <f>-B293*Main!$B$19-2*Main!$B$19*loop_gain!$B$17*loop_gain!$B$18</f>
        <v>-82.325454545454676</v>
      </c>
      <c r="F293" s="137">
        <f>2*Main!$B$19*loop_gain!$B$17*loop_gain!$B$18*Helper_calcs!$B$26*Current_limit!B293</f>
        <v>357.00000000000307</v>
      </c>
      <c r="G293" s="137">
        <f t="shared" si="35"/>
        <v>4.7210057194547748</v>
      </c>
      <c r="H293" s="137">
        <f>(Main!$B$19-Current_limit!G293)*Current_limit!G293/(Main!$B$19*loop_gain!$B$17*loop_gain!$B$18)</f>
        <v>1.0528239470077392</v>
      </c>
      <c r="I293" s="137">
        <f t="shared" si="36"/>
        <v>2.7971760529922625</v>
      </c>
      <c r="J293" s="137"/>
      <c r="K293" s="138">
        <f>IF(A293&gt;$B$15,IF(I293&gt;Helper_calcs!$B$27,23,3),0)</f>
        <v>3</v>
      </c>
      <c r="L293" s="139">
        <f t="shared" si="34"/>
        <v>2</v>
      </c>
      <c r="M293" s="139">
        <f t="shared" si="37"/>
        <v>3</v>
      </c>
      <c r="N293" s="137">
        <f t="shared" si="38"/>
        <v>3.3235880264961319</v>
      </c>
      <c r="O293" s="137">
        <f t="shared" si="39"/>
        <v>4.7210057194547748</v>
      </c>
      <c r="P293" s="140">
        <f>IF(OR(M293=0,M293=3),loop_gain!$B$18,IF(Current_limit!M293=1,Current_limit!$B$12/(2*(Current_limit!N293-Helper_calcs!$B$27)),IF(OR(M293=2,M293=23),(Main!$B$19-Current_limit!O293)*Current_limit!O293/(Main!$B$19*loop_gain!$B$17*(Helper_calcs!$B$26-Helper_calcs!$B$27)),x)))</f>
        <v>400000</v>
      </c>
      <c r="Q293" s="137"/>
    </row>
    <row r="294" spans="1:17" x14ac:dyDescent="0.25">
      <c r="A294">
        <f t="shared" si="40"/>
        <v>3.5299999999999683</v>
      </c>
      <c r="B294">
        <f>Main!$B$20/A294</f>
        <v>1.4164305949008626</v>
      </c>
      <c r="D294" s="137">
        <f t="shared" si="33"/>
        <v>1.4164305949008626</v>
      </c>
      <c r="E294" s="137">
        <f>-B294*Main!$B$19-2*Main!$B$19*loop_gain!$B$17*loop_gain!$B$18</f>
        <v>-82.277167138810341</v>
      </c>
      <c r="F294" s="137">
        <f>2*Main!$B$19*loop_gain!$B$17*loop_gain!$B$18*Helper_calcs!$B$26*Current_limit!B294</f>
        <v>355.98866855524392</v>
      </c>
      <c r="G294" s="137">
        <f t="shared" si="35"/>
        <v>4.7083383214728425</v>
      </c>
      <c r="H294" s="137">
        <f>(Main!$B$19-Current_limit!G294)*Current_limit!G294/(Main!$B$19*loop_gain!$B$17*loop_gain!$B$18)</f>
        <v>1.0518262900804047</v>
      </c>
      <c r="I294" s="137">
        <f t="shared" si="36"/>
        <v>2.7981737099195945</v>
      </c>
      <c r="J294" s="137"/>
      <c r="K294" s="138">
        <f>IF(A294&gt;$B$15,IF(I294&gt;Helper_calcs!$B$27,23,3),0)</f>
        <v>3</v>
      </c>
      <c r="L294" s="139">
        <f t="shared" si="34"/>
        <v>2</v>
      </c>
      <c r="M294" s="139">
        <f t="shared" si="37"/>
        <v>3</v>
      </c>
      <c r="N294" s="137">
        <f t="shared" si="38"/>
        <v>3.3240868549597966</v>
      </c>
      <c r="O294" s="137">
        <f t="shared" si="39"/>
        <v>4.7083383214728425</v>
      </c>
      <c r="P294" s="140">
        <f>IF(OR(M294=0,M294=3),loop_gain!$B$18,IF(Current_limit!M294=1,Current_limit!$B$12/(2*(Current_limit!N294-Helper_calcs!$B$27)),IF(OR(M294=2,M294=23),(Main!$B$19-Current_limit!O294)*Current_limit!O294/(Main!$B$19*loop_gain!$B$17*(Helper_calcs!$B$26-Helper_calcs!$B$27)),x)))</f>
        <v>400000</v>
      </c>
      <c r="Q294" s="137"/>
    </row>
    <row r="295" spans="1:17" x14ac:dyDescent="0.25">
      <c r="A295">
        <f t="shared" si="40"/>
        <v>3.5399999999999681</v>
      </c>
      <c r="B295">
        <f>Main!$B$20/A295</f>
        <v>1.4124293785310862</v>
      </c>
      <c r="D295" s="137">
        <f t="shared" si="33"/>
        <v>1.4124293785310862</v>
      </c>
      <c r="E295" s="137">
        <f>-B295*Main!$B$19-2*Main!$B$19*loop_gain!$B$17*loop_gain!$B$18</f>
        <v>-82.229152542373015</v>
      </c>
      <c r="F295" s="137">
        <f>2*Main!$B$19*loop_gain!$B$17*loop_gain!$B$18*Helper_calcs!$B$26*Current_limit!B295</f>
        <v>354.98305084746073</v>
      </c>
      <c r="G295" s="137">
        <f t="shared" si="35"/>
        <v>4.6957452399550883</v>
      </c>
      <c r="H295" s="137">
        <f>(Main!$B$19-Current_limit!G295)*Current_limit!G295/(Main!$B$19*loop_gain!$B$17*loop_gain!$B$18)</f>
        <v>1.0508247402236581</v>
      </c>
      <c r="I295" s="137">
        <f t="shared" si="36"/>
        <v>2.7991752597763435</v>
      </c>
      <c r="J295" s="137"/>
      <c r="K295" s="138">
        <f>IF(A295&gt;$B$15,IF(I295&gt;Helper_calcs!$B$27,23,3),0)</f>
        <v>3</v>
      </c>
      <c r="L295" s="139">
        <f t="shared" si="34"/>
        <v>2</v>
      </c>
      <c r="M295" s="139">
        <f t="shared" si="37"/>
        <v>3</v>
      </c>
      <c r="N295" s="137">
        <f t="shared" si="38"/>
        <v>3.3245876298881725</v>
      </c>
      <c r="O295" s="137">
        <f t="shared" si="39"/>
        <v>4.6957452399550883</v>
      </c>
      <c r="P295" s="140">
        <f>IF(OR(M295=0,M295=3),loop_gain!$B$18,IF(Current_limit!M295=1,Current_limit!$B$12/(2*(Current_limit!N295-Helper_calcs!$B$27)),IF(OR(M295=2,M295=23),(Main!$B$19-Current_limit!O295)*Current_limit!O295/(Main!$B$19*loop_gain!$B$17*(Helper_calcs!$B$26-Helper_calcs!$B$27)),x)))</f>
        <v>400000</v>
      </c>
      <c r="Q295" s="137"/>
    </row>
    <row r="296" spans="1:17" x14ac:dyDescent="0.25">
      <c r="A296">
        <f t="shared" si="40"/>
        <v>3.5499999999999678</v>
      </c>
      <c r="B296">
        <f>Main!$B$20/A296</f>
        <v>1.4084507042253649</v>
      </c>
      <c r="D296" s="137">
        <f t="shared" si="33"/>
        <v>1.4084507042253649</v>
      </c>
      <c r="E296" s="137">
        <f>-B296*Main!$B$19-2*Main!$B$19*loop_gain!$B$17*loop_gain!$B$18</f>
        <v>-82.181408450704367</v>
      </c>
      <c r="F296" s="137">
        <f>2*Main!$B$19*loop_gain!$B$17*loop_gain!$B$18*Helper_calcs!$B$26*Current_limit!B296</f>
        <v>353.98309859155245</v>
      </c>
      <c r="G296" s="137">
        <f t="shared" si="35"/>
        <v>4.6832257660030123</v>
      </c>
      <c r="H296" s="137">
        <f>(Main!$B$19-Current_limit!G296)*Current_limit!G296/(Main!$B$19*loop_gain!$B$17*loop_gain!$B$18)</f>
        <v>1.049819412275786</v>
      </c>
      <c r="I296" s="137">
        <f t="shared" si="36"/>
        <v>2.8001805877242156</v>
      </c>
      <c r="J296" s="137"/>
      <c r="K296" s="138">
        <f>IF(A296&gt;$B$15,IF(I296&gt;Helper_calcs!$B$27,23,3),0)</f>
        <v>3</v>
      </c>
      <c r="L296" s="139">
        <f t="shared" si="34"/>
        <v>2</v>
      </c>
      <c r="M296" s="139">
        <f t="shared" si="37"/>
        <v>3</v>
      </c>
      <c r="N296" s="137">
        <f t="shared" si="38"/>
        <v>3.3250902938621087</v>
      </c>
      <c r="O296" s="137">
        <f t="shared" si="39"/>
        <v>4.6832257660030123</v>
      </c>
      <c r="P296" s="140">
        <f>IF(OR(M296=0,M296=3),loop_gain!$B$18,IF(Current_limit!M296=1,Current_limit!$B$12/(2*(Current_limit!N296-Helper_calcs!$B$27)),IF(OR(M296=2,M296=23),(Main!$B$19-Current_limit!O296)*Current_limit!O296/(Main!$B$19*loop_gain!$B$17*(Helper_calcs!$B$26-Helper_calcs!$B$27)),x)))</f>
        <v>400000</v>
      </c>
      <c r="Q296" s="137"/>
    </row>
    <row r="297" spans="1:17" x14ac:dyDescent="0.25">
      <c r="A297">
        <f t="shared" si="40"/>
        <v>3.5599999999999676</v>
      </c>
      <c r="B297">
        <f>Main!$B$20/A297</f>
        <v>1.4044943820224847</v>
      </c>
      <c r="D297" s="137">
        <f t="shared" si="33"/>
        <v>1.4044943820224847</v>
      </c>
      <c r="E297" s="137">
        <f>-B297*Main!$B$19-2*Main!$B$19*loop_gain!$B$17*loop_gain!$B$18</f>
        <v>-82.1339325842698</v>
      </c>
      <c r="F297" s="137">
        <f>2*Main!$B$19*loop_gain!$B$17*loop_gain!$B$18*Helper_calcs!$B$26*Current_limit!B297</f>
        <v>352.98876404494695</v>
      </c>
      <c r="G297" s="137">
        <f t="shared" si="35"/>
        <v>4.6707792003631159</v>
      </c>
      <c r="H297" s="137">
        <f>(Main!$B$19-Current_limit!G297)*Current_limit!G297/(Main!$B$19*loop_gain!$B$17*loop_gain!$B$18)</f>
        <v>1.0488104186829867</v>
      </c>
      <c r="I297" s="137">
        <f t="shared" si="36"/>
        <v>2.8011895813170149</v>
      </c>
      <c r="J297" s="137"/>
      <c r="K297" s="138">
        <f>IF(A297&gt;$B$15,IF(I297&gt;Helper_calcs!$B$27,23,3),0)</f>
        <v>3</v>
      </c>
      <c r="L297" s="139">
        <f t="shared" si="34"/>
        <v>2</v>
      </c>
      <c r="M297" s="139">
        <f t="shared" si="37"/>
        <v>3</v>
      </c>
      <c r="N297" s="137">
        <f t="shared" si="38"/>
        <v>3.3255947906585082</v>
      </c>
      <c r="O297" s="137">
        <f t="shared" si="39"/>
        <v>4.6707792003631159</v>
      </c>
      <c r="P297" s="140">
        <f>IF(OR(M297=0,M297=3),loop_gain!$B$18,IF(Current_limit!M297=1,Current_limit!$B$12/(2*(Current_limit!N297-Helper_calcs!$B$27)),IF(OR(M297=2,M297=23),(Main!$B$19-Current_limit!O297)*Current_limit!O297/(Main!$B$19*loop_gain!$B$17*(Helper_calcs!$B$26-Helper_calcs!$B$27)),x)))</f>
        <v>400000</v>
      </c>
      <c r="Q297" s="137"/>
    </row>
    <row r="298" spans="1:17" x14ac:dyDescent="0.25">
      <c r="A298">
        <f t="shared" si="40"/>
        <v>3.5699999999999674</v>
      </c>
      <c r="B298">
        <f>Main!$B$20/A298</f>
        <v>1.4005602240896486</v>
      </c>
      <c r="D298" s="137">
        <f t="shared" si="33"/>
        <v>1.4005602240896486</v>
      </c>
      <c r="E298" s="137">
        <f>-B298*Main!$B$19-2*Main!$B$19*loop_gain!$B$17*loop_gain!$B$18</f>
        <v>-82.086722689075771</v>
      </c>
      <c r="F298" s="137">
        <f>2*Main!$B$19*loop_gain!$B$17*loop_gain!$B$18*Helper_calcs!$B$26*Current_limit!B298</f>
        <v>352.00000000000313</v>
      </c>
      <c r="G298" s="137">
        <f t="shared" si="35"/>
        <v>4.6584048532538738</v>
      </c>
      <c r="H298" s="137">
        <f>(Main!$B$19-Current_limit!G298)*Current_limit!G298/(Main!$B$19*loop_gain!$B$17*loop_gain!$B$18)</f>
        <v>1.0477978695535308</v>
      </c>
      <c r="I298" s="137">
        <f t="shared" si="36"/>
        <v>2.8022021304464704</v>
      </c>
      <c r="J298" s="137"/>
      <c r="K298" s="138">
        <f>IF(A298&gt;$B$15,IF(I298&gt;Helper_calcs!$B$27,23,3),0)</f>
        <v>3</v>
      </c>
      <c r="L298" s="139">
        <f t="shared" si="34"/>
        <v>2</v>
      </c>
      <c r="M298" s="139">
        <f t="shared" si="37"/>
        <v>3</v>
      </c>
      <c r="N298" s="137">
        <f t="shared" si="38"/>
        <v>3.3261010652232357</v>
      </c>
      <c r="O298" s="137">
        <f t="shared" si="39"/>
        <v>4.6584048532538738</v>
      </c>
      <c r="P298" s="140">
        <f>IF(OR(M298=0,M298=3),loop_gain!$B$18,IF(Current_limit!M298=1,Current_limit!$B$12/(2*(Current_limit!N298-Helper_calcs!$B$27)),IF(OR(M298=2,M298=23),(Main!$B$19-Current_limit!O298)*Current_limit!O298/(Main!$B$19*loop_gain!$B$17*(Helper_calcs!$B$26-Helper_calcs!$B$27)),x)))</f>
        <v>400000</v>
      </c>
      <c r="Q298" s="137"/>
    </row>
    <row r="299" spans="1:17" x14ac:dyDescent="0.25">
      <c r="A299">
        <f t="shared" si="40"/>
        <v>3.5799999999999672</v>
      </c>
      <c r="B299">
        <f>Main!$B$20/A299</f>
        <v>1.3966480446927503</v>
      </c>
      <c r="D299" s="137">
        <f t="shared" si="33"/>
        <v>1.3966480446927503</v>
      </c>
      <c r="E299" s="137">
        <f>-B299*Main!$B$19-2*Main!$B$19*loop_gain!$B$17*loop_gain!$B$18</f>
        <v>-82.039776536312985</v>
      </c>
      <c r="F299" s="137">
        <f>2*Main!$B$19*loop_gain!$B$17*loop_gain!$B$18*Helper_calcs!$B$26*Current_limit!B299</f>
        <v>351.01675977653946</v>
      </c>
      <c r="G299" s="137">
        <f t="shared" si="35"/>
        <v>4.6461020441966063</v>
      </c>
      <c r="H299" s="137">
        <f>(Main!$B$19-Current_limit!G299)*Current_limit!G299/(Main!$B$19*loop_gain!$B$17*loop_gain!$B$18)</f>
        <v>1.0467818727105207</v>
      </c>
      <c r="I299" s="137">
        <f t="shared" si="36"/>
        <v>2.8032181272894792</v>
      </c>
      <c r="J299" s="137"/>
      <c r="K299" s="138">
        <f>IF(A299&gt;$B$15,IF(I299&gt;Helper_calcs!$B$27,23,3),0)</f>
        <v>3</v>
      </c>
      <c r="L299" s="139">
        <f t="shared" si="34"/>
        <v>2</v>
      </c>
      <c r="M299" s="139">
        <f t="shared" si="37"/>
        <v>3</v>
      </c>
      <c r="N299" s="137">
        <f t="shared" si="38"/>
        <v>3.3266090636447396</v>
      </c>
      <c r="O299" s="137">
        <f t="shared" si="39"/>
        <v>4.6461020441966063</v>
      </c>
      <c r="P299" s="140">
        <f>IF(OR(M299=0,M299=3),loop_gain!$B$18,IF(Current_limit!M299=1,Current_limit!$B$12/(2*(Current_limit!N299-Helper_calcs!$B$27)),IF(OR(M299=2,M299=23),(Main!$B$19-Current_limit!O299)*Current_limit!O299/(Main!$B$19*loop_gain!$B$17*(Helper_calcs!$B$26-Helper_calcs!$B$27)),x)))</f>
        <v>400000</v>
      </c>
      <c r="Q299" s="137"/>
    </row>
    <row r="300" spans="1:17" x14ac:dyDescent="0.25">
      <c r="A300">
        <f t="shared" si="40"/>
        <v>3.589999999999967</v>
      </c>
      <c r="B300">
        <f>Main!$B$20/A300</f>
        <v>1.3927576601671436</v>
      </c>
      <c r="D300" s="137">
        <f t="shared" si="33"/>
        <v>1.3927576601671436</v>
      </c>
      <c r="E300" s="137">
        <f>-B300*Main!$B$19-2*Main!$B$19*loop_gain!$B$17*loop_gain!$B$18</f>
        <v>-81.993091922005704</v>
      </c>
      <c r="F300" s="137">
        <f>2*Main!$B$19*loop_gain!$B$17*loop_gain!$B$18*Helper_calcs!$B$26*Current_limit!B300</f>
        <v>350.03899721448778</v>
      </c>
      <c r="G300" s="137">
        <f t="shared" si="35"/>
        <v>4.6338701018501212</v>
      </c>
      <c r="H300" s="137">
        <f>(Main!$B$19-Current_limit!G300)*Current_limit!G300/(Main!$B$19*loop_gain!$B$17*loop_gain!$B$18)</f>
        <v>1.0457625337432908</v>
      </c>
      <c r="I300" s="137">
        <f t="shared" si="36"/>
        <v>2.8042374662567111</v>
      </c>
      <c r="J300" s="137"/>
      <c r="K300" s="138">
        <f>IF(A300&gt;$B$15,IF(I300&gt;Helper_calcs!$B$27,23,3),0)</f>
        <v>3</v>
      </c>
      <c r="L300" s="139">
        <f t="shared" si="34"/>
        <v>2</v>
      </c>
      <c r="M300" s="139">
        <f t="shared" si="37"/>
        <v>3</v>
      </c>
      <c r="N300" s="137">
        <f t="shared" si="38"/>
        <v>3.3271187331283567</v>
      </c>
      <c r="O300" s="137">
        <f t="shared" si="39"/>
        <v>4.6338701018501212</v>
      </c>
      <c r="P300" s="140">
        <f>IF(OR(M300=0,M300=3),loop_gain!$B$18,IF(Current_limit!M300=1,Current_limit!$B$12/(2*(Current_limit!N300-Helper_calcs!$B$27)),IF(OR(M300=2,M300=23),(Main!$B$19-Current_limit!O300)*Current_limit!O300/(Main!$B$19*loop_gain!$B$17*(Helper_calcs!$B$26-Helper_calcs!$B$27)),x)))</f>
        <v>400000</v>
      </c>
      <c r="Q300" s="137"/>
    </row>
    <row r="301" spans="1:17" x14ac:dyDescent="0.25">
      <c r="A301">
        <f t="shared" si="40"/>
        <v>3.5999999999999668</v>
      </c>
      <c r="B301">
        <f>Main!$B$20/A301</f>
        <v>1.3888888888889017</v>
      </c>
      <c r="D301" s="137">
        <f t="shared" si="33"/>
        <v>1.3888888888889017</v>
      </c>
      <c r="E301" s="137">
        <f>-B301*Main!$B$19-2*Main!$B$19*loop_gain!$B$17*loop_gain!$B$18</f>
        <v>-81.9466666666668</v>
      </c>
      <c r="F301" s="137">
        <f>2*Main!$B$19*loop_gain!$B$17*loop_gain!$B$18*Helper_calcs!$B$26*Current_limit!B301</f>
        <v>349.06666666666979</v>
      </c>
      <c r="G301" s="137">
        <f t="shared" si="35"/>
        <v>4.621708363849014</v>
      </c>
      <c r="H301" s="137">
        <f>(Main!$B$19-Current_limit!G301)*Current_limit!G301/(Main!$B$19*loop_gain!$B$17*loop_gain!$B$18)</f>
        <v>1.044739956057483</v>
      </c>
      <c r="I301" s="137">
        <f t="shared" si="36"/>
        <v>2.8052600439425177</v>
      </c>
      <c r="J301" s="137"/>
      <c r="K301" s="138">
        <f>IF(A301&gt;$B$15,IF(I301&gt;Helper_calcs!$B$27,23,3),0)</f>
        <v>3</v>
      </c>
      <c r="L301" s="139">
        <f t="shared" si="34"/>
        <v>2</v>
      </c>
      <c r="M301" s="139">
        <f t="shared" si="37"/>
        <v>3</v>
      </c>
      <c r="N301" s="137">
        <f t="shared" si="38"/>
        <v>3.3276300219712591</v>
      </c>
      <c r="O301" s="137">
        <f t="shared" si="39"/>
        <v>4.621708363849014</v>
      </c>
      <c r="P301" s="140">
        <f>IF(OR(M301=0,M301=3),loop_gain!$B$18,IF(Current_limit!M301=1,Current_limit!$B$12/(2*(Current_limit!N301-Helper_calcs!$B$27)),IF(OR(M301=2,M301=23),(Main!$B$19-Current_limit!O301)*Current_limit!O301/(Main!$B$19*loop_gain!$B$17*(Helper_calcs!$B$26-Helper_calcs!$B$27)),x)))</f>
        <v>400000</v>
      </c>
      <c r="Q301" s="137"/>
    </row>
    <row r="302" spans="1:17" x14ac:dyDescent="0.25">
      <c r="A302">
        <f t="shared" si="40"/>
        <v>3.6099999999999666</v>
      </c>
      <c r="B302">
        <f>Main!$B$20/A302</f>
        <v>1.3850415512465502</v>
      </c>
      <c r="D302" s="137">
        <f t="shared" si="33"/>
        <v>1.3850415512465502</v>
      </c>
      <c r="E302" s="137">
        <f>-B302*Main!$B$19-2*Main!$B$19*loop_gain!$B$17*loop_gain!$B$18</f>
        <v>-81.900498614958593</v>
      </c>
      <c r="F302" s="137">
        <f>2*Main!$B$19*loop_gain!$B$17*loop_gain!$B$18*Helper_calcs!$B$26*Current_limit!B302</f>
        <v>348.09972299169289</v>
      </c>
      <c r="G302" s="137">
        <f t="shared" si="35"/>
        <v>4.6096161766455763</v>
      </c>
      <c r="H302" s="137">
        <f>(Main!$B$19-Current_limit!G302)*Current_limit!G302/(Main!$B$19*loop_gain!$B$17*loop_gain!$B$18)</f>
        <v>1.0437142409238462</v>
      </c>
      <c r="I302" s="137">
        <f t="shared" si="36"/>
        <v>2.8062857590761521</v>
      </c>
      <c r="J302" s="137"/>
      <c r="K302" s="138">
        <f>IF(A302&gt;$B$15,IF(I302&gt;Helper_calcs!$B$27,23,3),0)</f>
        <v>3</v>
      </c>
      <c r="L302" s="139">
        <f t="shared" si="34"/>
        <v>2</v>
      </c>
      <c r="M302" s="139">
        <f t="shared" si="37"/>
        <v>3</v>
      </c>
      <c r="N302" s="137">
        <f t="shared" si="38"/>
        <v>3.3281428795380754</v>
      </c>
      <c r="O302" s="137">
        <f t="shared" si="39"/>
        <v>4.6096161766455763</v>
      </c>
      <c r="P302" s="140">
        <f>IF(OR(M302=0,M302=3),loop_gain!$B$18,IF(Current_limit!M302=1,Current_limit!$B$12/(2*(Current_limit!N302-Helper_calcs!$B$27)),IF(OR(M302=2,M302=23),(Main!$B$19-Current_limit!O302)*Current_limit!O302/(Main!$B$19*loop_gain!$B$17*(Helper_calcs!$B$26-Helper_calcs!$B$27)),x)))</f>
        <v>400000</v>
      </c>
      <c r="Q302" s="137"/>
    </row>
    <row r="303" spans="1:17" x14ac:dyDescent="0.25">
      <c r="A303">
        <f t="shared" si="40"/>
        <v>3.6199999999999664</v>
      </c>
      <c r="B303">
        <f>Main!$B$20/A303</f>
        <v>1.3812154696132726</v>
      </c>
      <c r="D303" s="137">
        <f t="shared" si="33"/>
        <v>1.3812154696132726</v>
      </c>
      <c r="E303" s="137">
        <f>-B303*Main!$B$19-2*Main!$B$19*loop_gain!$B$17*loop_gain!$B$18</f>
        <v>-81.854585635359257</v>
      </c>
      <c r="F303" s="137">
        <f>2*Main!$B$19*loop_gain!$B$17*loop_gain!$B$18*Helper_calcs!$B$26*Current_limit!B303</f>
        <v>347.1381215469645</v>
      </c>
      <c r="G303" s="137">
        <f t="shared" si="35"/>
        <v>4.597592895355163</v>
      </c>
      <c r="H303" s="137">
        <f>(Main!$B$19-Current_limit!G303)*Current_limit!G303/(Main!$B$19*loop_gain!$B$17*loop_gain!$B$18)</f>
        <v>1.0426854875257872</v>
      </c>
      <c r="I303" s="137">
        <f t="shared" si="36"/>
        <v>2.8073145124742132</v>
      </c>
      <c r="J303" s="137"/>
      <c r="K303" s="138">
        <f>IF(A303&gt;$B$15,IF(I303&gt;Helper_calcs!$B$27,23,3),0)</f>
        <v>3</v>
      </c>
      <c r="L303" s="139">
        <f t="shared" si="34"/>
        <v>2</v>
      </c>
      <c r="M303" s="139">
        <f t="shared" si="37"/>
        <v>3</v>
      </c>
      <c r="N303" s="137">
        <f t="shared" si="38"/>
        <v>3.3286572562371068</v>
      </c>
      <c r="O303" s="137">
        <f t="shared" si="39"/>
        <v>4.597592895355163</v>
      </c>
      <c r="P303" s="140">
        <f>IF(OR(M303=0,M303=3),loop_gain!$B$18,IF(Current_limit!M303=1,Current_limit!$B$12/(2*(Current_limit!N303-Helper_calcs!$B$27)),IF(OR(M303=2,M303=23),(Main!$B$19-Current_limit!O303)*Current_limit!O303/(Main!$B$19*loop_gain!$B$17*(Helper_calcs!$B$26-Helper_calcs!$B$27)),x)))</f>
        <v>400000</v>
      </c>
      <c r="Q303" s="137"/>
    </row>
    <row r="304" spans="1:17" x14ac:dyDescent="0.25">
      <c r="A304">
        <f t="shared" si="40"/>
        <v>3.6299999999999661</v>
      </c>
      <c r="B304">
        <f>Main!$B$20/A304</f>
        <v>1.377410468319572</v>
      </c>
      <c r="D304" s="137">
        <f t="shared" si="33"/>
        <v>1.377410468319572</v>
      </c>
      <c r="E304" s="137">
        <f>-B304*Main!$B$19-2*Main!$B$19*loop_gain!$B$17*loop_gain!$B$18</f>
        <v>-81.808925619834852</v>
      </c>
      <c r="F304" s="137">
        <f>2*Main!$B$19*loop_gain!$B$17*loop_gain!$B$18*Helper_calcs!$B$26*Current_limit!B304</f>
        <v>346.18181818182131</v>
      </c>
      <c r="G304" s="137">
        <f t="shared" si="35"/>
        <v>4.5856378836049236</v>
      </c>
      <c r="H304" s="137">
        <f>(Main!$B$19-Current_limit!G304)*Current_limit!G304/(Main!$B$19*loop_gain!$B$17*loop_gain!$B$18)</f>
        <v>1.0416537930057121</v>
      </c>
      <c r="I304" s="137">
        <f t="shared" si="36"/>
        <v>2.8083462069942877</v>
      </c>
      <c r="J304" s="137"/>
      <c r="K304" s="138">
        <f>IF(A304&gt;$B$15,IF(I304&gt;Helper_calcs!$B$27,23,3),0)</f>
        <v>3</v>
      </c>
      <c r="L304" s="139">
        <f t="shared" si="34"/>
        <v>2</v>
      </c>
      <c r="M304" s="139">
        <f t="shared" si="37"/>
        <v>3</v>
      </c>
      <c r="N304" s="137">
        <f t="shared" si="38"/>
        <v>3.3291731034971437</v>
      </c>
      <c r="O304" s="137">
        <f t="shared" si="39"/>
        <v>4.5856378836049236</v>
      </c>
      <c r="P304" s="140">
        <f>IF(OR(M304=0,M304=3),loop_gain!$B$18,IF(Current_limit!M304=1,Current_limit!$B$12/(2*(Current_limit!N304-Helper_calcs!$B$27)),IF(OR(M304=2,M304=23),(Main!$B$19-Current_limit!O304)*Current_limit!O304/(Main!$B$19*loop_gain!$B$17*(Helper_calcs!$B$26-Helper_calcs!$B$27)),x)))</f>
        <v>400000</v>
      </c>
      <c r="Q304" s="137"/>
    </row>
    <row r="305" spans="1:17" x14ac:dyDescent="0.25">
      <c r="A305">
        <f t="shared" si="40"/>
        <v>3.6399999999999659</v>
      </c>
      <c r="B305">
        <f>Main!$B$20/A305</f>
        <v>1.3736263736263865</v>
      </c>
      <c r="D305" s="137">
        <f t="shared" si="33"/>
        <v>1.3736263736263865</v>
      </c>
      <c r="E305" s="137">
        <f>-B305*Main!$B$19-2*Main!$B$19*loop_gain!$B$17*loop_gain!$B$18</f>
        <v>-81.763516483516625</v>
      </c>
      <c r="F305" s="137">
        <f>2*Main!$B$19*loop_gain!$B$17*loop_gain!$B$18*Helper_calcs!$B$26*Current_limit!B305</f>
        <v>345.23076923077241</v>
      </c>
      <c r="G305" s="137">
        <f t="shared" si="35"/>
        <v>4.5737505133858951</v>
      </c>
      <c r="H305" s="137">
        <f>(Main!$B$19-Current_limit!G305)*Current_limit!G305/(Main!$B$19*loop_gain!$B$17*loop_gain!$B$18)</f>
        <v>1.0406192525102025</v>
      </c>
      <c r="I305" s="137">
        <f t="shared" si="36"/>
        <v>2.8093807474897994</v>
      </c>
      <c r="J305" s="137"/>
      <c r="K305" s="138">
        <f>IF(A305&gt;$B$15,IF(I305&gt;Helper_calcs!$B$27,23,3),0)</f>
        <v>3</v>
      </c>
      <c r="L305" s="139">
        <f t="shared" si="34"/>
        <v>2</v>
      </c>
      <c r="M305" s="139">
        <f t="shared" si="37"/>
        <v>3</v>
      </c>
      <c r="N305" s="137">
        <f t="shared" si="38"/>
        <v>3.3296903737449006</v>
      </c>
      <c r="O305" s="137">
        <f t="shared" si="39"/>
        <v>4.5737505133858951</v>
      </c>
      <c r="P305" s="140">
        <f>IF(OR(M305=0,M305=3),loop_gain!$B$18,IF(Current_limit!M305=1,Current_limit!$B$12/(2*(Current_limit!N305-Helper_calcs!$B$27)),IF(OR(M305=2,M305=23),(Main!$B$19-Current_limit!O305)*Current_limit!O305/(Main!$B$19*loop_gain!$B$17*(Helper_calcs!$B$26-Helper_calcs!$B$27)),x)))</f>
        <v>400000</v>
      </c>
      <c r="Q305" s="137"/>
    </row>
    <row r="306" spans="1:17" x14ac:dyDescent="0.25">
      <c r="A306">
        <f t="shared" si="40"/>
        <v>3.6499999999999657</v>
      </c>
      <c r="B306">
        <f>Main!$B$20/A306</f>
        <v>1.3698630136986429</v>
      </c>
      <c r="D306" s="137">
        <f t="shared" si="33"/>
        <v>1.3698630136986429</v>
      </c>
      <c r="E306" s="137">
        <f>-B306*Main!$B$19-2*Main!$B$19*loop_gain!$B$17*loop_gain!$B$18</f>
        <v>-81.718356164383707</v>
      </c>
      <c r="F306" s="137">
        <f>2*Main!$B$19*loop_gain!$B$17*loop_gain!$B$18*Helper_calcs!$B$26*Current_limit!B306</f>
        <v>344.28493150685244</v>
      </c>
      <c r="G306" s="137">
        <f t="shared" si="35"/>
        <v>4.5619301649082304</v>
      </c>
      <c r="H306" s="137">
        <f>(Main!$B$19-Current_limit!G306)*Current_limit!G306/(Main!$B$19*loop_gain!$B$17*loop_gain!$B$18)</f>
        <v>1.0395819592340423</v>
      </c>
      <c r="I306" s="137">
        <f t="shared" si="36"/>
        <v>2.8104180407659558</v>
      </c>
      <c r="J306" s="137"/>
      <c r="K306" s="138">
        <f>IF(A306&gt;$B$15,IF(I306&gt;Helper_calcs!$B$27,23,3),0)</f>
        <v>3</v>
      </c>
      <c r="L306" s="139">
        <f t="shared" si="34"/>
        <v>2</v>
      </c>
      <c r="M306" s="139">
        <f t="shared" si="37"/>
        <v>3</v>
      </c>
      <c r="N306" s="137">
        <f t="shared" si="38"/>
        <v>3.3302090203829771</v>
      </c>
      <c r="O306" s="137">
        <f t="shared" si="39"/>
        <v>4.5619301649082304</v>
      </c>
      <c r="P306" s="140">
        <f>IF(OR(M306=0,M306=3),loop_gain!$B$18,IF(Current_limit!M306=1,Current_limit!$B$12/(2*(Current_limit!N306-Helper_calcs!$B$27)),IF(OR(M306=2,M306=23),(Main!$B$19-Current_limit!O306)*Current_limit!O306/(Main!$B$19*loop_gain!$B$17*(Helper_calcs!$B$26-Helper_calcs!$B$27)),x)))</f>
        <v>400000</v>
      </c>
      <c r="Q306" s="137"/>
    </row>
    <row r="307" spans="1:17" x14ac:dyDescent="0.25">
      <c r="A307">
        <f t="shared" si="40"/>
        <v>3.6599999999999655</v>
      </c>
      <c r="B307">
        <f>Main!$B$20/A307</f>
        <v>1.3661202185792478</v>
      </c>
      <c r="D307" s="137">
        <f t="shared" si="33"/>
        <v>1.3661202185792478</v>
      </c>
      <c r="E307" s="137">
        <f>-B307*Main!$B$19-2*Main!$B$19*loop_gain!$B$17*loop_gain!$B$18</f>
        <v>-81.673442622950958</v>
      </c>
      <c r="F307" s="137">
        <f>2*Main!$B$19*loop_gain!$B$17*loop_gain!$B$18*Helper_calcs!$B$26*Current_limit!B307</f>
        <v>343.34426229508512</v>
      </c>
      <c r="G307" s="137">
        <f t="shared" si="35"/>
        <v>4.5501762264596382</v>
      </c>
      <c r="H307" s="137">
        <f>(Main!$B$19-Current_limit!G307)*Current_limit!G307/(Main!$B$19*loop_gain!$B$17*loop_gain!$B$18)</f>
        <v>1.0385420044631493</v>
      </c>
      <c r="I307" s="137">
        <f t="shared" si="36"/>
        <v>2.8114579955368493</v>
      </c>
      <c r="J307" s="137"/>
      <c r="K307" s="138">
        <f>IF(A307&gt;$B$15,IF(I307&gt;Helper_calcs!$B$27,23,3),0)</f>
        <v>3</v>
      </c>
      <c r="L307" s="139">
        <f t="shared" si="34"/>
        <v>2</v>
      </c>
      <c r="M307" s="139">
        <f t="shared" si="37"/>
        <v>3</v>
      </c>
      <c r="N307" s="137">
        <f t="shared" si="38"/>
        <v>3.330728997768424</v>
      </c>
      <c r="O307" s="137">
        <f t="shared" si="39"/>
        <v>4.5501762264596382</v>
      </c>
      <c r="P307" s="140">
        <f>IF(OR(M307=0,M307=3),loop_gain!$B$18,IF(Current_limit!M307=1,Current_limit!$B$12/(2*(Current_limit!N307-Helper_calcs!$B$27)),IF(OR(M307=2,M307=23),(Main!$B$19-Current_limit!O307)*Current_limit!O307/(Main!$B$19*loop_gain!$B$17*(Helper_calcs!$B$26-Helper_calcs!$B$27)),x)))</f>
        <v>400000</v>
      </c>
      <c r="Q307" s="137"/>
    </row>
    <row r="308" spans="1:17" x14ac:dyDescent="0.25">
      <c r="A308">
        <f t="shared" si="40"/>
        <v>3.6699999999999653</v>
      </c>
      <c r="B308">
        <f>Main!$B$20/A308</f>
        <v>1.3623978201635005</v>
      </c>
      <c r="D308" s="137">
        <f t="shared" si="33"/>
        <v>1.3623978201635005</v>
      </c>
      <c r="E308" s="137">
        <f>-B308*Main!$B$19-2*Main!$B$19*loop_gain!$B$17*loop_gain!$B$18</f>
        <v>-81.628773841961987</v>
      </c>
      <c r="F308" s="137">
        <f>2*Main!$B$19*loop_gain!$B$17*loop_gain!$B$18*Helper_calcs!$B$26*Current_limit!B308</f>
        <v>342.40871934605218</v>
      </c>
      <c r="G308" s="137">
        <f t="shared" si="35"/>
        <v>4.5384880942667856</v>
      </c>
      <c r="H308" s="137">
        <f>(Main!$B$19-Current_limit!G308)*Current_limit!G308/(Main!$B$19*loop_gain!$B$17*loop_gain!$B$18)</f>
        <v>1.0374994776164239</v>
      </c>
      <c r="I308" s="137">
        <f t="shared" si="36"/>
        <v>2.8125005223835773</v>
      </c>
      <c r="J308" s="137"/>
      <c r="K308" s="138">
        <f>IF(A308&gt;$B$15,IF(I308&gt;Helper_calcs!$B$27,23,3),0)</f>
        <v>3</v>
      </c>
      <c r="L308" s="139">
        <f t="shared" si="34"/>
        <v>2</v>
      </c>
      <c r="M308" s="139">
        <f t="shared" si="37"/>
        <v>3</v>
      </c>
      <c r="N308" s="137">
        <f t="shared" si="38"/>
        <v>3.3312502611917894</v>
      </c>
      <c r="O308" s="137">
        <f t="shared" si="39"/>
        <v>4.5384880942667856</v>
      </c>
      <c r="P308" s="140">
        <f>IF(OR(M308=0,M308=3),loop_gain!$B$18,IF(Current_limit!M308=1,Current_limit!$B$12/(2*(Current_limit!N308-Helper_calcs!$B$27)),IF(OR(M308=2,M308=23),(Main!$B$19-Current_limit!O308)*Current_limit!O308/(Main!$B$19*loop_gain!$B$17*(Helper_calcs!$B$26-Helper_calcs!$B$27)),x)))</f>
        <v>400000</v>
      </c>
      <c r="Q308" s="137"/>
    </row>
    <row r="309" spans="1:17" x14ac:dyDescent="0.25">
      <c r="A309">
        <f t="shared" si="40"/>
        <v>3.6799999999999651</v>
      </c>
      <c r="B309">
        <f>Main!$B$20/A309</f>
        <v>1.358695652173926</v>
      </c>
      <c r="D309" s="137">
        <f t="shared" si="33"/>
        <v>1.358695652173926</v>
      </c>
      <c r="E309" s="137">
        <f>-B309*Main!$B$19-2*Main!$B$19*loop_gain!$B$17*loop_gain!$B$18</f>
        <v>-81.584347826087097</v>
      </c>
      <c r="F309" s="137">
        <f>2*Main!$B$19*loop_gain!$B$17*loop_gain!$B$18*Helper_calcs!$B$26*Current_limit!B309</f>
        <v>341.47826086956837</v>
      </c>
      <c r="G309" s="137">
        <f t="shared" si="35"/>
        <v>4.5268651723597211</v>
      </c>
      <c r="H309" s="137">
        <f>(Main!$B$19-Current_limit!G309)*Current_limit!G309/(Main!$B$19*loop_gain!$B$17*loop_gain!$B$18)</f>
        <v>1.0364544662865578</v>
      </c>
      <c r="I309" s="137">
        <f t="shared" si="36"/>
        <v>2.8135455337134441</v>
      </c>
      <c r="J309" s="137"/>
      <c r="K309" s="138">
        <f>IF(A309&gt;$B$15,IF(I309&gt;Helper_calcs!$B$27,23,3),0)</f>
        <v>3</v>
      </c>
      <c r="L309" s="139">
        <f t="shared" si="34"/>
        <v>2</v>
      </c>
      <c r="M309" s="139">
        <f t="shared" si="37"/>
        <v>3</v>
      </c>
      <c r="N309" s="137">
        <f t="shared" si="38"/>
        <v>3.331772766856723</v>
      </c>
      <c r="O309" s="137">
        <f t="shared" si="39"/>
        <v>4.5268651723597211</v>
      </c>
      <c r="P309" s="140">
        <f>IF(OR(M309=0,M309=3),loop_gain!$B$18,IF(Current_limit!M309=1,Current_limit!$B$12/(2*(Current_limit!N309-Helper_calcs!$B$27)),IF(OR(M309=2,M309=23),(Main!$B$19-Current_limit!O309)*Current_limit!O309/(Main!$B$19*loop_gain!$B$17*(Helper_calcs!$B$26-Helper_calcs!$B$27)),x)))</f>
        <v>400000</v>
      </c>
      <c r="Q309" s="137"/>
    </row>
    <row r="310" spans="1:17" x14ac:dyDescent="0.25">
      <c r="A310">
        <f t="shared" si="40"/>
        <v>3.6899999999999649</v>
      </c>
      <c r="B310">
        <f>Main!$B$20/A310</f>
        <v>1.3550135501355143</v>
      </c>
      <c r="D310" s="137">
        <f t="shared" si="33"/>
        <v>1.3550135501355143</v>
      </c>
      <c r="E310" s="137">
        <f>-B310*Main!$B$19-2*Main!$B$19*loop_gain!$B$17*loop_gain!$B$18</f>
        <v>-81.54016260162615</v>
      </c>
      <c r="F310" s="137">
        <f>2*Main!$B$19*loop_gain!$B$17*loop_gain!$B$18*Helper_calcs!$B$26*Current_limit!B310</f>
        <v>340.55284552845848</v>
      </c>
      <c r="G310" s="137">
        <f t="shared" si="35"/>
        <v>4.5153068724391821</v>
      </c>
      <c r="H310" s="137">
        <f>(Main!$B$19-Current_limit!G310)*Current_limit!G310/(Main!$B$19*loop_gain!$B$17*loop_gain!$B$18)</f>
        <v>1.035407056279831</v>
      </c>
      <c r="I310" s="137">
        <f t="shared" si="36"/>
        <v>2.8145929437201693</v>
      </c>
      <c r="J310" s="137"/>
      <c r="K310" s="138">
        <f>IF(A310&gt;$B$15,IF(I310&gt;Helper_calcs!$B$27,23,3),0)</f>
        <v>3</v>
      </c>
      <c r="L310" s="139">
        <f t="shared" si="34"/>
        <v>2</v>
      </c>
      <c r="M310" s="139">
        <f t="shared" si="37"/>
        <v>3</v>
      </c>
      <c r="N310" s="137">
        <f t="shared" si="38"/>
        <v>3.3322964718600847</v>
      </c>
      <c r="O310" s="137">
        <f t="shared" si="39"/>
        <v>4.5153068724391821</v>
      </c>
      <c r="P310" s="140">
        <f>IF(OR(M310=0,M310=3),loop_gain!$B$18,IF(Current_limit!M310=1,Current_limit!$B$12/(2*(Current_limit!N310-Helper_calcs!$B$27)),IF(OR(M310=2,M310=23),(Main!$B$19-Current_limit!O310)*Current_limit!O310/(Main!$B$19*loop_gain!$B$17*(Helper_calcs!$B$26-Helper_calcs!$B$27)),x)))</f>
        <v>400000</v>
      </c>
      <c r="Q310" s="137"/>
    </row>
    <row r="311" spans="1:17" x14ac:dyDescent="0.25">
      <c r="A311">
        <f t="shared" si="40"/>
        <v>3.6999999999999647</v>
      </c>
      <c r="B311">
        <f>Main!$B$20/A311</f>
        <v>1.3513513513513642</v>
      </c>
      <c r="D311" s="137">
        <f t="shared" si="33"/>
        <v>1.3513513513513642</v>
      </c>
      <c r="E311" s="137">
        <f>-B311*Main!$B$19-2*Main!$B$19*loop_gain!$B$17*loop_gain!$B$18</f>
        <v>-81.496216216216354</v>
      </c>
      <c r="F311" s="137">
        <f>2*Main!$B$19*loop_gain!$B$17*loop_gain!$B$18*Helper_calcs!$B$26*Current_limit!B311</f>
        <v>339.63243243243556</v>
      </c>
      <c r="G311" s="137">
        <f t="shared" si="35"/>
        <v>4.5038126137467192</v>
      </c>
      <c r="H311" s="137">
        <f>(Main!$B$19-Current_limit!G311)*Current_limit!G311/(Main!$B$19*loop_gain!$B$17*loop_gain!$B$18)</f>
        <v>1.0343573316549197</v>
      </c>
      <c r="I311" s="137">
        <f t="shared" si="36"/>
        <v>2.8156426683450806</v>
      </c>
      <c r="J311" s="137"/>
      <c r="K311" s="138">
        <f>IF(A311&gt;$B$15,IF(I311&gt;Helper_calcs!$B$27,23,3),0)</f>
        <v>3</v>
      </c>
      <c r="L311" s="139">
        <f t="shared" si="34"/>
        <v>2</v>
      </c>
      <c r="M311" s="139">
        <f t="shared" si="37"/>
        <v>3</v>
      </c>
      <c r="N311" s="137">
        <f t="shared" si="38"/>
        <v>3.3328213341725403</v>
      </c>
      <c r="O311" s="137">
        <f t="shared" si="39"/>
        <v>4.5038126137467192</v>
      </c>
      <c r="P311" s="140">
        <f>IF(OR(M311=0,M311=3),loop_gain!$B$18,IF(Current_limit!M311=1,Current_limit!$B$12/(2*(Current_limit!N311-Helper_calcs!$B$27)),IF(OR(M311=2,M311=23),(Main!$B$19-Current_limit!O311)*Current_limit!O311/(Main!$B$19*loop_gain!$B$17*(Helper_calcs!$B$26-Helper_calcs!$B$27)),x)))</f>
        <v>400000</v>
      </c>
      <c r="Q311" s="137"/>
    </row>
    <row r="312" spans="1:17" x14ac:dyDescent="0.25">
      <c r="A312">
        <f t="shared" si="40"/>
        <v>3.7099999999999644</v>
      </c>
      <c r="B312">
        <f>Main!$B$20/A312</f>
        <v>1.347708894878719</v>
      </c>
      <c r="D312" s="137">
        <f t="shared" si="33"/>
        <v>1.347708894878719</v>
      </c>
      <c r="E312" s="137">
        <f>-B312*Main!$B$19-2*Main!$B$19*loop_gain!$B$17*loop_gain!$B$18</f>
        <v>-81.452506738544614</v>
      </c>
      <c r="F312" s="137">
        <f>2*Main!$B$19*loop_gain!$B$17*loop_gain!$B$18*Helper_calcs!$B$26*Current_limit!B312</f>
        <v>338.71698113207862</v>
      </c>
      <c r="G312" s="137">
        <f t="shared" si="35"/>
        <v>4.4923818229375447</v>
      </c>
      <c r="H312" s="137">
        <f>(Main!$B$19-Current_limit!G312)*Current_limit!G312/(Main!$B$19*loop_gain!$B$17*loop_gain!$B$18)</f>
        <v>1.0333053747607501</v>
      </c>
      <c r="I312" s="137">
        <f t="shared" si="36"/>
        <v>2.8166946252392515</v>
      </c>
      <c r="J312" s="137"/>
      <c r="K312" s="138">
        <f>IF(A312&gt;$B$15,IF(I312&gt;Helper_calcs!$B$27,23,3),0)</f>
        <v>3</v>
      </c>
      <c r="L312" s="139">
        <f t="shared" si="34"/>
        <v>2</v>
      </c>
      <c r="M312" s="139">
        <f t="shared" si="37"/>
        <v>3</v>
      </c>
      <c r="N312" s="137">
        <f t="shared" si="38"/>
        <v>3.3333473126196265</v>
      </c>
      <c r="O312" s="137">
        <f t="shared" si="39"/>
        <v>4.4923818229375447</v>
      </c>
      <c r="P312" s="140">
        <f>IF(OR(M312=0,M312=3),loop_gain!$B$18,IF(Current_limit!M312=1,Current_limit!$B$12/(2*(Current_limit!N312-Helper_calcs!$B$27)),IF(OR(M312=2,M312=23),(Main!$B$19-Current_limit!O312)*Current_limit!O312/(Main!$B$19*loop_gain!$B$17*(Helper_calcs!$B$26-Helper_calcs!$B$27)),x)))</f>
        <v>400000</v>
      </c>
      <c r="Q312" s="137"/>
    </row>
    <row r="313" spans="1:17" x14ac:dyDescent="0.25">
      <c r="A313">
        <f t="shared" si="40"/>
        <v>3.7199999999999642</v>
      </c>
      <c r="B313">
        <f>Main!$B$20/A313</f>
        <v>1.3440860215053894</v>
      </c>
      <c r="D313" s="137">
        <f t="shared" si="33"/>
        <v>1.3440860215053894</v>
      </c>
      <c r="E313" s="137">
        <f>-B313*Main!$B$19-2*Main!$B$19*loop_gain!$B$17*loop_gain!$B$18</f>
        <v>-81.409032258064656</v>
      </c>
      <c r="F313" s="137">
        <f>2*Main!$B$19*loop_gain!$B$17*loop_gain!$B$18*Helper_calcs!$B$26*Current_limit!B313</f>
        <v>337.80645161290641</v>
      </c>
      <c r="G313" s="137">
        <f t="shared" si="35"/>
        <v>4.4810139339560795</v>
      </c>
      <c r="H313" s="137">
        <f>(Main!$B$19-Current_limit!G313)*Current_limit!G313/(Main!$B$19*loop_gain!$B$17*loop_gain!$B$18)</f>
        <v>1.0322512662734198</v>
      </c>
      <c r="I313" s="137">
        <f t="shared" si="36"/>
        <v>2.8177487337265807</v>
      </c>
      <c r="J313" s="137"/>
      <c r="K313" s="138">
        <f>IF(A313&gt;$B$15,IF(I313&gt;Helper_calcs!$B$27,23,3),0)</f>
        <v>3</v>
      </c>
      <c r="L313" s="139">
        <f t="shared" si="34"/>
        <v>2</v>
      </c>
      <c r="M313" s="139">
        <f t="shared" si="37"/>
        <v>3</v>
      </c>
      <c r="N313" s="137">
        <f t="shared" si="38"/>
        <v>3.3338743668632906</v>
      </c>
      <c r="O313" s="137">
        <f t="shared" si="39"/>
        <v>4.4810139339560795</v>
      </c>
      <c r="P313" s="140">
        <f>IF(OR(M313=0,M313=3),loop_gain!$B$18,IF(Current_limit!M313=1,Current_limit!$B$12/(2*(Current_limit!N313-Helper_calcs!$B$27)),IF(OR(M313=2,M313=23),(Main!$B$19-Current_limit!O313)*Current_limit!O313/(Main!$B$19*loop_gain!$B$17*(Helper_calcs!$B$26-Helper_calcs!$B$27)),x)))</f>
        <v>400000</v>
      </c>
      <c r="Q313" s="137"/>
    </row>
    <row r="314" spans="1:17" x14ac:dyDescent="0.25">
      <c r="A314">
        <f t="shared" si="40"/>
        <v>3.729999999999964</v>
      </c>
      <c r="B314">
        <f>Main!$B$20/A314</f>
        <v>1.3404825737265544</v>
      </c>
      <c r="D314" s="137">
        <f t="shared" si="33"/>
        <v>1.3404825737265544</v>
      </c>
      <c r="E314" s="137">
        <f>-B314*Main!$B$19-2*Main!$B$19*loop_gain!$B$17*loop_gain!$B$18</f>
        <v>-81.365790884718649</v>
      </c>
      <c r="F314" s="137">
        <f>2*Main!$B$19*loop_gain!$B$17*loop_gain!$B$18*Helper_calcs!$B$26*Current_limit!B314</f>
        <v>336.90080428954741</v>
      </c>
      <c r="G314" s="137">
        <f t="shared" si="35"/>
        <v>4.4697083879141077</v>
      </c>
      <c r="H314" s="137">
        <f>(Main!$B$19-Current_limit!G314)*Current_limit!G314/(Main!$B$19*loop_gain!$B$17*loop_gain!$B$18)</f>
        <v>1.0311950852322171</v>
      </c>
      <c r="I314" s="137">
        <f t="shared" si="36"/>
        <v>2.8188049147677838</v>
      </c>
      <c r="J314" s="137"/>
      <c r="K314" s="138">
        <f>IF(A314&gt;$B$15,IF(I314&gt;Helper_calcs!$B$27,23,3),0)</f>
        <v>3</v>
      </c>
      <c r="L314" s="139">
        <f t="shared" si="34"/>
        <v>2</v>
      </c>
      <c r="M314" s="139">
        <f t="shared" si="37"/>
        <v>3</v>
      </c>
      <c r="N314" s="137">
        <f t="shared" si="38"/>
        <v>3.3344024573838924</v>
      </c>
      <c r="O314" s="137">
        <f t="shared" si="39"/>
        <v>4.4697083879141077</v>
      </c>
      <c r="P314" s="140">
        <f>IF(OR(M314=0,M314=3),loop_gain!$B$18,IF(Current_limit!M314=1,Current_limit!$B$12/(2*(Current_limit!N314-Helper_calcs!$B$27)),IF(OR(M314=2,M314=23),(Main!$B$19-Current_limit!O314)*Current_limit!O314/(Main!$B$19*loop_gain!$B$17*(Helper_calcs!$B$26-Helper_calcs!$B$27)),x)))</f>
        <v>400000</v>
      </c>
      <c r="Q314" s="137"/>
    </row>
    <row r="315" spans="1:17" x14ac:dyDescent="0.25">
      <c r="A315">
        <f t="shared" si="40"/>
        <v>3.7399999999999638</v>
      </c>
      <c r="B315">
        <f>Main!$B$20/A315</f>
        <v>1.336898395721938</v>
      </c>
      <c r="D315" s="137">
        <f t="shared" si="33"/>
        <v>1.336898395721938</v>
      </c>
      <c r="E315" s="137">
        <f>-B315*Main!$B$19-2*Main!$B$19*loop_gain!$B$17*loop_gain!$B$18</f>
        <v>-81.322780748663234</v>
      </c>
      <c r="F315" s="137">
        <f>2*Main!$B$19*loop_gain!$B$17*loop_gain!$B$18*Helper_calcs!$B$26*Current_limit!B315</f>
        <v>336.00000000000318</v>
      </c>
      <c r="G315" s="137">
        <f t="shared" si="35"/>
        <v>4.4584646329714595</v>
      </c>
      <c r="H315" s="137">
        <f>(Main!$B$19-Current_limit!G315)*Current_limit!G315/(Main!$B$19*loop_gain!$B$17*loop_gain!$B$18)</f>
        <v>1.0301369090747607</v>
      </c>
      <c r="I315" s="137">
        <f t="shared" si="36"/>
        <v>2.8198630909252391</v>
      </c>
      <c r="J315" s="137"/>
      <c r="K315" s="138">
        <f>IF(A315&gt;$B$15,IF(I315&gt;Helper_calcs!$B$27,23,3),0)</f>
        <v>3</v>
      </c>
      <c r="L315" s="139">
        <f t="shared" si="34"/>
        <v>2</v>
      </c>
      <c r="M315" s="139">
        <f t="shared" si="37"/>
        <v>3</v>
      </c>
      <c r="N315" s="137">
        <f t="shared" si="38"/>
        <v>3.3349315454626196</v>
      </c>
      <c r="O315" s="137">
        <f t="shared" si="39"/>
        <v>4.4584646329714595</v>
      </c>
      <c r="P315" s="140">
        <f>IF(OR(M315=0,M315=3),loop_gain!$B$18,IF(Current_limit!M315=1,Current_limit!$B$12/(2*(Current_limit!N315-Helper_calcs!$B$27)),IF(OR(M315=2,M315=23),(Main!$B$19-Current_limit!O315)*Current_limit!O315/(Main!$B$19*loop_gain!$B$17*(Helper_calcs!$B$26-Helper_calcs!$B$27)),x)))</f>
        <v>400000</v>
      </c>
      <c r="Q315" s="137"/>
    </row>
    <row r="316" spans="1:17" x14ac:dyDescent="0.25">
      <c r="A316">
        <f t="shared" si="40"/>
        <v>3.7499999999999636</v>
      </c>
      <c r="B316">
        <f>Main!$B$20/A316</f>
        <v>1.3333333333333464</v>
      </c>
      <c r="D316" s="137">
        <f t="shared" si="33"/>
        <v>1.3333333333333464</v>
      </c>
      <c r="E316" s="137">
        <f>-B316*Main!$B$19-2*Main!$B$19*loop_gain!$B$17*loop_gain!$B$18</f>
        <v>-81.280000000000143</v>
      </c>
      <c r="F316" s="137">
        <f>2*Main!$B$19*loop_gain!$B$17*loop_gain!$B$18*Helper_calcs!$B$26*Current_limit!B316</f>
        <v>335.10400000000323</v>
      </c>
      <c r="G316" s="137">
        <f t="shared" si="35"/>
        <v>4.44728212421919</v>
      </c>
      <c r="H316" s="137">
        <f>(Main!$B$19-Current_limit!G316)*Current_limit!G316/(Main!$B$19*loop_gain!$B$17*loop_gain!$B$18)</f>
        <v>1.0290768136712849</v>
      </c>
      <c r="I316" s="137">
        <f t="shared" si="36"/>
        <v>2.8209231863287174</v>
      </c>
      <c r="J316" s="137"/>
      <c r="K316" s="138">
        <f>IF(A316&gt;$B$15,IF(I316&gt;Helper_calcs!$B$27,23,3),0)</f>
        <v>3</v>
      </c>
      <c r="L316" s="139">
        <f t="shared" si="34"/>
        <v>2</v>
      </c>
      <c r="M316" s="139">
        <f t="shared" si="37"/>
        <v>3</v>
      </c>
      <c r="N316" s="137">
        <f t="shared" si="38"/>
        <v>3.3354615931643599</v>
      </c>
      <c r="O316" s="137">
        <f t="shared" si="39"/>
        <v>4.44728212421919</v>
      </c>
      <c r="P316" s="140">
        <f>IF(OR(M316=0,M316=3),loop_gain!$B$18,IF(Current_limit!M316=1,Current_limit!$B$12/(2*(Current_limit!N316-Helper_calcs!$B$27)),IF(OR(M316=2,M316=23),(Main!$B$19-Current_limit!O316)*Current_limit!O316/(Main!$B$19*loop_gain!$B$17*(Helper_calcs!$B$26-Helper_calcs!$B$27)),x)))</f>
        <v>400000</v>
      </c>
      <c r="Q316" s="137"/>
    </row>
    <row r="317" spans="1:17" x14ac:dyDescent="0.25">
      <c r="A317">
        <f t="shared" si="40"/>
        <v>3.7599999999999634</v>
      </c>
      <c r="B317">
        <f>Main!$B$20/A317</f>
        <v>1.329787234042566</v>
      </c>
      <c r="D317" s="137">
        <f t="shared" si="33"/>
        <v>1.329787234042566</v>
      </c>
      <c r="E317" s="137">
        <f>-B317*Main!$B$19-2*Main!$B$19*loop_gain!$B$17*loop_gain!$B$18</f>
        <v>-81.237446808510782</v>
      </c>
      <c r="F317" s="137">
        <f>2*Main!$B$19*loop_gain!$B$17*loop_gain!$B$18*Helper_calcs!$B$26*Current_limit!B317</f>
        <v>334.21276595744996</v>
      </c>
      <c r="G317" s="137">
        <f t="shared" si="35"/>
        <v>4.4361603235651401</v>
      </c>
      <c r="H317" s="137">
        <f>(Main!$B$19-Current_limit!G317)*Current_limit!G317/(Main!$B$19*loop_gain!$B$17*loop_gain!$B$18)</f>
        <v>1.0280148733580918</v>
      </c>
      <c r="I317" s="137">
        <f t="shared" si="36"/>
        <v>2.8219851266419074</v>
      </c>
      <c r="J317" s="137"/>
      <c r="K317" s="138">
        <f>IF(A317&gt;$B$15,IF(I317&gt;Helper_calcs!$B$27,23,3),0)</f>
        <v>3</v>
      </c>
      <c r="L317" s="139">
        <f t="shared" si="34"/>
        <v>2</v>
      </c>
      <c r="M317" s="139">
        <f t="shared" si="37"/>
        <v>3</v>
      </c>
      <c r="N317" s="137">
        <f t="shared" si="38"/>
        <v>3.3359925633209531</v>
      </c>
      <c r="O317" s="137">
        <f t="shared" si="39"/>
        <v>4.4361603235651401</v>
      </c>
      <c r="P317" s="140">
        <f>IF(OR(M317=0,M317=3),loop_gain!$B$18,IF(Current_limit!M317=1,Current_limit!$B$12/(2*(Current_limit!N317-Helper_calcs!$B$27)),IF(OR(M317=2,M317=23),(Main!$B$19-Current_limit!O317)*Current_limit!O317/(Main!$B$19*loop_gain!$B$17*(Helper_calcs!$B$26-Helper_calcs!$B$27)),x)))</f>
        <v>400000</v>
      </c>
      <c r="Q317" s="137"/>
    </row>
    <row r="318" spans="1:17" x14ac:dyDescent="0.25">
      <c r="A318">
        <f t="shared" si="40"/>
        <v>3.7699999999999632</v>
      </c>
      <c r="B318">
        <f>Main!$B$20/A318</f>
        <v>1.326259946949615</v>
      </c>
      <c r="D318" s="137">
        <f t="shared" si="33"/>
        <v>1.326259946949615</v>
      </c>
      <c r="E318" s="137">
        <f>-B318*Main!$B$19-2*Main!$B$19*loop_gain!$B$17*loop_gain!$B$18</f>
        <v>-81.195119363395364</v>
      </c>
      <c r="F318" s="137">
        <f>2*Main!$B$19*loop_gain!$B$17*loop_gain!$B$18*Helper_calcs!$B$26*Current_limit!B318</f>
        <v>333.32625994695275</v>
      </c>
      <c r="G318" s="137">
        <f t="shared" si="35"/>
        <v>4.4250986996219259</v>
      </c>
      <c r="H318" s="137">
        <f>(Main!$B$19-Current_limit!G318)*Current_limit!G318/(Main!$B$19*loop_gain!$B$17*loop_gain!$B$18)</f>
        <v>1.026951160970204</v>
      </c>
      <c r="I318" s="137">
        <f t="shared" si="36"/>
        <v>2.8230488390297976</v>
      </c>
      <c r="J318" s="137"/>
      <c r="K318" s="138">
        <f>IF(A318&gt;$B$15,IF(I318&gt;Helper_calcs!$B$27,23,3),0)</f>
        <v>3</v>
      </c>
      <c r="L318" s="139">
        <f t="shared" si="34"/>
        <v>2</v>
      </c>
      <c r="M318" s="139">
        <f t="shared" si="37"/>
        <v>3</v>
      </c>
      <c r="N318" s="137">
        <f t="shared" si="38"/>
        <v>3.3365244195148995</v>
      </c>
      <c r="O318" s="137">
        <f t="shared" si="39"/>
        <v>4.4250986996219259</v>
      </c>
      <c r="P318" s="140">
        <f>IF(OR(M318=0,M318=3),loop_gain!$B$18,IF(Current_limit!M318=1,Current_limit!$B$12/(2*(Current_limit!N318-Helper_calcs!$B$27)),IF(OR(M318=2,M318=23),(Main!$B$19-Current_limit!O318)*Current_limit!O318/(Main!$B$19*loop_gain!$B$17*(Helper_calcs!$B$26-Helper_calcs!$B$27)),x)))</f>
        <v>400000</v>
      </c>
      <c r="Q318" s="137"/>
    </row>
    <row r="319" spans="1:17" x14ac:dyDescent="0.25">
      <c r="A319">
        <f t="shared" si="40"/>
        <v>3.7799999999999629</v>
      </c>
      <c r="B319">
        <f>Main!$B$20/A319</f>
        <v>1.3227513227513357</v>
      </c>
      <c r="D319" s="137">
        <f t="shared" si="33"/>
        <v>1.3227513227513357</v>
      </c>
      <c r="E319" s="137">
        <f>-B319*Main!$B$19-2*Main!$B$19*loop_gain!$B$17*loop_gain!$B$18</f>
        <v>-81.153015873016017</v>
      </c>
      <c r="F319" s="137">
        <f>2*Main!$B$19*loop_gain!$B$17*loop_gain!$B$18*Helper_calcs!$B$26*Current_limit!B319</f>
        <v>332.44444444444764</v>
      </c>
      <c r="G319" s="137">
        <f t="shared" si="35"/>
        <v>4.4140967275971219</v>
      </c>
      <c r="H319" s="137">
        <f>(Main!$B$19-Current_limit!G319)*Current_limit!G319/(Main!$B$19*loop_gain!$B$17*loop_gain!$B$18)</f>
        <v>1.0258857478732184</v>
      </c>
      <c r="I319" s="137">
        <f t="shared" si="36"/>
        <v>2.8241142521267824</v>
      </c>
      <c r="J319" s="137"/>
      <c r="K319" s="138">
        <f>IF(A319&gt;$B$15,IF(I319&gt;Helper_calcs!$B$27,23,3),0)</f>
        <v>3</v>
      </c>
      <c r="L319" s="139">
        <f t="shared" si="34"/>
        <v>2</v>
      </c>
      <c r="M319" s="139">
        <f t="shared" si="37"/>
        <v>3</v>
      </c>
      <c r="N319" s="137">
        <f t="shared" si="38"/>
        <v>3.3370571260633914</v>
      </c>
      <c r="O319" s="137">
        <f t="shared" si="39"/>
        <v>4.4140967275971219</v>
      </c>
      <c r="P319" s="140">
        <f>IF(OR(M319=0,M319=3),loop_gain!$B$18,IF(Current_limit!M319=1,Current_limit!$B$12/(2*(Current_limit!N319-Helper_calcs!$B$27)),IF(OR(M319=2,M319=23),(Main!$B$19-Current_limit!O319)*Current_limit!O319/(Main!$B$19*loop_gain!$B$17*(Helper_calcs!$B$26-Helper_calcs!$B$27)),x)))</f>
        <v>400000</v>
      </c>
      <c r="Q319" s="137"/>
    </row>
    <row r="320" spans="1:17" x14ac:dyDescent="0.25">
      <c r="A320">
        <f t="shared" si="40"/>
        <v>3.7899999999999627</v>
      </c>
      <c r="B320">
        <f>Main!$B$20/A320</f>
        <v>1.3192612137203297</v>
      </c>
      <c r="D320" s="137">
        <f t="shared" si="33"/>
        <v>1.3192612137203297</v>
      </c>
      <c r="E320" s="137">
        <f>-B320*Main!$B$19-2*Main!$B$19*loop_gain!$B$17*loop_gain!$B$18</f>
        <v>-81.111134564643947</v>
      </c>
      <c r="F320" s="137">
        <f>2*Main!$B$19*loop_gain!$B$17*loop_gain!$B$18*Helper_calcs!$B$26*Current_limit!B320</f>
        <v>331.56728232190295</v>
      </c>
      <c r="G320" s="137">
        <f t="shared" si="35"/>
        <v>4.4031538891857869</v>
      </c>
      <c r="H320" s="137">
        <f>(Main!$B$19-Current_limit!G320)*Current_limit!G320/(Main!$B$19*loop_gain!$B$17*loop_gain!$B$18)</f>
        <v>1.0248187039944094</v>
      </c>
      <c r="I320" s="137">
        <f t="shared" si="36"/>
        <v>2.8251812960055886</v>
      </c>
      <c r="J320" s="137"/>
      <c r="K320" s="138">
        <f>IF(A320&gt;$B$15,IF(I320&gt;Helper_calcs!$B$27,23,3),0)</f>
        <v>3</v>
      </c>
      <c r="L320" s="139">
        <f t="shared" si="34"/>
        <v>2</v>
      </c>
      <c r="M320" s="139">
        <f t="shared" si="37"/>
        <v>3</v>
      </c>
      <c r="N320" s="137">
        <f t="shared" si="38"/>
        <v>3.3375906480027933</v>
      </c>
      <c r="O320" s="137">
        <f t="shared" si="39"/>
        <v>4.4031538891857869</v>
      </c>
      <c r="P320" s="140">
        <f>IF(OR(M320=0,M320=3),loop_gain!$B$18,IF(Current_limit!M320=1,Current_limit!$B$12/(2*(Current_limit!N320-Helper_calcs!$B$27)),IF(OR(M320=2,M320=23),(Main!$B$19-Current_limit!O320)*Current_limit!O320/(Main!$B$19*loop_gain!$B$17*(Helper_calcs!$B$26-Helper_calcs!$B$27)),x)))</f>
        <v>400000</v>
      </c>
      <c r="Q320" s="137"/>
    </row>
    <row r="321" spans="1:17" x14ac:dyDescent="0.25">
      <c r="A321">
        <f t="shared" si="40"/>
        <v>3.7999999999999625</v>
      </c>
      <c r="B321">
        <f>Main!$B$20/A321</f>
        <v>1.3157894736842235</v>
      </c>
      <c r="D321" s="137">
        <f t="shared" si="33"/>
        <v>1.3157894736842235</v>
      </c>
      <c r="E321" s="137">
        <f>-B321*Main!$B$19-2*Main!$B$19*loop_gain!$B$17*loop_gain!$B$18</f>
        <v>-81.069473684210664</v>
      </c>
      <c r="F321" s="137">
        <f>2*Main!$B$19*loop_gain!$B$17*loop_gain!$B$18*Helper_calcs!$B$26*Current_limit!B321</f>
        <v>330.69473684210845</v>
      </c>
      <c r="G321" s="137">
        <f t="shared" si="35"/>
        <v>4.3922696724651207</v>
      </c>
      <c r="H321" s="137">
        <f>(Main!$B$19-Current_limit!G321)*Current_limit!G321/(Main!$B$19*loop_gain!$B$17*loop_gain!$B$18)</f>
        <v>1.023750097853082</v>
      </c>
      <c r="I321" s="137">
        <f t="shared" si="36"/>
        <v>2.8262499021469178</v>
      </c>
      <c r="J321" s="137"/>
      <c r="K321" s="138">
        <f>IF(A321&gt;$B$15,IF(I321&gt;Helper_calcs!$B$27,23,3),0)</f>
        <v>3</v>
      </c>
      <c r="L321" s="139">
        <f t="shared" si="34"/>
        <v>2</v>
      </c>
      <c r="M321" s="139">
        <f t="shared" si="37"/>
        <v>3</v>
      </c>
      <c r="N321" s="137">
        <f t="shared" si="38"/>
        <v>3.3381249510734587</v>
      </c>
      <c r="O321" s="137">
        <f t="shared" si="39"/>
        <v>4.3922696724651207</v>
      </c>
      <c r="P321" s="140">
        <f>IF(OR(M321=0,M321=3),loop_gain!$B$18,IF(Current_limit!M321=1,Current_limit!$B$12/(2*(Current_limit!N321-Helper_calcs!$B$27)),IF(OR(M321=2,M321=23),(Main!$B$19-Current_limit!O321)*Current_limit!O321/(Main!$B$19*loop_gain!$B$17*(Helper_calcs!$B$26-Helper_calcs!$B$27)),x)))</f>
        <v>400000</v>
      </c>
      <c r="Q321" s="137"/>
    </row>
    <row r="322" spans="1:17" x14ac:dyDescent="0.25">
      <c r="A322">
        <f t="shared" si="40"/>
        <v>3.8099999999999623</v>
      </c>
      <c r="B322">
        <f>Main!$B$20/A322</f>
        <v>1.3123359580052623</v>
      </c>
      <c r="D322" s="137">
        <f t="shared" si="33"/>
        <v>1.3123359580052623</v>
      </c>
      <c r="E322" s="137">
        <f>-B322*Main!$B$19-2*Main!$B$19*loop_gain!$B$17*loop_gain!$B$18</f>
        <v>-81.028031496063136</v>
      </c>
      <c r="F322" s="137">
        <f>2*Main!$B$19*loop_gain!$B$17*loop_gain!$B$18*Helper_calcs!$B$26*Current_limit!B322</f>
        <v>329.82677165354647</v>
      </c>
      <c r="G322" s="137">
        <f t="shared" si="35"/>
        <v>4.3814435717912499</v>
      </c>
      <c r="H322" s="137">
        <f>(Main!$B$19-Current_limit!G322)*Current_limit!G322/(Main!$B$19*loop_gain!$B$17*loop_gain!$B$18)</f>
        <v>1.0226799965902003</v>
      </c>
      <c r="I322" s="137">
        <f t="shared" si="36"/>
        <v>2.8273200034097998</v>
      </c>
      <c r="J322" s="137"/>
      <c r="K322" s="138">
        <f>IF(A322&gt;$B$15,IF(I322&gt;Helper_calcs!$B$27,23,3),0)</f>
        <v>3</v>
      </c>
      <c r="L322" s="139">
        <f t="shared" si="34"/>
        <v>2</v>
      </c>
      <c r="M322" s="139">
        <f t="shared" si="37"/>
        <v>3</v>
      </c>
      <c r="N322" s="137">
        <f t="shared" si="38"/>
        <v>3.3386600017048997</v>
      </c>
      <c r="O322" s="137">
        <f t="shared" si="39"/>
        <v>4.3814435717912499</v>
      </c>
      <c r="P322" s="140">
        <f>IF(OR(M322=0,M322=3),loop_gain!$B$18,IF(Current_limit!M322=1,Current_limit!$B$12/(2*(Current_limit!N322-Helper_calcs!$B$27)),IF(OR(M322=2,M322=23),(Main!$B$19-Current_limit!O322)*Current_limit!O322/(Main!$B$19*loop_gain!$B$17*(Helper_calcs!$B$26-Helper_calcs!$B$27)),x)))</f>
        <v>400000</v>
      </c>
      <c r="Q322" s="137"/>
    </row>
    <row r="323" spans="1:17" x14ac:dyDescent="0.25">
      <c r="A323">
        <f t="shared" si="40"/>
        <v>3.8199999999999621</v>
      </c>
      <c r="B323">
        <f>Main!$B$20/A323</f>
        <v>1.3089005235602225</v>
      </c>
      <c r="D323" s="137">
        <f t="shared" si="33"/>
        <v>1.3089005235602225</v>
      </c>
      <c r="E323" s="137">
        <f>-B323*Main!$B$19-2*Main!$B$19*loop_gain!$B$17*loop_gain!$B$18</f>
        <v>-80.986806282722654</v>
      </c>
      <c r="F323" s="137">
        <f>2*Main!$B$19*loop_gain!$B$17*loop_gain!$B$18*Helper_calcs!$B$26*Current_limit!B323</f>
        <v>328.96335078534349</v>
      </c>
      <c r="G323" s="137">
        <f t="shared" si="35"/>
        <v>4.3706750876981308</v>
      </c>
      <c r="H323" s="137">
        <f>(Main!$B$19-Current_limit!G323)*Current_limit!G323/(Main!$B$19*loop_gain!$B$17*loop_gain!$B$18)</f>
        <v>1.0216084659973195</v>
      </c>
      <c r="I323" s="137">
        <f t="shared" si="36"/>
        <v>2.8283915340026788</v>
      </c>
      <c r="J323" s="137"/>
      <c r="K323" s="138">
        <f>IF(A323&gt;$B$15,IF(I323&gt;Helper_calcs!$B$27,23,3),0)</f>
        <v>3</v>
      </c>
      <c r="L323" s="139">
        <f t="shared" si="34"/>
        <v>2</v>
      </c>
      <c r="M323" s="139">
        <f t="shared" si="37"/>
        <v>3</v>
      </c>
      <c r="N323" s="137">
        <f t="shared" si="38"/>
        <v>3.3391957670013386</v>
      </c>
      <c r="O323" s="137">
        <f t="shared" si="39"/>
        <v>4.3706750876981308</v>
      </c>
      <c r="P323" s="140">
        <f>IF(OR(M323=0,M323=3),loop_gain!$B$18,IF(Current_limit!M323=1,Current_limit!$B$12/(2*(Current_limit!N323-Helper_calcs!$B$27)),IF(OR(M323=2,M323=23),(Main!$B$19-Current_limit!O323)*Current_limit!O323/(Main!$B$19*loop_gain!$B$17*(Helper_calcs!$B$26-Helper_calcs!$B$27)),x)))</f>
        <v>400000</v>
      </c>
      <c r="Q323" s="137"/>
    </row>
    <row r="324" spans="1:17" x14ac:dyDescent="0.25">
      <c r="A324">
        <f t="shared" si="40"/>
        <v>3.8299999999999619</v>
      </c>
      <c r="B324">
        <f>Main!$B$20/A324</f>
        <v>1.3054830287206396</v>
      </c>
      <c r="D324" s="137">
        <f t="shared" si="33"/>
        <v>1.3054830287206396</v>
      </c>
      <c r="E324" s="137">
        <f>-B324*Main!$B$19-2*Main!$B$19*loop_gain!$B$17*loop_gain!$B$18</f>
        <v>-80.945796344647661</v>
      </c>
      <c r="F324" s="137">
        <f>2*Main!$B$19*loop_gain!$B$17*loop_gain!$B$18*Helper_calcs!$B$26*Current_limit!B324</f>
        <v>328.10443864230086</v>
      </c>
      <c r="G324" s="137">
        <f t="shared" si="35"/>
        <v>4.3599637267984583</v>
      </c>
      <c r="H324" s="137">
        <f>(Main!$B$19-Current_limit!G324)*Current_limit!G324/(Main!$B$19*loop_gain!$B$17*loop_gain!$B$18)</f>
        <v>1.0205355705448285</v>
      </c>
      <c r="I324" s="137">
        <f t="shared" si="36"/>
        <v>2.8294644294551716</v>
      </c>
      <c r="J324" s="137"/>
      <c r="K324" s="138">
        <f>IF(A324&gt;$B$15,IF(I324&gt;Helper_calcs!$B$27,23,3),0)</f>
        <v>3</v>
      </c>
      <c r="L324" s="139">
        <f t="shared" si="34"/>
        <v>2</v>
      </c>
      <c r="M324" s="139">
        <f t="shared" si="37"/>
        <v>3</v>
      </c>
      <c r="N324" s="137">
        <f t="shared" si="38"/>
        <v>3.3397322147275861</v>
      </c>
      <c r="O324" s="137">
        <f t="shared" si="39"/>
        <v>4.3599637267984583</v>
      </c>
      <c r="P324" s="140">
        <f>IF(OR(M324=0,M324=3),loop_gain!$B$18,IF(Current_limit!M324=1,Current_limit!$B$12/(2*(Current_limit!N324-Helper_calcs!$B$27)),IF(OR(M324=2,M324=23),(Main!$B$19-Current_limit!O324)*Current_limit!O324/(Main!$B$19*loop_gain!$B$17*(Helper_calcs!$B$26-Helper_calcs!$B$27)),x)))</f>
        <v>400000</v>
      </c>
      <c r="Q324" s="137"/>
    </row>
    <row r="325" spans="1:17" x14ac:dyDescent="0.25">
      <c r="A325">
        <f t="shared" si="40"/>
        <v>3.8399999999999617</v>
      </c>
      <c r="B325">
        <f>Main!$B$20/A325</f>
        <v>1.3020833333333464</v>
      </c>
      <c r="D325" s="137">
        <f t="shared" si="33"/>
        <v>1.3020833333333464</v>
      </c>
      <c r="E325" s="137">
        <f>-B325*Main!$B$19-2*Main!$B$19*loop_gain!$B$17*loop_gain!$B$18</f>
        <v>-80.905000000000143</v>
      </c>
      <c r="F325" s="137">
        <f>2*Main!$B$19*loop_gain!$B$17*loop_gain!$B$18*Helper_calcs!$B$26*Current_limit!B325</f>
        <v>327.25000000000318</v>
      </c>
      <c r="G325" s="137">
        <f t="shared" si="35"/>
        <v>4.3493090016865485</v>
      </c>
      <c r="H325" s="137">
        <f>(Main!$B$19-Current_limit!G325)*Current_limit!G325/(Main!$B$19*loop_gain!$B$17*loop_gain!$B$18)</f>
        <v>1.0194613734095266</v>
      </c>
      <c r="I325" s="137">
        <f t="shared" si="36"/>
        <v>2.8305386265904726</v>
      </c>
      <c r="J325" s="137"/>
      <c r="K325" s="138">
        <f>IF(A325&gt;$B$15,IF(I325&gt;Helper_calcs!$B$27,23,3),0)</f>
        <v>3</v>
      </c>
      <c r="L325" s="139">
        <f t="shared" si="34"/>
        <v>2</v>
      </c>
      <c r="M325" s="139">
        <f t="shared" si="37"/>
        <v>3</v>
      </c>
      <c r="N325" s="137">
        <f t="shared" si="38"/>
        <v>3.3402693132952357</v>
      </c>
      <c r="O325" s="137">
        <f t="shared" si="39"/>
        <v>4.3493090016865485</v>
      </c>
      <c r="P325" s="140">
        <f>IF(OR(M325=0,M325=3),loop_gain!$B$18,IF(Current_limit!M325=1,Current_limit!$B$12/(2*(Current_limit!N325-Helper_calcs!$B$27)),IF(OR(M325=2,M325=23),(Main!$B$19-Current_limit!O325)*Current_limit!O325/(Main!$B$19*loop_gain!$B$17*(Helper_calcs!$B$26-Helper_calcs!$B$27)),x)))</f>
        <v>400000</v>
      </c>
      <c r="Q325" s="137"/>
    </row>
    <row r="326" spans="1:17" x14ac:dyDescent="0.25">
      <c r="A326">
        <f t="shared" si="40"/>
        <v>3.8499999999999615</v>
      </c>
      <c r="B326">
        <f>Main!$B$20/A326</f>
        <v>1.2987012987013118</v>
      </c>
      <c r="D326" s="137">
        <f t="shared" si="33"/>
        <v>1.2987012987013118</v>
      </c>
      <c r="E326" s="137">
        <f>-B326*Main!$B$19-2*Main!$B$19*loop_gain!$B$17*loop_gain!$B$18</f>
        <v>-80.864415584415724</v>
      </c>
      <c r="F326" s="137">
        <f>2*Main!$B$19*loop_gain!$B$17*loop_gain!$B$18*Helper_calcs!$B$26*Current_limit!B326</f>
        <v>326.40000000000322</v>
      </c>
      <c r="G326" s="137">
        <f t="shared" si="35"/>
        <v>4.3387104308431912</v>
      </c>
      <c r="H326" s="137">
        <f>(Main!$B$19-Current_limit!G326)*Current_limit!G326/(Main!$B$19*loop_gain!$B$17*loop_gain!$B$18)</f>
        <v>1.0183859365015562</v>
      </c>
      <c r="I326" s="137">
        <f t="shared" si="36"/>
        <v>2.8316140634984457</v>
      </c>
      <c r="J326" s="137"/>
      <c r="K326" s="138">
        <f>IF(A326&gt;$B$15,IF(I326&gt;Helper_calcs!$B$27,23,3),0)</f>
        <v>3</v>
      </c>
      <c r="L326" s="139">
        <f t="shared" si="34"/>
        <v>2</v>
      </c>
      <c r="M326" s="139">
        <f t="shared" si="37"/>
        <v>3</v>
      </c>
      <c r="N326" s="137">
        <f t="shared" si="38"/>
        <v>3.3408070317492236</v>
      </c>
      <c r="O326" s="137">
        <f t="shared" si="39"/>
        <v>4.3387104308431912</v>
      </c>
      <c r="P326" s="140">
        <f>IF(OR(M326=0,M326=3),loop_gain!$B$18,IF(Current_limit!M326=1,Current_limit!$B$12/(2*(Current_limit!N326-Helper_calcs!$B$27)),IF(OR(M326=2,M326=23),(Main!$B$19-Current_limit!O326)*Current_limit!O326/(Main!$B$19*loop_gain!$B$17*(Helper_calcs!$B$26-Helper_calcs!$B$27)),x)))</f>
        <v>400000</v>
      </c>
      <c r="Q326" s="137"/>
    </row>
    <row r="327" spans="1:17" x14ac:dyDescent="0.25">
      <c r="A327">
        <f t="shared" si="40"/>
        <v>3.8599999999999612</v>
      </c>
      <c r="B327">
        <f>Main!$B$20/A327</f>
        <v>1.2953367875647799</v>
      </c>
      <c r="D327" s="137">
        <f t="shared" si="33"/>
        <v>1.2953367875647799</v>
      </c>
      <c r="E327" s="137">
        <f>-B327*Main!$B$19-2*Main!$B$19*loop_gain!$B$17*loop_gain!$B$18</f>
        <v>-80.824041450777344</v>
      </c>
      <c r="F327" s="137">
        <f>2*Main!$B$19*loop_gain!$B$17*loop_gain!$B$18*Helper_calcs!$B$26*Current_limit!B327</f>
        <v>325.55440414508092</v>
      </c>
      <c r="G327" s="137">
        <f t="shared" si="35"/>
        <v>4.3281675385423375</v>
      </c>
      <c r="H327" s="137">
        <f>(Main!$B$19-Current_limit!G327)*Current_limit!G327/(Main!$B$19*loop_gain!$B$17*loop_gain!$B$18)</f>
        <v>1.0173093204906991</v>
      </c>
      <c r="I327" s="137">
        <f t="shared" si="36"/>
        <v>2.8326906795093016</v>
      </c>
      <c r="J327" s="137"/>
      <c r="K327" s="138">
        <f>IF(A327&gt;$B$15,IF(I327&gt;Helper_calcs!$B$27,23,3),0)</f>
        <v>3</v>
      </c>
      <c r="L327" s="139">
        <f t="shared" si="34"/>
        <v>2</v>
      </c>
      <c r="M327" s="139">
        <f t="shared" si="37"/>
        <v>3</v>
      </c>
      <c r="N327" s="137">
        <f t="shared" si="38"/>
        <v>3.3413453397546511</v>
      </c>
      <c r="O327" s="137">
        <f t="shared" si="39"/>
        <v>4.3281675385423375</v>
      </c>
      <c r="P327" s="140">
        <f>IF(OR(M327=0,M327=3),loop_gain!$B$18,IF(Current_limit!M327=1,Current_limit!$B$12/(2*(Current_limit!N327-Helper_calcs!$B$27)),IF(OR(M327=2,M327=23),(Main!$B$19-Current_limit!O327)*Current_limit!O327/(Main!$B$19*loop_gain!$B$17*(Helper_calcs!$B$26-Helper_calcs!$B$27)),x)))</f>
        <v>400000</v>
      </c>
      <c r="Q327" s="137"/>
    </row>
    <row r="328" spans="1:17" x14ac:dyDescent="0.25">
      <c r="A328">
        <f t="shared" si="40"/>
        <v>3.869999999999961</v>
      </c>
      <c r="B328">
        <f>Main!$B$20/A328</f>
        <v>1.2919896640827004</v>
      </c>
      <c r="D328" s="137">
        <f t="shared" si="33"/>
        <v>1.2919896640827004</v>
      </c>
      <c r="E328" s="137">
        <f>-B328*Main!$B$19-2*Main!$B$19*loop_gain!$B$17*loop_gain!$B$18</f>
        <v>-80.78387596899239</v>
      </c>
      <c r="F328" s="137">
        <f>2*Main!$B$19*loop_gain!$B$17*loop_gain!$B$18*Helper_calcs!$B$26*Current_limit!B328</f>
        <v>324.71317829457689</v>
      </c>
      <c r="G328" s="137">
        <f t="shared" si="35"/>
        <v>4.3176798547596951</v>
      </c>
      <c r="H328" s="137">
        <f>(Main!$B$19-Current_limit!G328)*Current_limit!G328/(Main!$B$19*loop_gain!$B$17*loop_gain!$B$18)</f>
        <v>1.0162315848320662</v>
      </c>
      <c r="I328" s="137">
        <f t="shared" si="36"/>
        <v>2.8337684151679374</v>
      </c>
      <c r="J328" s="137"/>
      <c r="K328" s="138">
        <f>IF(A328&gt;$B$15,IF(I328&gt;Helper_calcs!$B$27,23,3),0)</f>
        <v>3</v>
      </c>
      <c r="L328" s="139">
        <f t="shared" si="34"/>
        <v>2</v>
      </c>
      <c r="M328" s="139">
        <f t="shared" si="37"/>
        <v>3</v>
      </c>
      <c r="N328" s="137">
        <f t="shared" si="38"/>
        <v>3.3418842075839703</v>
      </c>
      <c r="O328" s="137">
        <f t="shared" si="39"/>
        <v>4.3176798547596951</v>
      </c>
      <c r="P328" s="140">
        <f>IF(OR(M328=0,M328=3),loop_gain!$B$18,IF(Current_limit!M328=1,Current_limit!$B$12/(2*(Current_limit!N328-Helper_calcs!$B$27)),IF(OR(M328=2,M328=23),(Main!$B$19-Current_limit!O328)*Current_limit!O328/(Main!$B$19*loop_gain!$B$17*(Helper_calcs!$B$26-Helper_calcs!$B$27)),x)))</f>
        <v>400000</v>
      </c>
      <c r="Q328" s="137"/>
    </row>
    <row r="329" spans="1:17" x14ac:dyDescent="0.25">
      <c r="A329">
        <f t="shared" si="40"/>
        <v>3.8799999999999608</v>
      </c>
      <c r="B329">
        <f>Main!$B$20/A329</f>
        <v>1.288659793814446</v>
      </c>
      <c r="D329" s="137">
        <f t="shared" si="33"/>
        <v>1.288659793814446</v>
      </c>
      <c r="E329" s="137">
        <f>-B329*Main!$B$19-2*Main!$B$19*loop_gain!$B$17*loop_gain!$B$18</f>
        <v>-80.743917525773341</v>
      </c>
      <c r="F329" s="137">
        <f>2*Main!$B$19*loop_gain!$B$17*loop_gain!$B$18*Helper_calcs!$B$26*Current_limit!B329</f>
        <v>323.87628865979701</v>
      </c>
      <c r="G329" s="137">
        <f t="shared" si="35"/>
        <v>4.3072469150830459</v>
      </c>
      <c r="H329" s="137">
        <f>(Main!$B$19-Current_limit!G329)*Current_limit!G329/(Main!$B$19*loop_gain!$B$17*loop_gain!$B$18)</f>
        <v>1.0151527877911808</v>
      </c>
      <c r="I329" s="137">
        <f t="shared" si="36"/>
        <v>2.8348472122088193</v>
      </c>
      <c r="J329" s="137"/>
      <c r="K329" s="138">
        <f>IF(A329&gt;$B$15,IF(I329&gt;Helper_calcs!$B$27,23,3),0)</f>
        <v>3</v>
      </c>
      <c r="L329" s="139">
        <f t="shared" si="34"/>
        <v>2</v>
      </c>
      <c r="M329" s="139">
        <f t="shared" si="37"/>
        <v>3</v>
      </c>
      <c r="N329" s="137">
        <f t="shared" si="38"/>
        <v>3.3424236061044099</v>
      </c>
      <c r="O329" s="137">
        <f t="shared" si="39"/>
        <v>4.3072469150830459</v>
      </c>
      <c r="P329" s="140">
        <f>IF(OR(M329=0,M329=3),loop_gain!$B$18,IF(Current_limit!M329=1,Current_limit!$B$12/(2*(Current_limit!N329-Helper_calcs!$B$27)),IF(OR(M329=2,M329=23),(Main!$B$19-Current_limit!O329)*Current_limit!O329/(Main!$B$19*loop_gain!$B$17*(Helper_calcs!$B$26-Helper_calcs!$B$27)),x)))</f>
        <v>400000</v>
      </c>
      <c r="Q329" s="137"/>
    </row>
    <row r="330" spans="1:17" x14ac:dyDescent="0.25">
      <c r="A330">
        <f t="shared" si="40"/>
        <v>3.8899999999999606</v>
      </c>
      <c r="B330">
        <f>Main!$B$20/A330</f>
        <v>1.2853470437018124</v>
      </c>
      <c r="D330" s="137">
        <f t="shared" si="33"/>
        <v>1.2853470437018124</v>
      </c>
      <c r="E330" s="137">
        <f>-B330*Main!$B$19-2*Main!$B$19*loop_gain!$B$17*loop_gain!$B$18</f>
        <v>-80.704164524421742</v>
      </c>
      <c r="F330" s="137">
        <f>2*Main!$B$19*loop_gain!$B$17*loop_gain!$B$18*Helper_calcs!$B$26*Current_limit!B330</f>
        <v>323.04370179948904</v>
      </c>
      <c r="G330" s="137">
        <f t="shared" si="35"/>
        <v>4.2968682606244082</v>
      </c>
      <c r="H330" s="137">
        <f>(Main!$B$19-Current_limit!G330)*Current_limit!G330/(Main!$B$19*loop_gain!$B$17*loop_gain!$B$18)</f>
        <v>1.0140729864684888</v>
      </c>
      <c r="I330" s="137">
        <f t="shared" si="36"/>
        <v>2.8359270135315118</v>
      </c>
      <c r="J330" s="137"/>
      <c r="K330" s="138">
        <f>IF(A330&gt;$B$15,IF(I330&gt;Helper_calcs!$B$27,23,3),0)</f>
        <v>3</v>
      </c>
      <c r="L330" s="139">
        <f t="shared" si="34"/>
        <v>2</v>
      </c>
      <c r="M330" s="139">
        <f t="shared" si="37"/>
        <v>3</v>
      </c>
      <c r="N330" s="137">
        <f t="shared" si="38"/>
        <v>3.3429635067657562</v>
      </c>
      <c r="O330" s="137">
        <f t="shared" si="39"/>
        <v>4.2968682606244082</v>
      </c>
      <c r="P330" s="140">
        <f>IF(OR(M330=0,M330=3),loop_gain!$B$18,IF(Current_limit!M330=1,Current_limit!$B$12/(2*(Current_limit!N330-Helper_calcs!$B$27)),IF(OR(M330=2,M330=23),(Main!$B$19-Current_limit!O330)*Current_limit!O330/(Main!$B$19*loop_gain!$B$17*(Helper_calcs!$B$26-Helper_calcs!$B$27)),x)))</f>
        <v>400000</v>
      </c>
      <c r="Q330" s="137"/>
    </row>
    <row r="331" spans="1:17" x14ac:dyDescent="0.25">
      <c r="A331">
        <f t="shared" si="40"/>
        <v>3.8999999999999604</v>
      </c>
      <c r="B331">
        <f>Main!$B$20/A331</f>
        <v>1.282051282051295</v>
      </c>
      <c r="D331" s="137">
        <f t="shared" si="33"/>
        <v>1.282051282051295</v>
      </c>
      <c r="E331" s="137">
        <f>-B331*Main!$B$19-2*Main!$B$19*loop_gain!$B$17*loop_gain!$B$18</f>
        <v>-80.66461538461553</v>
      </c>
      <c r="F331" s="137">
        <f>2*Main!$B$19*loop_gain!$B$17*loop_gain!$B$18*Helper_calcs!$B$26*Current_limit!B331</f>
        <v>322.21538461538779</v>
      </c>
      <c r="G331" s="137">
        <f t="shared" si="35"/>
        <v>4.2865434379338279</v>
      </c>
      <c r="H331" s="137">
        <f>(Main!$B$19-Current_limit!G331)*Current_limit!G331/(Main!$B$19*loop_gain!$B$17*loop_gain!$B$18)</f>
        <v>1.012992236823296</v>
      </c>
      <c r="I331" s="137">
        <f t="shared" si="36"/>
        <v>2.8370077631767039</v>
      </c>
      <c r="J331" s="137"/>
      <c r="K331" s="138">
        <f>IF(A331&gt;$B$15,IF(I331&gt;Helper_calcs!$B$27,23,3),0)</f>
        <v>3</v>
      </c>
      <c r="L331" s="139">
        <f t="shared" si="34"/>
        <v>2</v>
      </c>
      <c r="M331" s="139">
        <f t="shared" si="37"/>
        <v>3</v>
      </c>
      <c r="N331" s="137">
        <f t="shared" si="38"/>
        <v>3.3435038815883518</v>
      </c>
      <c r="O331" s="137">
        <f t="shared" si="39"/>
        <v>4.2865434379338279</v>
      </c>
      <c r="P331" s="140">
        <f>IF(OR(M331=0,M331=3),loop_gain!$B$18,IF(Current_limit!M331=1,Current_limit!$B$12/(2*(Current_limit!N331-Helper_calcs!$B$27)),IF(OR(M331=2,M331=23),(Main!$B$19-Current_limit!O331)*Current_limit!O331/(Main!$B$19*loop_gain!$B$17*(Helper_calcs!$B$26-Helper_calcs!$B$27)),x)))</f>
        <v>400000</v>
      </c>
      <c r="Q331" s="137"/>
    </row>
    <row r="332" spans="1:17" x14ac:dyDescent="0.25">
      <c r="A332">
        <f t="shared" si="40"/>
        <v>3.9099999999999602</v>
      </c>
      <c r="B332">
        <f>Main!$B$20/A332</f>
        <v>1.2787723785166372</v>
      </c>
      <c r="D332" s="137">
        <f t="shared" si="33"/>
        <v>1.2787723785166372</v>
      </c>
      <c r="E332" s="137">
        <f>-B332*Main!$B$19-2*Main!$B$19*loop_gain!$B$17*loop_gain!$B$18</f>
        <v>-80.625268542199635</v>
      </c>
      <c r="F332" s="137">
        <f>2*Main!$B$19*loop_gain!$B$17*loop_gain!$B$18*Helper_calcs!$B$26*Current_limit!B332</f>
        <v>321.3913043478293</v>
      </c>
      <c r="G332" s="137">
        <f t="shared" si="35"/>
        <v>4.2762719989149058</v>
      </c>
      <c r="H332" s="137">
        <f>(Main!$B$19-Current_limit!G332)*Current_limit!G332/(Main!$B$19*loop_gain!$B$17*loop_gain!$B$18)</f>
        <v>1.0119105936971566</v>
      </c>
      <c r="I332" s="137">
        <f t="shared" si="36"/>
        <v>2.8380894063028439</v>
      </c>
      <c r="J332" s="137"/>
      <c r="K332" s="138">
        <f>IF(A332&gt;$B$15,IF(I332&gt;Helper_calcs!$B$27,23,3),0)</f>
        <v>3</v>
      </c>
      <c r="L332" s="139">
        <f t="shared" si="34"/>
        <v>2</v>
      </c>
      <c r="M332" s="139">
        <f t="shared" si="37"/>
        <v>3</v>
      </c>
      <c r="N332" s="137">
        <f t="shared" si="38"/>
        <v>3.3440447031514222</v>
      </c>
      <c r="O332" s="137">
        <f t="shared" si="39"/>
        <v>4.2762719989149058</v>
      </c>
      <c r="P332" s="140">
        <f>IF(OR(M332=0,M332=3),loop_gain!$B$18,IF(Current_limit!M332=1,Current_limit!$B$12/(2*(Current_limit!N332-Helper_calcs!$B$27)),IF(OR(M332=2,M332=23),(Main!$B$19-Current_limit!O332)*Current_limit!O332/(Main!$B$19*loop_gain!$B$17*(Helper_calcs!$B$26-Helper_calcs!$B$27)),x)))</f>
        <v>400000</v>
      </c>
      <c r="Q332" s="137"/>
    </row>
    <row r="333" spans="1:17" x14ac:dyDescent="0.25">
      <c r="A333">
        <f t="shared" si="40"/>
        <v>3.91999999999996</v>
      </c>
      <c r="B333">
        <f>Main!$B$20/A333</f>
        <v>1.2755102040816457</v>
      </c>
      <c r="D333" s="137">
        <f t="shared" si="33"/>
        <v>1.2755102040816457</v>
      </c>
      <c r="E333" s="137">
        <f>-B333*Main!$B$19-2*Main!$B$19*loop_gain!$B$17*loop_gain!$B$18</f>
        <v>-80.586122448979737</v>
      </c>
      <c r="F333" s="137">
        <f>2*Main!$B$19*loop_gain!$B$17*loop_gain!$B$18*Helper_calcs!$B$26*Current_limit!B333</f>
        <v>320.5714285714318</v>
      </c>
      <c r="G333" s="137">
        <f t="shared" si="35"/>
        <v>4.2660535007419309</v>
      </c>
      <c r="H333" s="137">
        <f>(Main!$B$19-Current_limit!G333)*Current_limit!G333/(Main!$B$19*loop_gain!$B$17*loop_gain!$B$18)</f>
        <v>1.0108281108367247</v>
      </c>
      <c r="I333" s="137">
        <f t="shared" si="36"/>
        <v>2.8391718891632771</v>
      </c>
      <c r="J333" s="137"/>
      <c r="K333" s="138">
        <f>IF(A333&gt;$B$15,IF(I333&gt;Helper_calcs!$B$27,23,3),0)</f>
        <v>3</v>
      </c>
      <c r="L333" s="139">
        <f t="shared" si="34"/>
        <v>2</v>
      </c>
      <c r="M333" s="139">
        <f t="shared" si="37"/>
        <v>3</v>
      </c>
      <c r="N333" s="137">
        <f t="shared" si="38"/>
        <v>3.3445859445816395</v>
      </c>
      <c r="O333" s="137">
        <f t="shared" si="39"/>
        <v>4.2660535007419309</v>
      </c>
      <c r="P333" s="140">
        <f>IF(OR(M333=0,M333=3),loop_gain!$B$18,IF(Current_limit!M333=1,Current_limit!$B$12/(2*(Current_limit!N333-Helper_calcs!$B$27)),IF(OR(M333=2,M333=23),(Main!$B$19-Current_limit!O333)*Current_limit!O333/(Main!$B$19*loop_gain!$B$17*(Helper_calcs!$B$26-Helper_calcs!$B$27)),x)))</f>
        <v>400000</v>
      </c>
      <c r="Q333" s="137"/>
    </row>
    <row r="334" spans="1:17" x14ac:dyDescent="0.25">
      <c r="A334">
        <f t="shared" si="40"/>
        <v>3.9299999999999597</v>
      </c>
      <c r="B334">
        <f>Main!$B$20/A334</f>
        <v>1.2722646310432699</v>
      </c>
      <c r="D334" s="137">
        <f t="shared" si="33"/>
        <v>1.2722646310432699</v>
      </c>
      <c r="E334" s="137">
        <f>-B334*Main!$B$19-2*Main!$B$19*loop_gain!$B$17*loop_gain!$B$18</f>
        <v>-80.547175572519222</v>
      </c>
      <c r="F334" s="137">
        <f>2*Main!$B$19*loop_gain!$B$17*loop_gain!$B$18*Helper_calcs!$B$26*Current_limit!B334</f>
        <v>319.7557251908429</v>
      </c>
      <c r="G334" s="137">
        <f t="shared" si="35"/>
        <v>4.2558875057786203</v>
      </c>
      <c r="H334" s="137">
        <f>(Main!$B$19-Current_limit!G334)*Current_limit!G334/(Main!$B$19*loop_gain!$B$17*loop_gain!$B$18)</f>
        <v>1.009744840916081</v>
      </c>
      <c r="I334" s="137">
        <f t="shared" si="36"/>
        <v>2.8402551590839211</v>
      </c>
      <c r="J334" s="137"/>
      <c r="K334" s="138">
        <f>IF(A334&gt;$B$15,IF(I334&gt;Helper_calcs!$B$27,23,3),0)</f>
        <v>3</v>
      </c>
      <c r="L334" s="139">
        <f t="shared" si="34"/>
        <v>2</v>
      </c>
      <c r="M334" s="139">
        <f t="shared" si="37"/>
        <v>3</v>
      </c>
      <c r="N334" s="137">
        <f t="shared" si="38"/>
        <v>3.3451275795419617</v>
      </c>
      <c r="O334" s="137">
        <f t="shared" si="39"/>
        <v>4.2558875057786203</v>
      </c>
      <c r="P334" s="140">
        <f>IF(OR(M334=0,M334=3),loop_gain!$B$18,IF(Current_limit!M334=1,Current_limit!$B$12/(2*(Current_limit!N334-Helper_calcs!$B$27)),IF(OR(M334=2,M334=23),(Main!$B$19-Current_limit!O334)*Current_limit!O334/(Main!$B$19*loop_gain!$B$17*(Helper_calcs!$B$26-Helper_calcs!$B$27)),x)))</f>
        <v>400000</v>
      </c>
      <c r="Q334" s="137"/>
    </row>
    <row r="335" spans="1:17" x14ac:dyDescent="0.25">
      <c r="A335">
        <f t="shared" si="40"/>
        <v>3.9399999999999595</v>
      </c>
      <c r="B335">
        <f>Main!$B$20/A335</f>
        <v>1.269035532994937</v>
      </c>
      <c r="D335" s="137">
        <f t="shared" si="33"/>
        <v>1.269035532994937</v>
      </c>
      <c r="E335" s="137">
        <f>-B335*Main!$B$19-2*Main!$B$19*loop_gain!$B$17*loop_gain!$B$18</f>
        <v>-80.508426395939239</v>
      </c>
      <c r="F335" s="137">
        <f>2*Main!$B$19*loop_gain!$B$17*loop_gain!$B$18*Helper_calcs!$B$26*Current_limit!B335</f>
        <v>318.94416243655144</v>
      </c>
      <c r="G335" s="137">
        <f t="shared" si="35"/>
        <v>4.245773581498427</v>
      </c>
      <c r="H335" s="137">
        <f>(Main!$B$19-Current_limit!G335)*Current_limit!G335/(Main!$B$19*loop_gain!$B$17*loop_gain!$B$18)</f>
        <v>1.0086608355585525</v>
      </c>
      <c r="I335" s="137">
        <f t="shared" si="36"/>
        <v>2.8413391644414494</v>
      </c>
      <c r="J335" s="137"/>
      <c r="K335" s="138">
        <f>IF(A335&gt;$B$15,IF(I335&gt;Helper_calcs!$B$27,23,3),0)</f>
        <v>3</v>
      </c>
      <c r="L335" s="139">
        <f t="shared" si="34"/>
        <v>2</v>
      </c>
      <c r="M335" s="139">
        <f t="shared" si="37"/>
        <v>3</v>
      </c>
      <c r="N335" s="137">
        <f t="shared" si="38"/>
        <v>3.3456695822207259</v>
      </c>
      <c r="O335" s="137">
        <f t="shared" si="39"/>
        <v>4.245773581498427</v>
      </c>
      <c r="P335" s="140">
        <f>IF(OR(M335=0,M335=3),loop_gain!$B$18,IF(Current_limit!M335=1,Current_limit!$B$12/(2*(Current_limit!N335-Helper_calcs!$B$27)),IF(OR(M335=2,M335=23),(Main!$B$19-Current_limit!O335)*Current_limit!O335/(Main!$B$19*loop_gain!$B$17*(Helper_calcs!$B$26-Helper_calcs!$B$27)),x)))</f>
        <v>400000</v>
      </c>
      <c r="Q335" s="137"/>
    </row>
    <row r="336" spans="1:17" x14ac:dyDescent="0.25">
      <c r="A336">
        <f t="shared" si="40"/>
        <v>3.9499999999999593</v>
      </c>
      <c r="B336">
        <f>Main!$B$20/A336</f>
        <v>1.2658227848101395</v>
      </c>
      <c r="D336" s="137">
        <f t="shared" si="33"/>
        <v>1.2658227848101395</v>
      </c>
      <c r="E336" s="137">
        <f>-B336*Main!$B$19-2*Main!$B$19*loop_gain!$B$17*loop_gain!$B$18</f>
        <v>-80.469873417721658</v>
      </c>
      <c r="F336" s="137">
        <f>2*Main!$B$19*loop_gain!$B$17*loop_gain!$B$18*Helper_calcs!$B$26*Current_limit!B336</f>
        <v>318.13670886076267</v>
      </c>
      <c r="G336" s="137">
        <f t="shared" si="35"/>
        <v>4.2357113004063471</v>
      </c>
      <c r="H336" s="137">
        <f>(Main!$B$19-Current_limit!G336)*Current_limit!G336/(Main!$B$19*loop_gain!$B$17*loop_gain!$B$18)</f>
        <v>1.0075761453580312</v>
      </c>
      <c r="I336" s="137">
        <f t="shared" si="36"/>
        <v>2.8424238546419645</v>
      </c>
      <c r="J336" s="137"/>
      <c r="K336" s="138">
        <f>IF(A336&gt;$B$15,IF(I336&gt;Helper_calcs!$B$27,23,3),0)</f>
        <v>3</v>
      </c>
      <c r="L336" s="139">
        <f t="shared" si="34"/>
        <v>2</v>
      </c>
      <c r="M336" s="139">
        <f t="shared" si="37"/>
        <v>3</v>
      </c>
      <c r="N336" s="137">
        <f t="shared" si="38"/>
        <v>3.3462119273209798</v>
      </c>
      <c r="O336" s="137">
        <f t="shared" si="39"/>
        <v>4.2357113004063471</v>
      </c>
      <c r="P336" s="140">
        <f>IF(OR(M336=0,M336=3),loop_gain!$B$18,IF(Current_limit!M336=1,Current_limit!$B$12/(2*(Current_limit!N336-Helper_calcs!$B$27)),IF(OR(M336=2,M336=23),(Main!$B$19-Current_limit!O336)*Current_limit!O336/(Main!$B$19*loop_gain!$B$17*(Helper_calcs!$B$26-Helper_calcs!$B$27)),x)))</f>
        <v>400000</v>
      </c>
      <c r="Q336" s="137"/>
    </row>
    <row r="337" spans="1:17" x14ac:dyDescent="0.25">
      <c r="A337">
        <f t="shared" si="40"/>
        <v>3.9599999999999591</v>
      </c>
      <c r="B337">
        <f>Main!$B$20/A337</f>
        <v>1.2626262626262756</v>
      </c>
      <c r="D337" s="137">
        <f t="shared" si="33"/>
        <v>1.2626262626262756</v>
      </c>
      <c r="E337" s="137">
        <f>-B337*Main!$B$19-2*Main!$B$19*loop_gain!$B$17*loop_gain!$B$18</f>
        <v>-80.431515151515299</v>
      </c>
      <c r="F337" s="137">
        <f>2*Main!$B$19*loop_gain!$B$17*loop_gain!$B$18*Helper_calcs!$B$26*Current_limit!B337</f>
        <v>317.33333333333655</v>
      </c>
      <c r="G337" s="137">
        <f t="shared" si="35"/>
        <v>4.2257002399622783</v>
      </c>
      <c r="H337" s="137">
        <f>(Main!$B$19-Current_limit!G337)*Current_limit!G337/(Main!$B$19*loop_gain!$B$17*loop_gain!$B$18)</f>
        <v>1.006490819899819</v>
      </c>
      <c r="I337" s="137">
        <f t="shared" si="36"/>
        <v>2.8435091801001802</v>
      </c>
      <c r="J337" s="137"/>
      <c r="K337" s="138">
        <f>IF(A337&gt;$B$15,IF(I337&gt;Helper_calcs!$B$27,23,3),0)</f>
        <v>3</v>
      </c>
      <c r="L337" s="139">
        <f t="shared" si="34"/>
        <v>2</v>
      </c>
      <c r="M337" s="139">
        <f t="shared" si="37"/>
        <v>3</v>
      </c>
      <c r="N337" s="137">
        <f t="shared" si="38"/>
        <v>3.3467545900500899</v>
      </c>
      <c r="O337" s="137">
        <f t="shared" si="39"/>
        <v>4.2257002399622783</v>
      </c>
      <c r="P337" s="140">
        <f>IF(OR(M337=0,M337=3),loop_gain!$B$18,IF(Current_limit!M337=1,Current_limit!$B$12/(2*(Current_limit!N337-Helper_calcs!$B$27)),IF(OR(M337=2,M337=23),(Main!$B$19-Current_limit!O337)*Current_limit!O337/(Main!$B$19*loop_gain!$B$17*(Helper_calcs!$B$26-Helper_calcs!$B$27)),x)))</f>
        <v>400000</v>
      </c>
      <c r="Q337" s="137"/>
    </row>
    <row r="338" spans="1:17" x14ac:dyDescent="0.25">
      <c r="A338">
        <f t="shared" si="40"/>
        <v>3.9699999999999589</v>
      </c>
      <c r="B338">
        <f>Main!$B$20/A338</f>
        <v>1.2594458438287284</v>
      </c>
      <c r="D338" s="137">
        <f t="shared" si="33"/>
        <v>1.2594458438287284</v>
      </c>
      <c r="E338" s="137">
        <f>-B338*Main!$B$19-2*Main!$B$19*loop_gain!$B$17*loop_gain!$B$18</f>
        <v>-80.393350125944721</v>
      </c>
      <c r="F338" s="137">
        <f>2*Main!$B$19*loop_gain!$B$17*loop_gain!$B$18*Helper_calcs!$B$26*Current_limit!B338</f>
        <v>316.53400503778659</v>
      </c>
      <c r="G338" s="137">
        <f t="shared" si="35"/>
        <v>4.2157399825057231</v>
      </c>
      <c r="H338" s="137">
        <f>(Main!$B$19-Current_limit!G338)*Current_limit!G338/(Main!$B$19*loop_gain!$B$17*loop_gain!$B$18)</f>
        <v>1.0054049077809843</v>
      </c>
      <c r="I338" s="137">
        <f t="shared" si="36"/>
        <v>2.8445950922190177</v>
      </c>
      <c r="J338" s="137"/>
      <c r="K338" s="138">
        <f>IF(A338&gt;$B$15,IF(I338&gt;Helper_calcs!$B$27,23,3),0)</f>
        <v>3</v>
      </c>
      <c r="L338" s="139">
        <f t="shared" si="34"/>
        <v>2</v>
      </c>
      <c r="M338" s="139">
        <f t="shared" si="37"/>
        <v>3</v>
      </c>
      <c r="N338" s="137">
        <f t="shared" si="38"/>
        <v>3.3472975461095098</v>
      </c>
      <c r="O338" s="137">
        <f t="shared" si="39"/>
        <v>4.2157399825057231</v>
      </c>
      <c r="P338" s="140">
        <f>IF(OR(M338=0,M338=3),loop_gain!$B$18,IF(Current_limit!M338=1,Current_limit!$B$12/(2*(Current_limit!N338-Helper_calcs!$B$27)),IF(OR(M338=2,M338=23),(Main!$B$19-Current_limit!O338)*Current_limit!O338/(Main!$B$19*loop_gain!$B$17*(Helper_calcs!$B$26-Helper_calcs!$B$27)),x)))</f>
        <v>400000</v>
      </c>
      <c r="Q338" s="137"/>
    </row>
    <row r="339" spans="1:17" x14ac:dyDescent="0.25">
      <c r="A339">
        <f t="shared" si="40"/>
        <v>3.9799999999999587</v>
      </c>
      <c r="B339">
        <f>Main!$B$20/A339</f>
        <v>1.2562814070351889</v>
      </c>
      <c r="D339" s="137">
        <f t="shared" si="33"/>
        <v>1.2562814070351889</v>
      </c>
      <c r="E339" s="137">
        <f>-B339*Main!$B$19-2*Main!$B$19*loop_gain!$B$17*loop_gain!$B$18</f>
        <v>-80.355376884422256</v>
      </c>
      <c r="F339" s="137">
        <f>2*Main!$B$19*loop_gain!$B$17*loop_gain!$B$18*Helper_calcs!$B$26*Current_limit!B339</f>
        <v>315.73869346733989</v>
      </c>
      <c r="G339" s="137">
        <f t="shared" si="35"/>
        <v>4.2058301151820299</v>
      </c>
      <c r="H339" s="137">
        <f>(Main!$B$19-Current_limit!G339)*Current_limit!G339/(Main!$B$19*loop_gain!$B$17*loop_gain!$B$18)</f>
        <v>1.0043184566302781</v>
      </c>
      <c r="I339" s="137">
        <f t="shared" si="36"/>
        <v>2.845681543369722</v>
      </c>
      <c r="J339" s="137"/>
      <c r="K339" s="138">
        <f>IF(A339&gt;$B$15,IF(I339&gt;Helper_calcs!$B$27,23,3),0)</f>
        <v>3</v>
      </c>
      <c r="L339" s="139">
        <f t="shared" si="34"/>
        <v>2</v>
      </c>
      <c r="M339" s="139">
        <f t="shared" si="37"/>
        <v>3</v>
      </c>
      <c r="N339" s="137">
        <f t="shared" si="38"/>
        <v>3.347840771684861</v>
      </c>
      <c r="O339" s="137">
        <f t="shared" si="39"/>
        <v>4.2058301151820299</v>
      </c>
      <c r="P339" s="140">
        <f>IF(OR(M339=0,M339=3),loop_gain!$B$18,IF(Current_limit!M339=1,Current_limit!$B$12/(2*(Current_limit!N339-Helper_calcs!$B$27)),IF(OR(M339=2,M339=23),(Main!$B$19-Current_limit!O339)*Current_limit!O339/(Main!$B$19*loop_gain!$B$17*(Helper_calcs!$B$26-Helper_calcs!$B$27)),x)))</f>
        <v>400000</v>
      </c>
      <c r="Q339" s="137"/>
    </row>
    <row r="340" spans="1:17" x14ac:dyDescent="0.25">
      <c r="A340">
        <f t="shared" si="40"/>
        <v>3.9899999999999585</v>
      </c>
      <c r="B340">
        <f>Main!$B$20/A340</f>
        <v>1.2531328320802135</v>
      </c>
      <c r="D340" s="137">
        <f t="shared" si="33"/>
        <v>1.2531328320802135</v>
      </c>
      <c r="E340" s="137">
        <f>-B340*Main!$B$19-2*Main!$B$19*loop_gain!$B$17*loop_gain!$B$18</f>
        <v>-80.317593984962542</v>
      </c>
      <c r="F340" s="137">
        <f>2*Main!$B$19*loop_gain!$B$17*loop_gain!$B$18*Helper_calcs!$B$26*Current_limit!B340</f>
        <v>314.94736842105584</v>
      </c>
      <c r="G340" s="137">
        <f t="shared" si="35"/>
        <v>4.1959702298699728</v>
      </c>
      <c r="H340" s="137">
        <f>(Main!$B$19-Current_limit!G340)*Current_limit!G340/(Main!$B$19*loop_gain!$B$17*loop_gain!$B$18)</f>
        <v>1.0032315131275922</v>
      </c>
      <c r="I340" s="137">
        <f t="shared" si="36"/>
        <v>2.8467684868724072</v>
      </c>
      <c r="J340" s="137"/>
      <c r="K340" s="138">
        <f>IF(A340&gt;$B$15,IF(I340&gt;Helper_calcs!$B$27,23,3),0)</f>
        <v>3</v>
      </c>
      <c r="L340" s="139">
        <f t="shared" si="34"/>
        <v>2</v>
      </c>
      <c r="M340" s="139">
        <f t="shared" si="37"/>
        <v>3</v>
      </c>
      <c r="N340" s="137">
        <f t="shared" si="38"/>
        <v>3.3483842434362034</v>
      </c>
      <c r="O340" s="137">
        <f t="shared" si="39"/>
        <v>4.1959702298699728</v>
      </c>
      <c r="P340" s="140">
        <f>IF(OR(M340=0,M340=3),loop_gain!$B$18,IF(Current_limit!M340=1,Current_limit!$B$12/(2*(Current_limit!N340-Helper_calcs!$B$27)),IF(OR(M340=2,M340=23),(Main!$B$19-Current_limit!O340)*Current_limit!O340/(Main!$B$19*loop_gain!$B$17*(Helper_calcs!$B$26-Helper_calcs!$B$27)),x)))</f>
        <v>400000</v>
      </c>
      <c r="Q340" s="137"/>
    </row>
    <row r="341" spans="1:17" x14ac:dyDescent="0.25">
      <c r="A341">
        <f t="shared" si="40"/>
        <v>3.9999999999999583</v>
      </c>
      <c r="B341">
        <f>Main!$B$20/A341</f>
        <v>1.2500000000000131</v>
      </c>
      <c r="D341" s="137">
        <f t="shared" si="33"/>
        <v>1.2500000000000131</v>
      </c>
      <c r="E341" s="137">
        <f>-B341*Main!$B$19-2*Main!$B$19*loop_gain!$B$17*loop_gain!$B$18</f>
        <v>-80.280000000000143</v>
      </c>
      <c r="F341" s="137">
        <f>2*Main!$B$19*loop_gain!$B$17*loop_gain!$B$18*Helper_calcs!$B$26*Current_limit!B341</f>
        <v>314.16000000000321</v>
      </c>
      <c r="G341" s="137">
        <f t="shared" si="35"/>
        <v>4.1861599231106785</v>
      </c>
      <c r="H341" s="137">
        <f>(Main!$B$19-Current_limit!G341)*Current_limit!G341/(Main!$B$19*loop_gain!$B$17*loop_gain!$B$18)</f>
        <v>1.0021441230229824</v>
      </c>
      <c r="I341" s="137">
        <f t="shared" si="36"/>
        <v>2.8478558769770164</v>
      </c>
      <c r="J341" s="137"/>
      <c r="K341" s="138">
        <f>IF(A341&gt;$B$15,IF(I341&gt;Helper_calcs!$B$27,23,3),0)</f>
        <v>3</v>
      </c>
      <c r="L341" s="139">
        <f t="shared" si="34"/>
        <v>2</v>
      </c>
      <c r="M341" s="139">
        <f t="shared" si="37"/>
        <v>3</v>
      </c>
      <c r="N341" s="137">
        <f t="shared" si="38"/>
        <v>3.3489279384885076</v>
      </c>
      <c r="O341" s="137">
        <f t="shared" si="39"/>
        <v>4.1861599231106785</v>
      </c>
      <c r="P341" s="140">
        <f>IF(OR(M341=0,M341=3),loop_gain!$B$18,IF(Current_limit!M341=1,Current_limit!$B$12/(2*(Current_limit!N341-Helper_calcs!$B$27)),IF(OR(M341=2,M341=23),(Main!$B$19-Current_limit!O341)*Current_limit!O341/(Main!$B$19*loop_gain!$B$17*(Helper_calcs!$B$26-Helper_calcs!$B$27)),x)))</f>
        <v>400000</v>
      </c>
      <c r="Q341" s="137"/>
    </row>
    <row r="342" spans="1:17" x14ac:dyDescent="0.25">
      <c r="A342">
        <f t="shared" si="40"/>
        <v>4.009999999999958</v>
      </c>
      <c r="B342">
        <f>Main!$B$20/A342</f>
        <v>1.2468827930174695</v>
      </c>
      <c r="D342" s="137">
        <f t="shared" si="33"/>
        <v>1.2468827930174695</v>
      </c>
      <c r="E342" s="137">
        <f>-B342*Main!$B$19-2*Main!$B$19*loop_gain!$B$17*loop_gain!$B$18</f>
        <v>-80.242593516209624</v>
      </c>
      <c r="F342" s="137">
        <f>2*Main!$B$19*loop_gain!$B$17*loop_gain!$B$18*Helper_calcs!$B$26*Current_limit!B342</f>
        <v>313.37655860349452</v>
      </c>
      <c r="G342" s="137">
        <f t="shared" si="35"/>
        <v>4.1763987960379056</v>
      </c>
      <c r="H342" s="137">
        <f>(Main!$B$19-Current_limit!G342)*Current_limit!G342/(Main!$B$19*loop_gain!$B$17*loop_gain!$B$18)</f>
        <v>1.0010563311552698</v>
      </c>
      <c r="I342" s="137">
        <f t="shared" si="36"/>
        <v>2.84894366884473</v>
      </c>
      <c r="J342" s="137"/>
      <c r="K342" s="138">
        <f>IF(A342&gt;$B$15,IF(I342&gt;Helper_calcs!$B$27,23,3),0)</f>
        <v>3</v>
      </c>
      <c r="L342" s="139">
        <f t="shared" si="34"/>
        <v>2</v>
      </c>
      <c r="M342" s="139">
        <f t="shared" si="37"/>
        <v>3</v>
      </c>
      <c r="N342" s="137">
        <f t="shared" si="38"/>
        <v>3.3494718344223648</v>
      </c>
      <c r="O342" s="137">
        <f t="shared" si="39"/>
        <v>4.1763987960379056</v>
      </c>
      <c r="P342" s="140">
        <f>IF(OR(M342=0,M342=3),loop_gain!$B$18,IF(Current_limit!M342=1,Current_limit!$B$12/(2*(Current_limit!N342-Helper_calcs!$B$27)),IF(OR(M342=2,M342=23),(Main!$B$19-Current_limit!O342)*Current_limit!O342/(Main!$B$19*loop_gain!$B$17*(Helper_calcs!$B$26-Helper_calcs!$B$27)),x)))</f>
        <v>400000</v>
      </c>
      <c r="Q342" s="137"/>
    </row>
    <row r="343" spans="1:17" x14ac:dyDescent="0.25">
      <c r="A343">
        <f t="shared" si="40"/>
        <v>4.0199999999999578</v>
      </c>
      <c r="B343">
        <f>Main!$B$20/A343</f>
        <v>1.2437810945273762</v>
      </c>
      <c r="D343" s="137">
        <f t="shared" ref="D343:D406" si="41">B343</f>
        <v>1.2437810945273762</v>
      </c>
      <c r="E343" s="137">
        <f>-B343*Main!$B$19-2*Main!$B$19*loop_gain!$B$17*loop_gain!$B$18</f>
        <v>-80.205373134328497</v>
      </c>
      <c r="F343" s="137">
        <f>2*Main!$B$19*loop_gain!$B$17*loop_gain!$B$18*Helper_calcs!$B$26*Current_limit!B343</f>
        <v>312.59701492537636</v>
      </c>
      <c r="G343" s="137">
        <f t="shared" si="35"/>
        <v>4.1666864543096072</v>
      </c>
      <c r="H343" s="137">
        <f>(Main!$B$19-Current_limit!G343)*Current_limit!G343/(Main!$B$19*loop_gain!$B$17*loop_gain!$B$18)</f>
        <v>0.99996818147022459</v>
      </c>
      <c r="I343" s="137">
        <f t="shared" si="36"/>
        <v>2.8500318185297768</v>
      </c>
      <c r="J343" s="137"/>
      <c r="K343" s="138">
        <f>IF(A343&gt;$B$15,IF(I343&gt;Helper_calcs!$B$27,23,3),0)</f>
        <v>3</v>
      </c>
      <c r="L343" s="139">
        <f t="shared" ref="L343:L406" si="42">IF(A343&gt;$B$13,IF(A343&gt;$B$14,2,1),0)</f>
        <v>2</v>
      </c>
      <c r="M343" s="139">
        <f t="shared" si="37"/>
        <v>3</v>
      </c>
      <c r="N343" s="137">
        <f t="shared" si="38"/>
        <v>3.3500159092648891</v>
      </c>
      <c r="O343" s="137">
        <f t="shared" si="39"/>
        <v>4.1666864543096072</v>
      </c>
      <c r="P343" s="140">
        <f>IF(OR(M343=0,M343=3),loop_gain!$B$18,IF(Current_limit!M343=1,Current_limit!$B$12/(2*(Current_limit!N343-Helper_calcs!$B$27)),IF(OR(M343=2,M343=23),(Main!$B$19-Current_limit!O343)*Current_limit!O343/(Main!$B$19*loop_gain!$B$17*(Helper_calcs!$B$26-Helper_calcs!$B$27)),x)))</f>
        <v>400000</v>
      </c>
      <c r="Q343" s="137"/>
    </row>
    <row r="344" spans="1:17" x14ac:dyDescent="0.25">
      <c r="A344">
        <f t="shared" si="40"/>
        <v>4.0299999999999576</v>
      </c>
      <c r="B344">
        <f>Main!$B$20/A344</f>
        <v>1.2406947890818989</v>
      </c>
      <c r="D344" s="137">
        <f t="shared" si="41"/>
        <v>1.2406947890818989</v>
      </c>
      <c r="E344" s="137">
        <f>-B344*Main!$B$19-2*Main!$B$19*loop_gain!$B$17*loop_gain!$B$18</f>
        <v>-80.16833746898277</v>
      </c>
      <c r="F344" s="137">
        <f>2*Main!$B$19*loop_gain!$B$17*loop_gain!$B$18*Helper_calcs!$B$26*Current_limit!B344</f>
        <v>311.82133995037543</v>
      </c>
      <c r="G344" s="137">
        <f t="shared" ref="G344:G407" si="43">(-E344-SQRT(E344^2-4*D344*F344))/(2*D344)</f>
        <v>4.1570225080407743</v>
      </c>
      <c r="H344" s="137">
        <f>(Main!$B$19-Current_limit!G344)*Current_limit!G344/(Main!$B$19*loop_gain!$B$17*loop_gain!$B$18)</f>
        <v>0.99887971703834832</v>
      </c>
      <c r="I344" s="137">
        <f t="shared" ref="I344:I407" si="44">(G344/B344)-0.5*H344</f>
        <v>2.8511202829616549</v>
      </c>
      <c r="J344" s="137"/>
      <c r="K344" s="138">
        <f>IF(A344&gt;$B$15,IF(I344&gt;Helper_calcs!$B$27,23,3),0)</f>
        <v>3</v>
      </c>
      <c r="L344" s="139">
        <f t="shared" si="42"/>
        <v>2</v>
      </c>
      <c r="M344" s="139">
        <f t="shared" ref="M344:M407" si="45">IF($B$16="N",L344,K344)</f>
        <v>3</v>
      </c>
      <c r="N344" s="137">
        <f t="shared" ref="N344:N407" si="46">IF(OR(M344=0,M344=1),A344,IF(OR(M344=2,M344=23),$B$14,G344/B344))</f>
        <v>3.350560141480829</v>
      </c>
      <c r="O344" s="137">
        <f t="shared" ref="O344:O407" si="47">N344*B344</f>
        <v>4.1570225080407743</v>
      </c>
      <c r="P344" s="140">
        <f>IF(OR(M344=0,M344=3),loop_gain!$B$18,IF(Current_limit!M344=1,Current_limit!$B$12/(2*(Current_limit!N344-Helper_calcs!$B$27)),IF(OR(M344=2,M344=23),(Main!$B$19-Current_limit!O344)*Current_limit!O344/(Main!$B$19*loop_gain!$B$17*(Helper_calcs!$B$26-Helper_calcs!$B$27)),x)))</f>
        <v>400000</v>
      </c>
      <c r="Q344" s="137"/>
    </row>
    <row r="345" spans="1:17" x14ac:dyDescent="0.25">
      <c r="A345">
        <f t="shared" si="40"/>
        <v>4.0399999999999574</v>
      </c>
      <c r="B345">
        <f>Main!$B$20/A345</f>
        <v>1.2376237623762507</v>
      </c>
      <c r="D345" s="137">
        <f t="shared" si="41"/>
        <v>1.2376237623762507</v>
      </c>
      <c r="E345" s="137">
        <f>-B345*Main!$B$19-2*Main!$B$19*loop_gain!$B$17*loop_gain!$B$18</f>
        <v>-80.131485148514997</v>
      </c>
      <c r="F345" s="137">
        <f>2*Main!$B$19*loop_gain!$B$17*loop_gain!$B$18*Helper_calcs!$B$26*Current_limit!B345</f>
        <v>311.04950495049826</v>
      </c>
      <c r="G345" s="137">
        <f t="shared" si="43"/>
        <v>4.1474065717375046</v>
      </c>
      <c r="H345" s="137">
        <f>(Main!$B$19-Current_limit!G345)*Current_limit!G345/(Main!$B$19*loop_gain!$B$17*loop_gain!$B$18)</f>
        <v>0.99779098007226164</v>
      </c>
      <c r="I345" s="137">
        <f t="shared" si="44"/>
        <v>2.8522090199277375</v>
      </c>
      <c r="J345" s="137"/>
      <c r="K345" s="138">
        <f>IF(A345&gt;$B$15,IF(I345&gt;Helper_calcs!$B$27,23,3),0)</f>
        <v>3</v>
      </c>
      <c r="L345" s="139">
        <f t="shared" si="42"/>
        <v>2</v>
      </c>
      <c r="M345" s="139">
        <f t="shared" si="45"/>
        <v>3</v>
      </c>
      <c r="N345" s="137">
        <f t="shared" si="46"/>
        <v>3.3511045099638683</v>
      </c>
      <c r="O345" s="137">
        <f t="shared" si="47"/>
        <v>4.1474065717375046</v>
      </c>
      <c r="P345" s="140">
        <f>IF(OR(M345=0,M345=3),loop_gain!$B$18,IF(Current_limit!M345=1,Current_limit!$B$12/(2*(Current_limit!N345-Helper_calcs!$B$27)),IF(OR(M345=2,M345=23),(Main!$B$19-Current_limit!O345)*Current_limit!O345/(Main!$B$19*loop_gain!$B$17*(Helper_calcs!$B$26-Helper_calcs!$B$27)),x)))</f>
        <v>400000</v>
      </c>
      <c r="Q345" s="137"/>
    </row>
    <row r="346" spans="1:17" x14ac:dyDescent="0.25">
      <c r="A346">
        <f t="shared" si="40"/>
        <v>4.0499999999999572</v>
      </c>
      <c r="B346">
        <f>Main!$B$20/A346</f>
        <v>1.2345679012345809</v>
      </c>
      <c r="D346" s="137">
        <f t="shared" si="41"/>
        <v>1.2345679012345809</v>
      </c>
      <c r="E346" s="137">
        <f>-B346*Main!$B$19-2*Main!$B$19*loop_gain!$B$17*loop_gain!$B$18</f>
        <v>-80.094814814814953</v>
      </c>
      <c r="F346" s="137">
        <f>2*Main!$B$19*loop_gain!$B$17*loop_gain!$B$18*Helper_calcs!$B$26*Current_limit!B346</f>
        <v>310.28148148148472</v>
      </c>
      <c r="G346" s="137">
        <f t="shared" si="43"/>
        <v>4.137838264232319</v>
      </c>
      <c r="H346" s="137">
        <f>(Main!$B$19-Current_limit!G346)*Current_limit!G346/(Main!$B$19*loop_gain!$B$17*loop_gain!$B$18)</f>
        <v>0.99670201194371033</v>
      </c>
      <c r="I346" s="137">
        <f t="shared" si="44"/>
        <v>2.8532979880562879</v>
      </c>
      <c r="J346" s="137"/>
      <c r="K346" s="138">
        <f>IF(A346&gt;$B$15,IF(I346&gt;Helper_calcs!$B$27,23,3),0)</f>
        <v>3</v>
      </c>
      <c r="L346" s="139">
        <f t="shared" si="42"/>
        <v>2</v>
      </c>
      <c r="M346" s="139">
        <f t="shared" si="45"/>
        <v>3</v>
      </c>
      <c r="N346" s="137">
        <f t="shared" si="46"/>
        <v>3.3516489940281429</v>
      </c>
      <c r="O346" s="137">
        <f t="shared" si="47"/>
        <v>4.137838264232319</v>
      </c>
      <c r="P346" s="140">
        <f>IF(OR(M346=0,M346=3),loop_gain!$B$18,IF(Current_limit!M346=1,Current_limit!$B$12/(2*(Current_limit!N346-Helper_calcs!$B$27)),IF(OR(M346=2,M346=23),(Main!$B$19-Current_limit!O346)*Current_limit!O346/(Main!$B$19*loop_gain!$B$17*(Helper_calcs!$B$26-Helper_calcs!$B$27)),x)))</f>
        <v>400000</v>
      </c>
      <c r="Q346" s="137"/>
    </row>
    <row r="347" spans="1:17" x14ac:dyDescent="0.25">
      <c r="A347">
        <f t="shared" si="40"/>
        <v>4.059999999999957</v>
      </c>
      <c r="B347">
        <f>Main!$B$20/A347</f>
        <v>1.2315270935960723</v>
      </c>
      <c r="D347" s="137">
        <f t="shared" si="41"/>
        <v>1.2315270935960723</v>
      </c>
      <c r="E347" s="137">
        <f>-B347*Main!$B$19-2*Main!$B$19*loop_gain!$B$17*loop_gain!$B$18</f>
        <v>-80.058325123152855</v>
      </c>
      <c r="F347" s="137">
        <f>2*Main!$B$19*loop_gain!$B$17*loop_gain!$B$18*Helper_calcs!$B$26*Current_limit!B347</f>
        <v>309.51724137931359</v>
      </c>
      <c r="G347" s="137">
        <f t="shared" si="43"/>
        <v>4.128317208620615</v>
      </c>
      <c r="H347" s="137">
        <f>(Main!$B$19-Current_limit!G347)*Current_limit!G347/(Main!$B$19*loop_gain!$B$17*loop_gain!$B$18)</f>
        <v>0.99561285320019233</v>
      </c>
      <c r="I347" s="137">
        <f t="shared" si="44"/>
        <v>2.8543871467998074</v>
      </c>
      <c r="J347" s="137"/>
      <c r="K347" s="138">
        <f>IF(A347&gt;$B$15,IF(I347&gt;Helper_calcs!$B$27,23,3),0)</f>
        <v>3</v>
      </c>
      <c r="L347" s="139">
        <f t="shared" si="42"/>
        <v>2</v>
      </c>
      <c r="M347" s="139">
        <f t="shared" si="45"/>
        <v>3</v>
      </c>
      <c r="N347" s="137">
        <f t="shared" si="46"/>
        <v>3.3521935733999038</v>
      </c>
      <c r="O347" s="137">
        <f t="shared" si="47"/>
        <v>4.128317208620615</v>
      </c>
      <c r="P347" s="140">
        <f>IF(OR(M347=0,M347=3),loop_gain!$B$18,IF(Current_limit!M347=1,Current_limit!$B$12/(2*(Current_limit!N347-Helper_calcs!$B$27)),IF(OR(M347=2,M347=23),(Main!$B$19-Current_limit!O347)*Current_limit!O347/(Main!$B$19*loop_gain!$B$17*(Helper_calcs!$B$26-Helper_calcs!$B$27)),x)))</f>
        <v>400000</v>
      </c>
      <c r="Q347" s="137"/>
    </row>
    <row r="348" spans="1:17" x14ac:dyDescent="0.25">
      <c r="A348">
        <f t="shared" si="40"/>
        <v>4.0699999999999568</v>
      </c>
      <c r="B348">
        <f>Main!$B$20/A348</f>
        <v>1.2285012285012415</v>
      </c>
      <c r="D348" s="137">
        <f t="shared" si="41"/>
        <v>1.2285012285012415</v>
      </c>
      <c r="E348" s="137">
        <f>-B348*Main!$B$19-2*Main!$B$19*loop_gain!$B$17*loop_gain!$B$18</f>
        <v>-80.022014742014889</v>
      </c>
      <c r="F348" s="137">
        <f>2*Main!$B$19*loop_gain!$B$17*loop_gain!$B$18*Helper_calcs!$B$26*Current_limit!B348</f>
        <v>308.75675675675996</v>
      </c>
      <c r="G348" s="137">
        <f t="shared" si="43"/>
        <v>4.1188430321983098</v>
      </c>
      <c r="H348" s="137">
        <f>(Main!$B$19-Current_limit!G348)*Current_limit!G348/(Main!$B$19*loop_gain!$B$17*loop_gain!$B$18)</f>
        <v>0.99452354358122408</v>
      </c>
      <c r="I348" s="137">
        <f t="shared" si="44"/>
        <v>2.8554764564187769</v>
      </c>
      <c r="J348" s="137"/>
      <c r="K348" s="138">
        <f>IF(A348&gt;$B$15,IF(I348&gt;Helper_calcs!$B$27,23,3),0)</f>
        <v>3</v>
      </c>
      <c r="L348" s="139">
        <f t="shared" si="42"/>
        <v>2</v>
      </c>
      <c r="M348" s="139">
        <f t="shared" si="45"/>
        <v>3</v>
      </c>
      <c r="N348" s="137">
        <f t="shared" si="46"/>
        <v>3.3527382282093887</v>
      </c>
      <c r="O348" s="137">
        <f t="shared" si="47"/>
        <v>4.1188430321983098</v>
      </c>
      <c r="P348" s="140">
        <f>IF(OR(M348=0,M348=3),loop_gain!$B$18,IF(Current_limit!M348=1,Current_limit!$B$12/(2*(Current_limit!N348-Helper_calcs!$B$27)),IF(OR(M348=2,M348=23),(Main!$B$19-Current_limit!O348)*Current_limit!O348/(Main!$B$19*loop_gain!$B$17*(Helper_calcs!$B$26-Helper_calcs!$B$27)),x)))</f>
        <v>400000</v>
      </c>
      <c r="Q348" s="137"/>
    </row>
    <row r="349" spans="1:17" x14ac:dyDescent="0.25">
      <c r="A349">
        <f t="shared" si="40"/>
        <v>4.0799999999999566</v>
      </c>
      <c r="B349">
        <f>Main!$B$20/A349</f>
        <v>1.2254901960784443</v>
      </c>
      <c r="D349" s="137">
        <f t="shared" si="41"/>
        <v>1.2254901960784443</v>
      </c>
      <c r="E349" s="137">
        <f>-B349*Main!$B$19-2*Main!$B$19*loop_gain!$B$17*loop_gain!$B$18</f>
        <v>-79.985882352941317</v>
      </c>
      <c r="F349" s="137">
        <f>2*Main!$B$19*loop_gain!$B$17*loop_gain!$B$18*Helper_calcs!$B$26*Current_limit!B349</f>
        <v>308.00000000000318</v>
      </c>
      <c r="G349" s="137">
        <f t="shared" si="43"/>
        <v>4.1094153664006265</v>
      </c>
      <c r="H349" s="137">
        <f>(Main!$B$19-Current_limit!G349)*Current_limit!G349/(Main!$B$19*loop_gain!$B$17*loop_gain!$B$18)</f>
        <v>0.99343412203425019</v>
      </c>
      <c r="I349" s="137">
        <f t="shared" si="44"/>
        <v>2.856565877965751</v>
      </c>
      <c r="J349" s="137"/>
      <c r="K349" s="138">
        <f>IF(A349&gt;$B$15,IF(I349&gt;Helper_calcs!$B$27,23,3),0)</f>
        <v>3</v>
      </c>
      <c r="L349" s="139">
        <f t="shared" si="42"/>
        <v>2</v>
      </c>
      <c r="M349" s="139">
        <f t="shared" si="45"/>
        <v>3</v>
      </c>
      <c r="N349" s="137">
        <f t="shared" si="46"/>
        <v>3.353282938982876</v>
      </c>
      <c r="O349" s="137">
        <f t="shared" si="47"/>
        <v>4.1094153664006265</v>
      </c>
      <c r="P349" s="140">
        <f>IF(OR(M349=0,M349=3),loop_gain!$B$18,IF(Current_limit!M349=1,Current_limit!$B$12/(2*(Current_limit!N349-Helper_calcs!$B$27)),IF(OR(M349=2,M349=23),(Main!$B$19-Current_limit!O349)*Current_limit!O349/(Main!$B$19*loop_gain!$B$17*(Helper_calcs!$B$26-Helper_calcs!$B$27)),x)))</f>
        <v>400000</v>
      </c>
      <c r="Q349" s="137"/>
    </row>
    <row r="350" spans="1:17" x14ac:dyDescent="0.25">
      <c r="A350">
        <f t="shared" si="40"/>
        <v>4.0899999999999563</v>
      </c>
      <c r="B350">
        <f>Main!$B$20/A350</f>
        <v>1.2224938875305753</v>
      </c>
      <c r="D350" s="137">
        <f t="shared" si="41"/>
        <v>1.2224938875305753</v>
      </c>
      <c r="E350" s="137">
        <f>-B350*Main!$B$19-2*Main!$B$19*loop_gain!$B$17*loop_gain!$B$18</f>
        <v>-79.949926650366891</v>
      </c>
      <c r="F350" s="137">
        <f>2*Main!$B$19*loop_gain!$B$17*loop_gain!$B$18*Helper_calcs!$B$26*Current_limit!B350</f>
        <v>307.24694376528436</v>
      </c>
      <c r="G350" s="137">
        <f t="shared" si="43"/>
        <v>4.1000338467419706</v>
      </c>
      <c r="H350" s="137">
        <f>(Main!$B$19-Current_limit!G350)*Current_limit!G350/(Main!$B$19*loop_gain!$B$17*loop_gain!$B$18)</f>
        <v>0.99234462673020507</v>
      </c>
      <c r="I350" s="137">
        <f t="shared" si="44"/>
        <v>2.857655373269794</v>
      </c>
      <c r="J350" s="137"/>
      <c r="K350" s="138">
        <f>IF(A350&gt;$B$15,IF(I350&gt;Helper_calcs!$B$27,23,3),0)</f>
        <v>3</v>
      </c>
      <c r="L350" s="139">
        <f t="shared" si="42"/>
        <v>2</v>
      </c>
      <c r="M350" s="139">
        <f t="shared" si="45"/>
        <v>3</v>
      </c>
      <c r="N350" s="137">
        <f t="shared" si="46"/>
        <v>3.3538276866348964</v>
      </c>
      <c r="O350" s="137">
        <f t="shared" si="47"/>
        <v>4.1000338467419706</v>
      </c>
      <c r="P350" s="140">
        <f>IF(OR(M350=0,M350=3),loop_gain!$B$18,IF(Current_limit!M350=1,Current_limit!$B$12/(2*(Current_limit!N350-Helper_calcs!$B$27)),IF(OR(M350=2,M350=23),(Main!$B$19-Current_limit!O350)*Current_limit!O350/(Main!$B$19*loop_gain!$B$17*(Helper_calcs!$B$26-Helper_calcs!$B$27)),x)))</f>
        <v>400000</v>
      </c>
      <c r="Q350" s="137"/>
    </row>
    <row r="351" spans="1:17" x14ac:dyDescent="0.25">
      <c r="A351">
        <f t="shared" si="40"/>
        <v>4.0999999999999561</v>
      </c>
      <c r="B351">
        <f>Main!$B$20/A351</f>
        <v>1.2195121951219643</v>
      </c>
      <c r="D351" s="137">
        <f t="shared" si="41"/>
        <v>1.2195121951219643</v>
      </c>
      <c r="E351" s="137">
        <f>-B351*Main!$B$19-2*Main!$B$19*loop_gain!$B$17*loop_gain!$B$18</f>
        <v>-79.914146341463564</v>
      </c>
      <c r="F351" s="137">
        <f>2*Main!$B$19*loop_gain!$B$17*loop_gain!$B$18*Helper_calcs!$B$26*Current_limit!B351</f>
        <v>306.497560975613</v>
      </c>
      <c r="G351" s="137">
        <f t="shared" si="43"/>
        <v>4.0906981127569102</v>
      </c>
      <c r="H351" s="137">
        <f>(Main!$B$19-Current_limit!G351)*Current_limit!G351/(Main!$B$19*loop_gain!$B$17*loop_gain!$B$18)</f>
        <v>0.99125509507873732</v>
      </c>
      <c r="I351" s="137">
        <f t="shared" si="44"/>
        <v>2.8587449049212617</v>
      </c>
      <c r="J351" s="137"/>
      <c r="K351" s="138">
        <f>IF(A351&gt;$B$15,IF(I351&gt;Helper_calcs!$B$27,23,3),0)</f>
        <v>3</v>
      </c>
      <c r="L351" s="139">
        <f t="shared" si="42"/>
        <v>2</v>
      </c>
      <c r="M351" s="139">
        <f t="shared" si="45"/>
        <v>3</v>
      </c>
      <c r="N351" s="137">
        <f t="shared" si="46"/>
        <v>3.3543724524606304</v>
      </c>
      <c r="O351" s="137">
        <f t="shared" si="47"/>
        <v>4.0906981127569102</v>
      </c>
      <c r="P351" s="140">
        <f>IF(OR(M351=0,M351=3),loop_gain!$B$18,IF(Current_limit!M351=1,Current_limit!$B$12/(2*(Current_limit!N351-Helper_calcs!$B$27)),IF(OR(M351=2,M351=23),(Main!$B$19-Current_limit!O351)*Current_limit!O351/(Main!$B$19*loop_gain!$B$17*(Helper_calcs!$B$26-Helper_calcs!$B$27)),x)))</f>
        <v>400000</v>
      </c>
      <c r="Q351" s="137"/>
    </row>
    <row r="352" spans="1:17" x14ac:dyDescent="0.25">
      <c r="A352">
        <f t="shared" si="40"/>
        <v>4.1099999999999559</v>
      </c>
      <c r="B352">
        <f>Main!$B$20/A352</f>
        <v>1.2165450121654631</v>
      </c>
      <c r="D352" s="137">
        <f t="shared" si="41"/>
        <v>1.2165450121654631</v>
      </c>
      <c r="E352" s="137">
        <f>-B352*Main!$B$19-2*Main!$B$19*loop_gain!$B$17*loop_gain!$B$18</f>
        <v>-79.878540145985539</v>
      </c>
      <c r="F352" s="137">
        <f>2*Main!$B$19*loop_gain!$B$17*loop_gain!$B$18*Helper_calcs!$B$26*Current_limit!B352</f>
        <v>305.75182481752142</v>
      </c>
      <c r="G352" s="137">
        <f t="shared" si="43"/>
        <v>4.0814078079421945</v>
      </c>
      <c r="H352" s="137">
        <f>(Main!$B$19-Current_limit!G352)*Current_limit!G352/(Main!$B$19*loop_gain!$B$17*loop_gain!$B$18)</f>
        <v>0.99016556374310138</v>
      </c>
      <c r="I352" s="137">
        <f t="shared" si="44"/>
        <v>2.8598344362568975</v>
      </c>
      <c r="J352" s="137"/>
      <c r="K352" s="138">
        <f>IF(A352&gt;$B$15,IF(I352&gt;Helper_calcs!$B$27,23,3),0)</f>
        <v>3</v>
      </c>
      <c r="L352" s="139">
        <f t="shared" si="42"/>
        <v>2</v>
      </c>
      <c r="M352" s="139">
        <f t="shared" si="45"/>
        <v>3</v>
      </c>
      <c r="N352" s="137">
        <f t="shared" si="46"/>
        <v>3.3549172181284481</v>
      </c>
      <c r="O352" s="137">
        <f t="shared" si="47"/>
        <v>4.0814078079421945</v>
      </c>
      <c r="P352" s="140">
        <f>IF(OR(M352=0,M352=3),loop_gain!$B$18,IF(Current_limit!M352=1,Current_limit!$B$12/(2*(Current_limit!N352-Helper_calcs!$B$27)),IF(OR(M352=2,M352=23),(Main!$B$19-Current_limit!O352)*Current_limit!O352/(Main!$B$19*loop_gain!$B$17*(Helper_calcs!$B$26-Helper_calcs!$B$27)),x)))</f>
        <v>400000</v>
      </c>
      <c r="Q352" s="137"/>
    </row>
    <row r="353" spans="1:17" x14ac:dyDescent="0.25">
      <c r="A353">
        <f t="shared" ref="A353:A416" si="48">A352+0.01</f>
        <v>4.1199999999999557</v>
      </c>
      <c r="B353">
        <f>Main!$B$20/A353</f>
        <v>1.2135922330097217</v>
      </c>
      <c r="D353" s="137">
        <f t="shared" si="41"/>
        <v>1.2135922330097217</v>
      </c>
      <c r="E353" s="137">
        <f>-B353*Main!$B$19-2*Main!$B$19*loop_gain!$B$17*loop_gain!$B$18</f>
        <v>-79.843106796116643</v>
      </c>
      <c r="F353" s="137">
        <f>2*Main!$B$19*loop_gain!$B$17*loop_gain!$B$18*Helper_calcs!$B$26*Current_limit!B353</f>
        <v>305.0097087378673</v>
      </c>
      <c r="G353" s="137">
        <f t="shared" si="43"/>
        <v>4.0721625796998406</v>
      </c>
      <c r="H353" s="137">
        <f>(Main!$B$19-Current_limit!G353)*Current_limit!G353/(Main!$B$19*loop_gain!$B$17*loop_gain!$B$18)</f>
        <v>0.98907606865473141</v>
      </c>
      <c r="I353" s="137">
        <f t="shared" si="44"/>
        <v>2.8609239313452668</v>
      </c>
      <c r="J353" s="137"/>
      <c r="K353" s="138">
        <f>IF(A353&gt;$B$15,IF(I353&gt;Helper_calcs!$B$27,23,3),0)</f>
        <v>3</v>
      </c>
      <c r="L353" s="139">
        <f t="shared" si="42"/>
        <v>2</v>
      </c>
      <c r="M353" s="139">
        <f t="shared" si="45"/>
        <v>3</v>
      </c>
      <c r="N353" s="137">
        <f t="shared" si="46"/>
        <v>3.3554619656726326</v>
      </c>
      <c r="O353" s="137">
        <f t="shared" si="47"/>
        <v>4.0721625796998406</v>
      </c>
      <c r="P353" s="140">
        <f>IF(OR(M353=0,M353=3),loop_gain!$B$18,IF(Current_limit!M353=1,Current_limit!$B$12/(2*(Current_limit!N353-Helper_calcs!$B$27)),IF(OR(M353=2,M353=23),(Main!$B$19-Current_limit!O353)*Current_limit!O353/(Main!$B$19*loop_gain!$B$17*(Helper_calcs!$B$26-Helper_calcs!$B$27)),x)))</f>
        <v>400000</v>
      </c>
      <c r="Q353" s="137"/>
    </row>
    <row r="354" spans="1:17" x14ac:dyDescent="0.25">
      <c r="A354">
        <f t="shared" si="48"/>
        <v>4.1299999999999555</v>
      </c>
      <c r="B354">
        <f>Main!$B$20/A354</f>
        <v>1.2106537530266475</v>
      </c>
      <c r="D354" s="137">
        <f t="shared" si="41"/>
        <v>1.2106537530266475</v>
      </c>
      <c r="E354" s="137">
        <f>-B354*Main!$B$19-2*Main!$B$19*loop_gain!$B$17*loop_gain!$B$18</f>
        <v>-79.807845036319762</v>
      </c>
      <c r="F354" s="137">
        <f>2*Main!$B$19*loop_gain!$B$17*loop_gain!$B$18*Helper_calcs!$B$26*Current_limit!B354</f>
        <v>304.27118644068116</v>
      </c>
      <c r="G354" s="137">
        <f t="shared" si="43"/>
        <v>4.062962079281216</v>
      </c>
      <c r="H354" s="137">
        <f>(Main!$B$19-Current_limit!G354)*Current_limit!G354/(Main!$B$19*loop_gain!$B$17*loop_gain!$B$18)</f>
        <v>0.98798664502749567</v>
      </c>
      <c r="I354" s="137">
        <f t="shared" si="44"/>
        <v>2.8620133549725004</v>
      </c>
      <c r="J354" s="137"/>
      <c r="K354" s="138">
        <f>IF(A354&gt;$B$15,IF(I354&gt;Helper_calcs!$B$27,23,3),0)</f>
        <v>3</v>
      </c>
      <c r="L354" s="139">
        <f t="shared" si="42"/>
        <v>2</v>
      </c>
      <c r="M354" s="139">
        <f t="shared" si="45"/>
        <v>3</v>
      </c>
      <c r="N354" s="137">
        <f t="shared" si="46"/>
        <v>3.3560066774862483</v>
      </c>
      <c r="O354" s="137">
        <f t="shared" si="47"/>
        <v>4.062962079281216</v>
      </c>
      <c r="P354" s="140">
        <f>IF(OR(M354=0,M354=3),loop_gain!$B$18,IF(Current_limit!M354=1,Current_limit!$B$12/(2*(Current_limit!N354-Helper_calcs!$B$27)),IF(OR(M354=2,M354=23),(Main!$B$19-Current_limit!O354)*Current_limit!O354/(Main!$B$19*loop_gain!$B$17*(Helper_calcs!$B$26-Helper_calcs!$B$27)),x)))</f>
        <v>400000</v>
      </c>
      <c r="Q354" s="137"/>
    </row>
    <row r="355" spans="1:17" x14ac:dyDescent="0.25">
      <c r="A355">
        <f t="shared" si="48"/>
        <v>4.1399999999999553</v>
      </c>
      <c r="B355">
        <f>Main!$B$20/A355</f>
        <v>1.207729468599047</v>
      </c>
      <c r="D355" s="137">
        <f t="shared" si="41"/>
        <v>1.207729468599047</v>
      </c>
      <c r="E355" s="137">
        <f>-B355*Main!$B$19-2*Main!$B$19*loop_gain!$B$17*loop_gain!$B$18</f>
        <v>-79.772753623188549</v>
      </c>
      <c r="F355" s="137">
        <f>2*Main!$B$19*loop_gain!$B$17*loop_gain!$B$18*Helper_calcs!$B$26*Current_limit!B355</f>
        <v>303.53623188406118</v>
      </c>
      <c r="G355" s="137">
        <f t="shared" si="43"/>
        <v>4.0538059617321416</v>
      </c>
      <c r="H355" s="137">
        <f>(Main!$B$19-Current_limit!G355)*Current_limit!G355/(Main!$B$19*loop_gain!$B$17*loop_gain!$B$18)</f>
        <v>0.98689732737164992</v>
      </c>
      <c r="I355" s="137">
        <f t="shared" si="44"/>
        <v>2.8631026726283517</v>
      </c>
      <c r="J355" s="137"/>
      <c r="K355" s="138">
        <f>IF(A355&gt;$B$15,IF(I355&gt;Helper_calcs!$B$27,23,3),0)</f>
        <v>3</v>
      </c>
      <c r="L355" s="139">
        <f t="shared" si="42"/>
        <v>2</v>
      </c>
      <c r="M355" s="139">
        <f t="shared" si="45"/>
        <v>3</v>
      </c>
      <c r="N355" s="137">
        <f t="shared" si="46"/>
        <v>3.3565513363141766</v>
      </c>
      <c r="O355" s="137">
        <f t="shared" si="47"/>
        <v>4.0538059617321416</v>
      </c>
      <c r="P355" s="140">
        <f>IF(OR(M355=0,M355=3),loop_gain!$B$18,IF(Current_limit!M355=1,Current_limit!$B$12/(2*(Current_limit!N355-Helper_calcs!$B$27)),IF(OR(M355=2,M355=23),(Main!$B$19-Current_limit!O355)*Current_limit!O355/(Main!$B$19*loop_gain!$B$17*(Helper_calcs!$B$26-Helper_calcs!$B$27)),x)))</f>
        <v>400000</v>
      </c>
      <c r="Q355" s="137"/>
    </row>
    <row r="356" spans="1:17" x14ac:dyDescent="0.25">
      <c r="A356">
        <f t="shared" si="48"/>
        <v>4.1499999999999551</v>
      </c>
      <c r="B356">
        <f>Main!$B$20/A356</f>
        <v>1.2048192771084467</v>
      </c>
      <c r="D356" s="137">
        <f t="shared" si="41"/>
        <v>1.2048192771084467</v>
      </c>
      <c r="E356" s="137">
        <f>-B356*Main!$B$19-2*Main!$B$19*loop_gain!$B$17*loop_gain!$B$18</f>
        <v>-79.737831325301343</v>
      </c>
      <c r="F356" s="137">
        <f>2*Main!$B$19*loop_gain!$B$17*loop_gain!$B$18*Helper_calcs!$B$26*Current_limit!B356</f>
        <v>302.80481927711162</v>
      </c>
      <c r="G356" s="137">
        <f t="shared" si="43"/>
        <v>4.0446938858389059</v>
      </c>
      <c r="H356" s="137">
        <f>(Main!$B$19-Current_limit!G356)*Current_limit!G356/(Main!$B$19*loop_gain!$B$17*loop_gain!$B$18)</f>
        <v>0.98580814950748308</v>
      </c>
      <c r="I356" s="137">
        <f t="shared" si="44"/>
        <v>2.8641918504925141</v>
      </c>
      <c r="J356" s="137"/>
      <c r="K356" s="138">
        <f>IF(A356&gt;$B$15,IF(I356&gt;Helper_calcs!$B$27,23,3),0)</f>
        <v>3</v>
      </c>
      <c r="L356" s="139">
        <f t="shared" si="42"/>
        <v>2</v>
      </c>
      <c r="M356" s="139">
        <f t="shared" si="45"/>
        <v>3</v>
      </c>
      <c r="N356" s="137">
        <f t="shared" si="46"/>
        <v>3.3570959252462558</v>
      </c>
      <c r="O356" s="137">
        <f t="shared" si="47"/>
        <v>4.0446938858389059</v>
      </c>
      <c r="P356" s="140">
        <f>IF(OR(M356=0,M356=3),loop_gain!$B$18,IF(Current_limit!M356=1,Current_limit!$B$12/(2*(Current_limit!N356-Helper_calcs!$B$27)),IF(OR(M356=2,M356=23),(Main!$B$19-Current_limit!O356)*Current_limit!O356/(Main!$B$19*loop_gain!$B$17*(Helper_calcs!$B$26-Helper_calcs!$B$27)),x)))</f>
        <v>400000</v>
      </c>
      <c r="Q356" s="137"/>
    </row>
    <row r="357" spans="1:17" x14ac:dyDescent="0.25">
      <c r="A357">
        <f t="shared" si="48"/>
        <v>4.1599999999999548</v>
      </c>
      <c r="B357">
        <f>Main!$B$20/A357</f>
        <v>1.20192307692309</v>
      </c>
      <c r="D357" s="137">
        <f t="shared" si="41"/>
        <v>1.20192307692309</v>
      </c>
      <c r="E357" s="137">
        <f>-B357*Main!$B$19-2*Main!$B$19*loop_gain!$B$17*loop_gain!$B$18</f>
        <v>-79.703076923077063</v>
      </c>
      <c r="F357" s="137">
        <f>2*Main!$B$19*loop_gain!$B$17*loop_gain!$B$18*Helper_calcs!$B$26*Current_limit!B357</f>
        <v>302.07692307692628</v>
      </c>
      <c r="G357" s="137">
        <f t="shared" si="43"/>
        <v>4.0356255140753525</v>
      </c>
      <c r="H357" s="137">
        <f>(Main!$B$19-Current_limit!G357)*Current_limit!G357/(Main!$B$19*loop_gain!$B$17*loop_gain!$B$18)</f>
        <v>0.98471914457868504</v>
      </c>
      <c r="I357" s="137">
        <f t="shared" si="44"/>
        <v>2.8652808554213141</v>
      </c>
      <c r="J357" s="137"/>
      <c r="K357" s="138">
        <f>IF(A357&gt;$B$15,IF(I357&gt;Helper_calcs!$B$27,23,3),0)</f>
        <v>3</v>
      </c>
      <c r="L357" s="139">
        <f t="shared" si="42"/>
        <v>2</v>
      </c>
      <c r="M357" s="139">
        <f t="shared" si="45"/>
        <v>3</v>
      </c>
      <c r="N357" s="137">
        <f t="shared" si="46"/>
        <v>3.3576404277106566</v>
      </c>
      <c r="O357" s="137">
        <f t="shared" si="47"/>
        <v>4.0356255140753525</v>
      </c>
      <c r="P357" s="140">
        <f>IF(OR(M357=0,M357=3),loop_gain!$B$18,IF(Current_limit!M357=1,Current_limit!$B$12/(2*(Current_limit!N357-Helper_calcs!$B$27)),IF(OR(M357=2,M357=23),(Main!$B$19-Current_limit!O357)*Current_limit!O357/(Main!$B$19*loop_gain!$B$17*(Helper_calcs!$B$26-Helper_calcs!$B$27)),x)))</f>
        <v>400000</v>
      </c>
      <c r="Q357" s="137"/>
    </row>
    <row r="358" spans="1:17" x14ac:dyDescent="0.25">
      <c r="A358">
        <f t="shared" si="48"/>
        <v>4.1699999999999546</v>
      </c>
      <c r="B358">
        <f>Main!$B$20/A358</f>
        <v>1.1990407673861041</v>
      </c>
      <c r="D358" s="137">
        <f t="shared" si="41"/>
        <v>1.1990407673861041</v>
      </c>
      <c r="E358" s="137">
        <f>-B358*Main!$B$19-2*Main!$B$19*loop_gain!$B$17*loop_gain!$B$18</f>
        <v>-79.668489208633233</v>
      </c>
      <c r="F358" s="137">
        <f>2*Main!$B$19*loop_gain!$B$17*loop_gain!$B$18*Helper_calcs!$B$26*Current_limit!B358</f>
        <v>301.35251798561472</v>
      </c>
      <c r="G358" s="137">
        <f t="shared" si="43"/>
        <v>4.0266005125507585</v>
      </c>
      <c r="H358" s="137">
        <f>(Main!$B$19-Current_limit!G358)*Current_limit!G358/(Main!$B$19*loop_gain!$B$17*loop_gain!$B$18)</f>
        <v>0.98363034506541291</v>
      </c>
      <c r="I358" s="137">
        <f t="shared" si="44"/>
        <v>2.8663696549345898</v>
      </c>
      <c r="J358" s="137"/>
      <c r="K358" s="138">
        <f>IF(A358&gt;$B$15,IF(I358&gt;Helper_calcs!$B$27,23,3),0)</f>
        <v>3</v>
      </c>
      <c r="L358" s="139">
        <f t="shared" si="42"/>
        <v>2</v>
      </c>
      <c r="M358" s="139">
        <f t="shared" si="45"/>
        <v>3</v>
      </c>
      <c r="N358" s="137">
        <f t="shared" si="46"/>
        <v>3.3581848274672961</v>
      </c>
      <c r="O358" s="137">
        <f t="shared" si="47"/>
        <v>4.0266005125507585</v>
      </c>
      <c r="P358" s="140">
        <f>IF(OR(M358=0,M358=3),loop_gain!$B$18,IF(Current_limit!M358=1,Current_limit!$B$12/(2*(Current_limit!N358-Helper_calcs!$B$27)),IF(OR(M358=2,M358=23),(Main!$B$19-Current_limit!O358)*Current_limit!O358/(Main!$B$19*loop_gain!$B$17*(Helper_calcs!$B$26-Helper_calcs!$B$27)),x)))</f>
        <v>400000</v>
      </c>
      <c r="Q358" s="137"/>
    </row>
    <row r="359" spans="1:17" x14ac:dyDescent="0.25">
      <c r="A359">
        <f t="shared" si="48"/>
        <v>4.1799999999999544</v>
      </c>
      <c r="B359">
        <f>Main!$B$20/A359</f>
        <v>1.1961722488038409</v>
      </c>
      <c r="D359" s="137">
        <f t="shared" si="41"/>
        <v>1.1961722488038409</v>
      </c>
      <c r="E359" s="137">
        <f>-B359*Main!$B$19-2*Main!$B$19*loop_gain!$B$17*loop_gain!$B$18</f>
        <v>-79.634066985646072</v>
      </c>
      <c r="F359" s="137">
        <f>2*Main!$B$19*loop_gain!$B$17*loop_gain!$B$18*Helper_calcs!$B$26*Current_limit!B359</f>
        <v>300.63157894737168</v>
      </c>
      <c r="G359" s="137">
        <f t="shared" si="43"/>
        <v>4.0176185509587254</v>
      </c>
      <c r="H359" s="137">
        <f>(Main!$B$19-Current_limit!G359)*Current_limit!G359/(Main!$B$19*loop_gain!$B$17*loop_gain!$B$18)</f>
        <v>0.98254178279709026</v>
      </c>
      <c r="I359" s="137">
        <f t="shared" si="44"/>
        <v>2.8674582172029122</v>
      </c>
      <c r="J359" s="137"/>
      <c r="K359" s="138">
        <f>IF(A359&gt;$B$15,IF(I359&gt;Helper_calcs!$B$27,23,3),0)</f>
        <v>3</v>
      </c>
      <c r="L359" s="139">
        <f t="shared" si="42"/>
        <v>2</v>
      </c>
      <c r="M359" s="139">
        <f t="shared" si="45"/>
        <v>3</v>
      </c>
      <c r="N359" s="137">
        <f t="shared" si="46"/>
        <v>3.3587291086014575</v>
      </c>
      <c r="O359" s="137">
        <f t="shared" si="47"/>
        <v>4.0176185509587254</v>
      </c>
      <c r="P359" s="140">
        <f>IF(OR(M359=0,M359=3),loop_gain!$B$18,IF(Current_limit!M359=1,Current_limit!$B$12/(2*(Current_limit!N359-Helper_calcs!$B$27)),IF(OR(M359=2,M359=23),(Main!$B$19-Current_limit!O359)*Current_limit!O359/(Main!$B$19*loop_gain!$B$17*(Helper_calcs!$B$26-Helper_calcs!$B$27)),x)))</f>
        <v>400000</v>
      </c>
      <c r="Q359" s="137"/>
    </row>
    <row r="360" spans="1:17" x14ac:dyDescent="0.25">
      <c r="A360">
        <f t="shared" si="48"/>
        <v>4.1899999999999542</v>
      </c>
      <c r="B360">
        <f>Main!$B$20/A360</f>
        <v>1.1933174224343805</v>
      </c>
      <c r="D360" s="137">
        <f t="shared" si="41"/>
        <v>1.1933174224343805</v>
      </c>
      <c r="E360" s="137">
        <f>-B360*Main!$B$19-2*Main!$B$19*loop_gain!$B$17*loop_gain!$B$18</f>
        <v>-79.599809069212554</v>
      </c>
      <c r="F360" s="137">
        <f>2*Main!$B$19*loop_gain!$B$17*loop_gain!$B$18*Helper_calcs!$B$26*Current_limit!B360</f>
        <v>299.91408114558794</v>
      </c>
      <c r="G360" s="137">
        <f t="shared" si="43"/>
        <v>4.0086793025269341</v>
      </c>
      <c r="H360" s="137">
        <f>(Main!$B$19-Current_limit!G360)*Current_limit!G360/(Main!$B$19*loop_gain!$B$17*loop_gain!$B$18)</f>
        <v>0.98145348896493223</v>
      </c>
      <c r="I360" s="137">
        <f t="shared" si="44"/>
        <v>2.8685465110350679</v>
      </c>
      <c r="J360" s="137"/>
      <c r="K360" s="138">
        <f>IF(A360&gt;$B$15,IF(I360&gt;Helper_calcs!$B$27,23,3),0)</f>
        <v>3</v>
      </c>
      <c r="L360" s="139">
        <f t="shared" si="42"/>
        <v>2</v>
      </c>
      <c r="M360" s="139">
        <f t="shared" si="45"/>
        <v>3</v>
      </c>
      <c r="N360" s="137">
        <f t="shared" si="46"/>
        <v>3.3592732555175342</v>
      </c>
      <c r="O360" s="137">
        <f t="shared" si="47"/>
        <v>4.0086793025269341</v>
      </c>
      <c r="P360" s="140">
        <f>IF(OR(M360=0,M360=3),loop_gain!$B$18,IF(Current_limit!M360=1,Current_limit!$B$12/(2*(Current_limit!N360-Helper_calcs!$B$27)),IF(OR(M360=2,M360=23),(Main!$B$19-Current_limit!O360)*Current_limit!O360/(Main!$B$19*loop_gain!$B$17*(Helper_calcs!$B$26-Helper_calcs!$B$27)),x)))</f>
        <v>400000</v>
      </c>
      <c r="Q360" s="137"/>
    </row>
    <row r="361" spans="1:17" x14ac:dyDescent="0.25">
      <c r="A361">
        <f t="shared" si="48"/>
        <v>4.199999999999954</v>
      </c>
      <c r="B361">
        <f>Main!$B$20/A361</f>
        <v>1.1904761904762036</v>
      </c>
      <c r="D361" s="137">
        <f t="shared" si="41"/>
        <v>1.1904761904762036</v>
      </c>
      <c r="E361" s="137">
        <f>-B361*Main!$B$19-2*Main!$B$19*loop_gain!$B$17*loop_gain!$B$18</f>
        <v>-79.565714285714435</v>
      </c>
      <c r="F361" s="137">
        <f>2*Main!$B$19*loop_gain!$B$17*loop_gain!$B$18*Helper_calcs!$B$26*Current_limit!B361</f>
        <v>299.20000000000323</v>
      </c>
      <c r="G361" s="137">
        <f t="shared" si="43"/>
        <v>3.9997824439677805</v>
      </c>
      <c r="H361" s="137">
        <f>(Main!$B$19-Current_limit!G361)*Current_limit!G361/(Main!$B$19*loop_gain!$B$17*loop_gain!$B$18)</f>
        <v>0.98036549413420648</v>
      </c>
      <c r="I361" s="137">
        <f t="shared" si="44"/>
        <v>2.8696345058657955</v>
      </c>
      <c r="J361" s="137"/>
      <c r="K361" s="138">
        <f>IF(A361&gt;$B$15,IF(I361&gt;Helper_calcs!$B$27,23,3),0)</f>
        <v>3</v>
      </c>
      <c r="L361" s="139">
        <f t="shared" si="42"/>
        <v>2</v>
      </c>
      <c r="M361" s="139">
        <f t="shared" si="45"/>
        <v>3</v>
      </c>
      <c r="N361" s="137">
        <f t="shared" si="46"/>
        <v>3.3598172529328987</v>
      </c>
      <c r="O361" s="137">
        <f t="shared" si="47"/>
        <v>3.9997824439677805</v>
      </c>
      <c r="P361" s="140">
        <f>IF(OR(M361=0,M361=3),loop_gain!$B$18,IF(Current_limit!M361=1,Current_limit!$B$12/(2*(Current_limit!N361-Helper_calcs!$B$27)),IF(OR(M361=2,M361=23),(Main!$B$19-Current_limit!O361)*Current_limit!O361/(Main!$B$19*loop_gain!$B$17*(Helper_calcs!$B$26-Helper_calcs!$B$27)),x)))</f>
        <v>400000</v>
      </c>
      <c r="Q361" s="137"/>
    </row>
    <row r="362" spans="1:17" x14ac:dyDescent="0.25">
      <c r="A362">
        <f t="shared" si="48"/>
        <v>4.2099999999999538</v>
      </c>
      <c r="B362">
        <f>Main!$B$20/A362</f>
        <v>1.1876484560570202</v>
      </c>
      <c r="D362" s="137">
        <f t="shared" si="41"/>
        <v>1.1876484560570202</v>
      </c>
      <c r="E362" s="137">
        <f>-B362*Main!$B$19-2*Main!$B$19*loop_gain!$B$17*loop_gain!$B$18</f>
        <v>-79.53178147268423</v>
      </c>
      <c r="F362" s="137">
        <f>2*Main!$B$19*loop_gain!$B$17*loop_gain!$B$18*Helper_calcs!$B$26*Current_limit!B362</f>
        <v>298.48931116389872</v>
      </c>
      <c r="G362" s="137">
        <f t="shared" si="43"/>
        <v>3.9909276554298359</v>
      </c>
      <c r="H362" s="137">
        <f>(Main!$B$19-Current_limit!G362)*Current_limit!G362/(Main!$B$19*loop_gain!$B$17*loop_gain!$B$18)</f>
        <v>0.97927782825623011</v>
      </c>
      <c r="I362" s="137">
        <f t="shared" si="44"/>
        <v>2.8707221717437696</v>
      </c>
      <c r="J362" s="137"/>
      <c r="K362" s="138">
        <f>IF(A362&gt;$B$15,IF(I362&gt;Helper_calcs!$B$27,23,3),0)</f>
        <v>3</v>
      </c>
      <c r="L362" s="139">
        <f t="shared" si="42"/>
        <v>2</v>
      </c>
      <c r="M362" s="139">
        <f t="shared" si="45"/>
        <v>3</v>
      </c>
      <c r="N362" s="137">
        <f t="shared" si="46"/>
        <v>3.3603610858718849</v>
      </c>
      <c r="O362" s="137">
        <f t="shared" si="47"/>
        <v>3.9909276554298359</v>
      </c>
      <c r="P362" s="140">
        <f>IF(OR(M362=0,M362=3),loop_gain!$B$18,IF(Current_limit!M362=1,Current_limit!$B$12/(2*(Current_limit!N362-Helper_calcs!$B$27)),IF(OR(M362=2,M362=23),(Main!$B$19-Current_limit!O362)*Current_limit!O362/(Main!$B$19*loop_gain!$B$17*(Helper_calcs!$B$26-Helper_calcs!$B$27)),x)))</f>
        <v>400000</v>
      </c>
      <c r="Q362" s="137"/>
    </row>
    <row r="363" spans="1:17" x14ac:dyDescent="0.25">
      <c r="A363">
        <f t="shared" si="48"/>
        <v>4.2199999999999536</v>
      </c>
      <c r="B363">
        <f>Main!$B$20/A363</f>
        <v>1.1848341232227619</v>
      </c>
      <c r="D363" s="137">
        <f t="shared" si="41"/>
        <v>1.1848341232227619</v>
      </c>
      <c r="E363" s="137">
        <f>-B363*Main!$B$19-2*Main!$B$19*loop_gain!$B$17*loop_gain!$B$18</f>
        <v>-79.498009478673126</v>
      </c>
      <c r="F363" s="137">
        <f>2*Main!$B$19*loop_gain!$B$17*loop_gain!$B$18*Helper_calcs!$B$26*Current_limit!B363</f>
        <v>297.78199052133027</v>
      </c>
      <c r="G363" s="137">
        <f t="shared" si="43"/>
        <v>3.98211462045021</v>
      </c>
      <c r="H363" s="137">
        <f>(Main!$B$19-Current_limit!G363)*Current_limit!G363/(Main!$B$19*loop_gain!$B$17*loop_gain!$B$18)</f>
        <v>0.9781905206801228</v>
      </c>
      <c r="I363" s="137">
        <f t="shared" si="44"/>
        <v>2.8718094793198787</v>
      </c>
      <c r="J363" s="137"/>
      <c r="K363" s="138">
        <f>IF(A363&gt;$B$15,IF(I363&gt;Helper_calcs!$B$27,23,3),0)</f>
        <v>3</v>
      </c>
      <c r="L363" s="139">
        <f t="shared" si="42"/>
        <v>2</v>
      </c>
      <c r="M363" s="139">
        <f t="shared" si="45"/>
        <v>3</v>
      </c>
      <c r="N363" s="137">
        <f t="shared" si="46"/>
        <v>3.3609047396599401</v>
      </c>
      <c r="O363" s="137">
        <f t="shared" si="47"/>
        <v>3.98211462045021</v>
      </c>
      <c r="P363" s="140">
        <f>IF(OR(M363=0,M363=3),loop_gain!$B$18,IF(Current_limit!M363=1,Current_limit!$B$12/(2*(Current_limit!N363-Helper_calcs!$B$27)),IF(OR(M363=2,M363=23),(Main!$B$19-Current_limit!O363)*Current_limit!O363/(Main!$B$19*loop_gain!$B$17*(Helper_calcs!$B$26-Helper_calcs!$B$27)),x)))</f>
        <v>400000</v>
      </c>
      <c r="Q363" s="137"/>
    </row>
    <row r="364" spans="1:17" x14ac:dyDescent="0.25">
      <c r="A364">
        <f t="shared" si="48"/>
        <v>4.2299999999999534</v>
      </c>
      <c r="B364">
        <f>Main!$B$20/A364</f>
        <v>1.182033096926727</v>
      </c>
      <c r="D364" s="137">
        <f t="shared" si="41"/>
        <v>1.182033096926727</v>
      </c>
      <c r="E364" s="137">
        <f>-B364*Main!$B$19-2*Main!$B$19*loop_gain!$B$17*loop_gain!$B$18</f>
        <v>-79.464397163120708</v>
      </c>
      <c r="F364" s="137">
        <f>2*Main!$B$19*loop_gain!$B$17*loop_gain!$B$18*Helper_calcs!$B$26*Current_limit!B364</f>
        <v>297.07801418440039</v>
      </c>
      <c r="G364" s="137">
        <f t="shared" si="43"/>
        <v>3.9733430259076612</v>
      </c>
      <c r="H364" s="137">
        <f>(Main!$B$19-Current_limit!G364)*Current_limit!G364/(Main!$B$19*loop_gain!$B$17*loop_gain!$B$18)</f>
        <v>0.97710360016430431</v>
      </c>
      <c r="I364" s="137">
        <f t="shared" si="44"/>
        <v>2.872896399835692</v>
      </c>
      <c r="J364" s="137"/>
      <c r="K364" s="138">
        <f>IF(A364&gt;$B$15,IF(I364&gt;Helper_calcs!$B$27,23,3),0)</f>
        <v>3</v>
      </c>
      <c r="L364" s="139">
        <f t="shared" si="42"/>
        <v>2</v>
      </c>
      <c r="M364" s="139">
        <f t="shared" si="45"/>
        <v>3</v>
      </c>
      <c r="N364" s="137">
        <f t="shared" si="46"/>
        <v>3.3614481999178443</v>
      </c>
      <c r="O364" s="137">
        <f t="shared" si="47"/>
        <v>3.9733430259076612</v>
      </c>
      <c r="P364" s="140">
        <f>IF(OR(M364=0,M364=3),loop_gain!$B$18,IF(Current_limit!M364=1,Current_limit!$B$12/(2*(Current_limit!N364-Helper_calcs!$B$27)),IF(OR(M364=2,M364=23),(Main!$B$19-Current_limit!O364)*Current_limit!O364/(Main!$B$19*loop_gain!$B$17*(Helper_calcs!$B$26-Helper_calcs!$B$27)),x)))</f>
        <v>400000</v>
      </c>
      <c r="Q364" s="137"/>
    </row>
    <row r="365" spans="1:17" x14ac:dyDescent="0.25">
      <c r="A365">
        <f t="shared" si="48"/>
        <v>4.2399999999999531</v>
      </c>
      <c r="B365">
        <f>Main!$B$20/A365</f>
        <v>1.1792452830188809</v>
      </c>
      <c r="D365" s="137">
        <f t="shared" si="41"/>
        <v>1.1792452830188809</v>
      </c>
      <c r="E365" s="137">
        <f>-B365*Main!$B$19-2*Main!$B$19*loop_gain!$B$17*loop_gain!$B$18</f>
        <v>-79.430943396226553</v>
      </c>
      <c r="F365" s="137">
        <f>2*Main!$B$19*loop_gain!$B$17*loop_gain!$B$18*Helper_calcs!$B$26*Current_limit!B365</f>
        <v>296.37735849056924</v>
      </c>
      <c r="G365" s="137">
        <f t="shared" si="43"/>
        <v>3.9646125619766015</v>
      </c>
      <c r="H365" s="137">
        <f>(Main!$B$19-Current_limit!G365)*Current_limit!G365/(Main!$B$19*loop_gain!$B$17*loop_gain!$B$18)</f>
        <v>0.976017094887762</v>
      </c>
      <c r="I365" s="137">
        <f t="shared" si="44"/>
        <v>2.8739829051122401</v>
      </c>
      <c r="J365" s="137"/>
      <c r="K365" s="138">
        <f>IF(A365&gt;$B$15,IF(I365&gt;Helper_calcs!$B$27,23,3),0)</f>
        <v>3</v>
      </c>
      <c r="L365" s="139">
        <f t="shared" si="42"/>
        <v>2</v>
      </c>
      <c r="M365" s="139">
        <f t="shared" si="45"/>
        <v>3</v>
      </c>
      <c r="N365" s="137">
        <f t="shared" si="46"/>
        <v>3.3619914525561212</v>
      </c>
      <c r="O365" s="137">
        <f t="shared" si="47"/>
        <v>3.9646125619766015</v>
      </c>
      <c r="P365" s="140">
        <f>IF(OR(M365=0,M365=3),loop_gain!$B$18,IF(Current_limit!M365=1,Current_limit!$B$12/(2*(Current_limit!N365-Helper_calcs!$B$27)),IF(OR(M365=2,M365=23),(Main!$B$19-Current_limit!O365)*Current_limit!O365/(Main!$B$19*loop_gain!$B$17*(Helper_calcs!$B$26-Helper_calcs!$B$27)),x)))</f>
        <v>400000</v>
      </c>
      <c r="Q365" s="137"/>
    </row>
    <row r="366" spans="1:17" x14ac:dyDescent="0.25">
      <c r="A366">
        <f t="shared" si="48"/>
        <v>4.2499999999999529</v>
      </c>
      <c r="B366">
        <f>Main!$B$20/A366</f>
        <v>1.1764705882353073</v>
      </c>
      <c r="D366" s="137">
        <f t="shared" si="41"/>
        <v>1.1764705882353073</v>
      </c>
      <c r="E366" s="137">
        <f>-B366*Main!$B$19-2*Main!$B$19*loop_gain!$B$17*loop_gain!$B$18</f>
        <v>-79.397647058823679</v>
      </c>
      <c r="F366" s="137">
        <f>2*Main!$B$19*loop_gain!$B$17*loop_gain!$B$18*Helper_calcs!$B$26*Current_limit!B366</f>
        <v>295.68000000000325</v>
      </c>
      <c r="G366" s="137">
        <f t="shared" si="43"/>
        <v>3.9559229220817707</v>
      </c>
      <c r="H366" s="137">
        <f>(Main!$B$19-Current_limit!G366)*Current_limit!G366/(Main!$B$19*loop_gain!$B$17*loop_gain!$B$18)</f>
        <v>0.97493103246106871</v>
      </c>
      <c r="I366" s="137">
        <f t="shared" si="44"/>
        <v>2.8750689675389332</v>
      </c>
      <c r="J366" s="137"/>
      <c r="K366" s="138">
        <f>IF(A366&gt;$B$15,IF(I366&gt;Helper_calcs!$B$27,23,3),0)</f>
        <v>3</v>
      </c>
      <c r="L366" s="139">
        <f t="shared" si="42"/>
        <v>2</v>
      </c>
      <c r="M366" s="139">
        <f t="shared" si="45"/>
        <v>3</v>
      </c>
      <c r="N366" s="137">
        <f t="shared" si="46"/>
        <v>3.3625344837694673</v>
      </c>
      <c r="O366" s="137">
        <f t="shared" si="47"/>
        <v>3.9559229220817702</v>
      </c>
      <c r="P366" s="140">
        <f>IF(OR(M366=0,M366=3),loop_gain!$B$18,IF(Current_limit!M366=1,Current_limit!$B$12/(2*(Current_limit!N366-Helper_calcs!$B$27)),IF(OR(M366=2,M366=23),(Main!$B$19-Current_limit!O366)*Current_limit!O366/(Main!$B$19*loop_gain!$B$17*(Helper_calcs!$B$26-Helper_calcs!$B$27)),x)))</f>
        <v>400000</v>
      </c>
      <c r="Q366" s="137"/>
    </row>
    <row r="367" spans="1:17" x14ac:dyDescent="0.25">
      <c r="A367">
        <f t="shared" si="48"/>
        <v>4.2599999999999527</v>
      </c>
      <c r="B367">
        <f>Main!$B$20/A367</f>
        <v>1.1737089201878064</v>
      </c>
      <c r="D367" s="137">
        <f t="shared" si="41"/>
        <v>1.1737089201878064</v>
      </c>
      <c r="E367" s="137">
        <f>-B367*Main!$B$19-2*Main!$B$19*loop_gain!$B$17*loop_gain!$B$18</f>
        <v>-79.364507042253663</v>
      </c>
      <c r="F367" s="137">
        <f>2*Main!$B$19*loop_gain!$B$17*loop_gain!$B$18*Helper_calcs!$B$26*Current_limit!B367</f>
        <v>294.98591549296094</v>
      </c>
      <c r="G367" s="137">
        <f t="shared" si="43"/>
        <v>3.9472738028538075</v>
      </c>
      <c r="H367" s="137">
        <f>(Main!$B$19-Current_limit!G367)*Current_limit!G367/(Main!$B$19*loop_gain!$B$17*loop_gain!$B$18)</f>
        <v>0.97384543993718553</v>
      </c>
      <c r="I367" s="137">
        <f t="shared" si="44"/>
        <v>2.8761545600628144</v>
      </c>
      <c r="J367" s="137"/>
      <c r="K367" s="138">
        <f>IF(A367&gt;$B$15,IF(I367&gt;Helper_calcs!$B$27,23,3),0)</f>
        <v>3</v>
      </c>
      <c r="L367" s="139">
        <f t="shared" si="42"/>
        <v>2</v>
      </c>
      <c r="M367" s="139">
        <f t="shared" si="45"/>
        <v>3</v>
      </c>
      <c r="N367" s="137">
        <f t="shared" si="46"/>
        <v>3.363077280031407</v>
      </c>
      <c r="O367" s="137">
        <f t="shared" si="47"/>
        <v>3.9472738028538075</v>
      </c>
      <c r="P367" s="140">
        <f>IF(OR(M367=0,M367=3),loop_gain!$B$18,IF(Current_limit!M367=1,Current_limit!$B$12/(2*(Current_limit!N367-Helper_calcs!$B$27)),IF(OR(M367=2,M367=23),(Main!$B$19-Current_limit!O367)*Current_limit!O367/(Main!$B$19*loop_gain!$B$17*(Helper_calcs!$B$26-Helper_calcs!$B$27)),x)))</f>
        <v>400000</v>
      </c>
      <c r="Q367" s="137"/>
    </row>
    <row r="368" spans="1:17" x14ac:dyDescent="0.25">
      <c r="A368">
        <f t="shared" si="48"/>
        <v>4.2699999999999525</v>
      </c>
      <c r="B368">
        <f>Main!$B$20/A368</f>
        <v>1.170960187353643</v>
      </c>
      <c r="D368" s="137">
        <f t="shared" si="41"/>
        <v>1.170960187353643</v>
      </c>
      <c r="E368" s="137">
        <f>-B368*Main!$B$19-2*Main!$B$19*loop_gain!$B$17*loop_gain!$B$18</f>
        <v>-79.331522248243701</v>
      </c>
      <c r="F368" s="137">
        <f>2*Main!$B$19*loop_gain!$B$17*loop_gain!$B$18*Helper_calcs!$B$26*Current_limit!B368</f>
        <v>294.29508196721633</v>
      </c>
      <c r="G368" s="137">
        <f t="shared" si="43"/>
        <v>3.9386649040855057</v>
      </c>
      <c r="H368" s="137">
        <f>(Main!$B$19-Current_limit!G368)*Current_limit!G368/(Main!$B$19*loop_gain!$B$17*loop_gain!$B$18)</f>
        <v>0.97276034382203391</v>
      </c>
      <c r="I368" s="137">
        <f t="shared" si="44"/>
        <v>2.8772396561779674</v>
      </c>
      <c r="J368" s="137"/>
      <c r="K368" s="138">
        <f>IF(A368&gt;$B$15,IF(I368&gt;Helper_calcs!$B$27,23,3),0)</f>
        <v>3</v>
      </c>
      <c r="L368" s="139">
        <f t="shared" si="42"/>
        <v>2</v>
      </c>
      <c r="M368" s="139">
        <f t="shared" si="45"/>
        <v>3</v>
      </c>
      <c r="N368" s="137">
        <f t="shared" si="46"/>
        <v>3.3636198280889844</v>
      </c>
      <c r="O368" s="137">
        <f t="shared" si="47"/>
        <v>3.9386649040855057</v>
      </c>
      <c r="P368" s="140">
        <f>IF(OR(M368=0,M368=3),loop_gain!$B$18,IF(Current_limit!M368=1,Current_limit!$B$12/(2*(Current_limit!N368-Helper_calcs!$B$27)),IF(OR(M368=2,M368=23),(Main!$B$19-Current_limit!O368)*Current_limit!O368/(Main!$B$19*loop_gain!$B$17*(Helper_calcs!$B$26-Helper_calcs!$B$27)),x)))</f>
        <v>400000</v>
      </c>
      <c r="Q368" s="137"/>
    </row>
    <row r="369" spans="1:17" x14ac:dyDescent="0.25">
      <c r="A369">
        <f t="shared" si="48"/>
        <v>4.2799999999999523</v>
      </c>
      <c r="B369">
        <f>Main!$B$20/A369</f>
        <v>1.1682242990654337</v>
      </c>
      <c r="D369" s="137">
        <f t="shared" si="41"/>
        <v>1.1682242990654337</v>
      </c>
      <c r="E369" s="137">
        <f>-B369*Main!$B$19-2*Main!$B$19*loop_gain!$B$17*loop_gain!$B$18</f>
        <v>-79.298691588785189</v>
      </c>
      <c r="F369" s="137">
        <f>2*Main!$B$19*loop_gain!$B$17*loop_gain!$B$18*Helper_calcs!$B$26*Current_limit!B369</f>
        <v>293.60747663551723</v>
      </c>
      <c r="G369" s="137">
        <f t="shared" si="43"/>
        <v>3.9300959286888042</v>
      </c>
      <c r="H369" s="137">
        <f>(Main!$B$19-Current_limit!G369)*Current_limit!G369/(Main!$B$19*loop_gain!$B$17*loop_gain!$B$18)</f>
        <v>0.97167577008484507</v>
      </c>
      <c r="I369" s="137">
        <f t="shared" si="44"/>
        <v>2.8783242299151559</v>
      </c>
      <c r="J369" s="137"/>
      <c r="K369" s="138">
        <f>IF(A369&gt;$B$15,IF(I369&gt;Helper_calcs!$B$27,23,3),0)</f>
        <v>3</v>
      </c>
      <c r="L369" s="139">
        <f t="shared" si="42"/>
        <v>2</v>
      </c>
      <c r="M369" s="139">
        <f t="shared" si="45"/>
        <v>3</v>
      </c>
      <c r="N369" s="137">
        <f t="shared" si="46"/>
        <v>3.3641621149575784</v>
      </c>
      <c r="O369" s="137">
        <f t="shared" si="47"/>
        <v>3.9300959286888042</v>
      </c>
      <c r="P369" s="140">
        <f>IF(OR(M369=0,M369=3),loop_gain!$B$18,IF(Current_limit!M369=1,Current_limit!$B$12/(2*(Current_limit!N369-Helper_calcs!$B$27)),IF(OR(M369=2,M369=23),(Main!$B$19-Current_limit!O369)*Current_limit!O369/(Main!$B$19*loop_gain!$B$17*(Helper_calcs!$B$26-Helper_calcs!$B$27)),x)))</f>
        <v>400000</v>
      </c>
      <c r="Q369" s="137"/>
    </row>
    <row r="370" spans="1:17" x14ac:dyDescent="0.25">
      <c r="A370">
        <f t="shared" si="48"/>
        <v>4.2899999999999521</v>
      </c>
      <c r="B370">
        <f>Main!$B$20/A370</f>
        <v>1.1655011655011784</v>
      </c>
      <c r="D370" s="137">
        <f t="shared" si="41"/>
        <v>1.1655011655011784</v>
      </c>
      <c r="E370" s="137">
        <f>-B370*Main!$B$19-2*Main!$B$19*loop_gain!$B$17*loop_gain!$B$18</f>
        <v>-79.26601398601413</v>
      </c>
      <c r="F370" s="137">
        <f>2*Main!$B$19*loop_gain!$B$17*loop_gain!$B$18*Helper_calcs!$B$26*Current_limit!B370</f>
        <v>292.92307692308009</v>
      </c>
      <c r="G370" s="137">
        <f t="shared" si="43"/>
        <v>3.9215665826525492</v>
      </c>
      <c r="H370" s="137">
        <f>(Main!$B$19-Current_limit!G370)*Current_limit!G370/(Main!$B$19*loop_gain!$B$17*loop_gain!$B$18)</f>
        <v>0.97059174416830285</v>
      </c>
      <c r="I370" s="137">
        <f t="shared" si="44"/>
        <v>2.8794082558316987</v>
      </c>
      <c r="J370" s="137"/>
      <c r="K370" s="138">
        <f>IF(A370&gt;$B$15,IF(I370&gt;Helper_calcs!$B$27,23,3),0)</f>
        <v>3</v>
      </c>
      <c r="L370" s="139">
        <f t="shared" si="42"/>
        <v>2</v>
      </c>
      <c r="M370" s="139">
        <f t="shared" si="45"/>
        <v>3</v>
      </c>
      <c r="N370" s="137">
        <f t="shared" si="46"/>
        <v>3.3647041279158501</v>
      </c>
      <c r="O370" s="137">
        <f t="shared" si="47"/>
        <v>3.9215665826525492</v>
      </c>
      <c r="P370" s="140">
        <f>IF(OR(M370=0,M370=3),loop_gain!$B$18,IF(Current_limit!M370=1,Current_limit!$B$12/(2*(Current_limit!N370-Helper_calcs!$B$27)),IF(OR(M370=2,M370=23),(Main!$B$19-Current_limit!O370)*Current_limit!O370/(Main!$B$19*loop_gain!$B$17*(Helper_calcs!$B$26-Helper_calcs!$B$27)),x)))</f>
        <v>400000</v>
      </c>
      <c r="Q370" s="137"/>
    </row>
    <row r="371" spans="1:17" x14ac:dyDescent="0.25">
      <c r="A371">
        <f t="shared" si="48"/>
        <v>4.2999999999999519</v>
      </c>
      <c r="B371">
        <f>Main!$B$20/A371</f>
        <v>1.1627906976744316</v>
      </c>
      <c r="D371" s="137">
        <f t="shared" si="41"/>
        <v>1.1627906976744316</v>
      </c>
      <c r="E371" s="137">
        <f>-B371*Main!$B$19-2*Main!$B$19*loop_gain!$B$17*loop_gain!$B$18</f>
        <v>-79.233488372093163</v>
      </c>
      <c r="F371" s="137">
        <f>2*Main!$B$19*loop_gain!$B$17*loop_gain!$B$18*Helper_calcs!$B$26*Current_limit!B371</f>
        <v>292.24186046511949</v>
      </c>
      <c r="G371" s="137">
        <f t="shared" si="43"/>
        <v>3.9130765750009311</v>
      </c>
      <c r="H371" s="137">
        <f>(Main!$B$19-Current_limit!G371)*Current_limit!G371/(Main!$B$19*loop_gain!$B$17*loop_gain!$B$18)</f>
        <v>0.96950829099847324</v>
      </c>
      <c r="I371" s="137">
        <f t="shared" si="44"/>
        <v>2.8804917090015265</v>
      </c>
      <c r="J371" s="137"/>
      <c r="K371" s="138">
        <f>IF(A371&gt;$B$15,IF(I371&gt;Helper_calcs!$B$27,23,3),0)</f>
        <v>3</v>
      </c>
      <c r="L371" s="139">
        <f t="shared" si="42"/>
        <v>2</v>
      </c>
      <c r="M371" s="139">
        <f t="shared" si="45"/>
        <v>3</v>
      </c>
      <c r="N371" s="137">
        <f t="shared" si="46"/>
        <v>3.3652458545007633</v>
      </c>
      <c r="O371" s="137">
        <f t="shared" si="47"/>
        <v>3.9130765750009311</v>
      </c>
      <c r="P371" s="140">
        <f>IF(OR(M371=0,M371=3),loop_gain!$B$18,IF(Current_limit!M371=1,Current_limit!$B$12/(2*(Current_limit!N371-Helper_calcs!$B$27)),IF(OR(M371=2,M371=23),(Main!$B$19-Current_limit!O371)*Current_limit!O371/(Main!$B$19*loop_gain!$B$17*(Helper_calcs!$B$26-Helper_calcs!$B$27)),x)))</f>
        <v>400000</v>
      </c>
      <c r="Q371" s="137"/>
    </row>
    <row r="372" spans="1:17" x14ac:dyDescent="0.25">
      <c r="A372">
        <f t="shared" si="48"/>
        <v>4.3099999999999516</v>
      </c>
      <c r="B372">
        <f>Main!$B$20/A372</f>
        <v>1.1600928074246071</v>
      </c>
      <c r="D372" s="137">
        <f t="shared" si="41"/>
        <v>1.1600928074246071</v>
      </c>
      <c r="E372" s="137">
        <f>-B372*Main!$B$19-2*Main!$B$19*loop_gain!$B$17*loop_gain!$B$18</f>
        <v>-79.20111368909528</v>
      </c>
      <c r="F372" s="137">
        <f>2*Main!$B$19*loop_gain!$B$17*loop_gain!$B$18*Helper_calcs!$B$26*Current_limit!B372</f>
        <v>291.56380510441159</v>
      </c>
      <c r="G372" s="137">
        <f t="shared" si="43"/>
        <v>3.9046256177526324</v>
      </c>
      <c r="H372" s="137">
        <f>(Main!$B$19-Current_limit!G372)*Current_limit!G372/(Main!$B$19*loop_gain!$B$17*loop_gain!$B$18)</f>
        <v>0.96842543499453038</v>
      </c>
      <c r="I372" s="137">
        <f t="shared" si="44"/>
        <v>2.881574565005466</v>
      </c>
      <c r="J372" s="137"/>
      <c r="K372" s="138">
        <f>IF(A372&gt;$B$15,IF(I372&gt;Helper_calcs!$B$27,23,3),0)</f>
        <v>3</v>
      </c>
      <c r="L372" s="139">
        <f t="shared" si="42"/>
        <v>2</v>
      </c>
      <c r="M372" s="139">
        <f t="shared" si="45"/>
        <v>3</v>
      </c>
      <c r="N372" s="137">
        <f t="shared" si="46"/>
        <v>3.3657872825027311</v>
      </c>
      <c r="O372" s="137">
        <f t="shared" si="47"/>
        <v>3.9046256177526324</v>
      </c>
      <c r="P372" s="140">
        <f>IF(OR(M372=0,M372=3),loop_gain!$B$18,IF(Current_limit!M372=1,Current_limit!$B$12/(2*(Current_limit!N372-Helper_calcs!$B$27)),IF(OR(M372=2,M372=23),(Main!$B$19-Current_limit!O372)*Current_limit!O372/(Main!$B$19*loop_gain!$B$17*(Helper_calcs!$B$26-Helper_calcs!$B$27)),x)))</f>
        <v>400000</v>
      </c>
      <c r="Q372" s="137"/>
    </row>
    <row r="373" spans="1:17" x14ac:dyDescent="0.25">
      <c r="A373">
        <f t="shared" si="48"/>
        <v>4.3199999999999514</v>
      </c>
      <c r="B373">
        <f>Main!$B$20/A373</f>
        <v>1.1574074074074203</v>
      </c>
      <c r="D373" s="137">
        <f t="shared" si="41"/>
        <v>1.1574074074074203</v>
      </c>
      <c r="E373" s="137">
        <f>-B373*Main!$B$19-2*Main!$B$19*loop_gain!$B$17*loop_gain!$B$18</f>
        <v>-79.168888888889029</v>
      </c>
      <c r="F373" s="137">
        <f>2*Main!$B$19*loop_gain!$B$17*loop_gain!$B$18*Helper_calcs!$B$26*Current_limit!B373</f>
        <v>290.8888888888921</v>
      </c>
      <c r="G373" s="137">
        <f t="shared" si="43"/>
        <v>3.8962134258806636</v>
      </c>
      <c r="H373" s="137">
        <f>(Main!$B$19-Current_limit!G373)*Current_limit!G373/(Main!$B$19*loop_gain!$B$17*loop_gain!$B$18)</f>
        <v>0.96734320007828534</v>
      </c>
      <c r="I373" s="137">
        <f t="shared" si="44"/>
        <v>2.8826567999217132</v>
      </c>
      <c r="J373" s="137"/>
      <c r="K373" s="138">
        <f>IF(A373&gt;$B$15,IF(I373&gt;Helper_calcs!$B$27,23,3),0)</f>
        <v>3</v>
      </c>
      <c r="L373" s="139">
        <f t="shared" si="42"/>
        <v>2</v>
      </c>
      <c r="M373" s="139">
        <f t="shared" si="45"/>
        <v>3</v>
      </c>
      <c r="N373" s="137">
        <f t="shared" si="46"/>
        <v>3.3663283999608558</v>
      </c>
      <c r="O373" s="137">
        <f t="shared" si="47"/>
        <v>3.8962134258806636</v>
      </c>
      <c r="P373" s="140">
        <f>IF(OR(M373=0,M373=3),loop_gain!$B$18,IF(Current_limit!M373=1,Current_limit!$B$12/(2*(Current_limit!N373-Helper_calcs!$B$27)),IF(OR(M373=2,M373=23),(Main!$B$19-Current_limit!O373)*Current_limit!O373/(Main!$B$19*loop_gain!$B$17*(Helper_calcs!$B$26-Helper_calcs!$B$27)),x)))</f>
        <v>400000</v>
      </c>
      <c r="Q373" s="137"/>
    </row>
    <row r="374" spans="1:17" x14ac:dyDescent="0.25">
      <c r="A374">
        <f t="shared" si="48"/>
        <v>4.3299999999999512</v>
      </c>
      <c r="B374">
        <f>Main!$B$20/A374</f>
        <v>1.1547344110854634</v>
      </c>
      <c r="D374" s="137">
        <f t="shared" si="41"/>
        <v>1.1547344110854634</v>
      </c>
      <c r="E374" s="137">
        <f>-B374*Main!$B$19-2*Main!$B$19*loop_gain!$B$17*loop_gain!$B$18</f>
        <v>-79.136812933025553</v>
      </c>
      <c r="F374" s="137">
        <f>2*Main!$B$19*loop_gain!$B$17*loop_gain!$B$18*Helper_calcs!$B$26*Current_limit!B374</f>
        <v>290.21709006928728</v>
      </c>
      <c r="G374" s="137">
        <f t="shared" si="43"/>
        <v>3.8878397172728438</v>
      </c>
      <c r="H374" s="137">
        <f>(Main!$B$19-Current_limit!G374)*Current_limit!G374/(Main!$B$19*loop_gain!$B$17*loop_gain!$B$18)</f>
        <v>0.9662616096835156</v>
      </c>
      <c r="I374" s="137">
        <f t="shared" si="44"/>
        <v>2.8837383903164868</v>
      </c>
      <c r="J374" s="137"/>
      <c r="K374" s="138">
        <f>IF(A374&gt;$B$15,IF(I374&gt;Helper_calcs!$B$27,23,3),0)</f>
        <v>3</v>
      </c>
      <c r="L374" s="139">
        <f t="shared" si="42"/>
        <v>2</v>
      </c>
      <c r="M374" s="139">
        <f t="shared" si="45"/>
        <v>3</v>
      </c>
      <c r="N374" s="137">
        <f t="shared" si="46"/>
        <v>3.3668691951582446</v>
      </c>
      <c r="O374" s="137">
        <f t="shared" si="47"/>
        <v>3.8878397172728434</v>
      </c>
      <c r="P374" s="140">
        <f>IF(OR(M374=0,M374=3),loop_gain!$B$18,IF(Current_limit!M374=1,Current_limit!$B$12/(2*(Current_limit!N374-Helper_calcs!$B$27)),IF(OR(M374=2,M374=23),(Main!$B$19-Current_limit!O374)*Current_limit!O374/(Main!$B$19*loop_gain!$B$17*(Helper_calcs!$B$26-Helper_calcs!$B$27)),x)))</f>
        <v>400000</v>
      </c>
      <c r="Q374" s="137"/>
    </row>
    <row r="375" spans="1:17" x14ac:dyDescent="0.25">
      <c r="A375">
        <f t="shared" si="48"/>
        <v>4.339999999999951</v>
      </c>
      <c r="B375">
        <f>Main!$B$20/A375</f>
        <v>1.152073732718907</v>
      </c>
      <c r="D375" s="137">
        <f t="shared" si="41"/>
        <v>1.152073732718907</v>
      </c>
      <c r="E375" s="137">
        <f>-B375*Main!$B$19-2*Main!$B$19*loop_gain!$B$17*loop_gain!$B$18</f>
        <v>-79.104884792626876</v>
      </c>
      <c r="F375" s="137">
        <f>2*Main!$B$19*loop_gain!$B$17*loop_gain!$B$18*Helper_calcs!$B$26*Current_limit!B375</f>
        <v>289.54838709677739</v>
      </c>
      <c r="G375" s="137">
        <f t="shared" si="43"/>
        <v>3.8795042126929511</v>
      </c>
      <c r="H375" s="137">
        <f>(Main!$B$19-Current_limit!G375)*Current_limit!G375/(Main!$B$19*loop_gain!$B$17*loop_gain!$B$18)</f>
        <v>0.96518068676510627</v>
      </c>
      <c r="I375" s="137">
        <f t="shared" si="44"/>
        <v>2.8848193132348903</v>
      </c>
      <c r="J375" s="137"/>
      <c r="K375" s="138">
        <f>IF(A375&gt;$B$15,IF(I375&gt;Helper_calcs!$B$27,23,3),0)</f>
        <v>3</v>
      </c>
      <c r="L375" s="139">
        <f t="shared" si="42"/>
        <v>2</v>
      </c>
      <c r="M375" s="139">
        <f t="shared" si="45"/>
        <v>3</v>
      </c>
      <c r="N375" s="137">
        <f t="shared" si="46"/>
        <v>3.3674096566174434</v>
      </c>
      <c r="O375" s="137">
        <f t="shared" si="47"/>
        <v>3.8795042126929511</v>
      </c>
      <c r="P375" s="140">
        <f>IF(OR(M375=0,M375=3),loop_gain!$B$18,IF(Current_limit!M375=1,Current_limit!$B$12/(2*(Current_limit!N375-Helper_calcs!$B$27)),IF(OR(M375=2,M375=23),(Main!$B$19-Current_limit!O375)*Current_limit!O375/(Main!$B$19*loop_gain!$B$17*(Helper_calcs!$B$26-Helper_calcs!$B$27)),x)))</f>
        <v>400000</v>
      </c>
      <c r="Q375" s="137"/>
    </row>
    <row r="376" spans="1:17" x14ac:dyDescent="0.25">
      <c r="A376">
        <f t="shared" si="48"/>
        <v>4.3499999999999508</v>
      </c>
      <c r="B376">
        <f>Main!$B$20/A376</f>
        <v>1.1494252873563349</v>
      </c>
      <c r="D376" s="137">
        <f t="shared" si="41"/>
        <v>1.1494252873563349</v>
      </c>
      <c r="E376" s="137">
        <f>-B376*Main!$B$19-2*Main!$B$19*loop_gain!$B$17*loop_gain!$B$18</f>
        <v>-79.073103448276001</v>
      </c>
      <c r="F376" s="137">
        <f>2*Main!$B$19*loop_gain!$B$17*loop_gain!$B$18*Helper_calcs!$B$26*Current_limit!B376</f>
        <v>288.88275862069287</v>
      </c>
      <c r="G376" s="137">
        <f t="shared" si="43"/>
        <v>3.8712066357425665</v>
      </c>
      <c r="H376" s="137">
        <f>(Main!$B$19-Current_limit!G376)*Current_limit!G376/(Main!$B$19*loop_gain!$B$17*loop_gain!$B$18)</f>
        <v>0.96410045380801235</v>
      </c>
      <c r="I376" s="137">
        <f t="shared" si="44"/>
        <v>2.8858995461919883</v>
      </c>
      <c r="J376" s="137"/>
      <c r="K376" s="138">
        <f>IF(A376&gt;$B$15,IF(I376&gt;Helper_calcs!$B$27,23,3),0)</f>
        <v>3</v>
      </c>
      <c r="L376" s="139">
        <f t="shared" si="42"/>
        <v>2</v>
      </c>
      <c r="M376" s="139">
        <f t="shared" si="45"/>
        <v>3</v>
      </c>
      <c r="N376" s="137">
        <f t="shared" si="46"/>
        <v>3.3679497730959946</v>
      </c>
      <c r="O376" s="137">
        <f t="shared" si="47"/>
        <v>3.8712066357425665</v>
      </c>
      <c r="P376" s="140">
        <f>IF(OR(M376=0,M376=3),loop_gain!$B$18,IF(Current_limit!M376=1,Current_limit!$B$12/(2*(Current_limit!N376-Helper_calcs!$B$27)),IF(OR(M376=2,M376=23),(Main!$B$19-Current_limit!O376)*Current_limit!O376/(Main!$B$19*loop_gain!$B$17*(Helper_calcs!$B$26-Helper_calcs!$B$27)),x)))</f>
        <v>400000</v>
      </c>
      <c r="Q376" s="137"/>
    </row>
    <row r="377" spans="1:17" x14ac:dyDescent="0.25">
      <c r="A377">
        <f t="shared" si="48"/>
        <v>4.3599999999999506</v>
      </c>
      <c r="B377">
        <f>Main!$B$20/A377</f>
        <v>1.1467889908257012</v>
      </c>
      <c r="D377" s="137">
        <f t="shared" si="41"/>
        <v>1.1467889908257012</v>
      </c>
      <c r="E377" s="137">
        <f>-B377*Main!$B$19-2*Main!$B$19*loop_gain!$B$17*loop_gain!$B$18</f>
        <v>-79.041467889908404</v>
      </c>
      <c r="F377" s="137">
        <f>2*Main!$B$19*loop_gain!$B$17*loop_gain!$B$18*Helper_calcs!$B$26*Current_limit!B377</f>
        <v>288.22018348624175</v>
      </c>
      <c r="G377" s="137">
        <f t="shared" si="43"/>
        <v>3.8629467128234225</v>
      </c>
      <c r="H377" s="137">
        <f>(Main!$B$19-Current_limit!G377)*Current_limit!G377/(Main!$B$19*loop_gain!$B$17*loop_gain!$B$18)</f>
        <v>0.96302093283602308</v>
      </c>
      <c r="I377" s="137">
        <f t="shared" si="44"/>
        <v>2.8869790671639746</v>
      </c>
      <c r="J377" s="137"/>
      <c r="K377" s="138">
        <f>IF(A377&gt;$B$15,IF(I377&gt;Helper_calcs!$B$27,23,3),0)</f>
        <v>3</v>
      </c>
      <c r="L377" s="139">
        <f t="shared" si="42"/>
        <v>2</v>
      </c>
      <c r="M377" s="139">
        <f t="shared" si="45"/>
        <v>3</v>
      </c>
      <c r="N377" s="137">
        <f t="shared" si="46"/>
        <v>3.368489533581986</v>
      </c>
      <c r="O377" s="137">
        <f t="shared" si="47"/>
        <v>3.8629467128234225</v>
      </c>
      <c r="P377" s="140">
        <f>IF(OR(M377=0,M377=3),loop_gain!$B$18,IF(Current_limit!M377=1,Current_limit!$B$12/(2*(Current_limit!N377-Helper_calcs!$B$27)),IF(OR(M377=2,M377=23),(Main!$B$19-Current_limit!O377)*Current_limit!O377/(Main!$B$19*loop_gain!$B$17*(Helper_calcs!$B$26-Helper_calcs!$B$27)),x)))</f>
        <v>400000</v>
      </c>
      <c r="Q377" s="137"/>
    </row>
    <row r="378" spans="1:17" x14ac:dyDescent="0.25">
      <c r="A378">
        <f t="shared" si="48"/>
        <v>4.3699999999999504</v>
      </c>
      <c r="B378">
        <f>Main!$B$20/A378</f>
        <v>1.1441647597254134</v>
      </c>
      <c r="D378" s="137">
        <f t="shared" si="41"/>
        <v>1.1441647597254134</v>
      </c>
      <c r="E378" s="137">
        <f>-B378*Main!$B$19-2*Main!$B$19*loop_gain!$B$17*loop_gain!$B$18</f>
        <v>-79.009977116704945</v>
      </c>
      <c r="F378" s="137">
        <f>2*Main!$B$19*loop_gain!$B$17*loop_gain!$B$18*Helper_calcs!$B$26*Current_limit!B378</f>
        <v>287.56064073226867</v>
      </c>
      <c r="G378" s="137">
        <f t="shared" si="43"/>
        <v>3.8547241731005211</v>
      </c>
      <c r="H378" s="137">
        <f>(Main!$B$19-Current_limit!G378)*Current_limit!G378/(Main!$B$19*loop_gain!$B$17*loop_gain!$B$18)</f>
        <v>0.96194214542036649</v>
      </c>
      <c r="I378" s="137">
        <f t="shared" si="44"/>
        <v>2.8880578545796336</v>
      </c>
      <c r="J378" s="137"/>
      <c r="K378" s="138">
        <f>IF(A378&gt;$B$15,IF(I378&gt;Helper_calcs!$B$27,23,3),0)</f>
        <v>3</v>
      </c>
      <c r="L378" s="139">
        <f t="shared" si="42"/>
        <v>2</v>
      </c>
      <c r="M378" s="139">
        <f t="shared" si="45"/>
        <v>3</v>
      </c>
      <c r="N378" s="137">
        <f t="shared" si="46"/>
        <v>3.3690289272898171</v>
      </c>
      <c r="O378" s="137">
        <f t="shared" si="47"/>
        <v>3.8547241731005211</v>
      </c>
      <c r="P378" s="140">
        <f>IF(OR(M378=0,M378=3),loop_gain!$B$18,IF(Current_limit!M378=1,Current_limit!$B$12/(2*(Current_limit!N378-Helper_calcs!$B$27)),IF(OR(M378=2,M378=23),(Main!$B$19-Current_limit!O378)*Current_limit!O378/(Main!$B$19*loop_gain!$B$17*(Helper_calcs!$B$26-Helper_calcs!$B$27)),x)))</f>
        <v>400000</v>
      </c>
      <c r="Q378" s="137"/>
    </row>
    <row r="379" spans="1:17" x14ac:dyDescent="0.25">
      <c r="A379">
        <f t="shared" si="48"/>
        <v>4.3799999999999502</v>
      </c>
      <c r="B379">
        <f>Main!$B$20/A379</f>
        <v>1.141552511415538</v>
      </c>
      <c r="D379" s="137">
        <f t="shared" si="41"/>
        <v>1.141552511415538</v>
      </c>
      <c r="E379" s="137">
        <f>-B379*Main!$B$19-2*Main!$B$19*loop_gain!$B$17*loop_gain!$B$18</f>
        <v>-78.978630136986439</v>
      </c>
      <c r="F379" s="137">
        <f>2*Main!$B$19*loop_gain!$B$17*loop_gain!$B$18*Helper_calcs!$B$26*Current_limit!B379</f>
        <v>286.90410958904431</v>
      </c>
      <c r="G379" s="137">
        <f t="shared" si="43"/>
        <v>3.8465387484657252</v>
      </c>
      <c r="H379" s="137">
        <f>(Main!$B$19-Current_limit!G379)*Current_limit!G379/(Main!$B$19*loop_gain!$B$17*loop_gain!$B$18)</f>
        <v>0.96086411268812622</v>
      </c>
      <c r="I379" s="137">
        <f t="shared" si="44"/>
        <v>2.8891358873118738</v>
      </c>
      <c r="J379" s="137"/>
      <c r="K379" s="138">
        <f>IF(A379&gt;$B$15,IF(I379&gt;Helper_calcs!$B$27,23,3),0)</f>
        <v>3</v>
      </c>
      <c r="L379" s="139">
        <f t="shared" si="42"/>
        <v>2</v>
      </c>
      <c r="M379" s="139">
        <f t="shared" si="45"/>
        <v>3</v>
      </c>
      <c r="N379" s="137">
        <f t="shared" si="46"/>
        <v>3.3695679436559369</v>
      </c>
      <c r="O379" s="137">
        <f t="shared" si="47"/>
        <v>3.8465387484657252</v>
      </c>
      <c r="P379" s="140">
        <f>IF(OR(M379=0,M379=3),loop_gain!$B$18,IF(Current_limit!M379=1,Current_limit!$B$12/(2*(Current_limit!N379-Helper_calcs!$B$27)),IF(OR(M379=2,M379=23),(Main!$B$19-Current_limit!O379)*Current_limit!O379/(Main!$B$19*loop_gain!$B$17*(Helper_calcs!$B$26-Helper_calcs!$B$27)),x)))</f>
        <v>400000</v>
      </c>
      <c r="Q379" s="137"/>
    </row>
    <row r="380" spans="1:17" x14ac:dyDescent="0.25">
      <c r="A380">
        <f t="shared" si="48"/>
        <v>4.3899999999999499</v>
      </c>
      <c r="B380">
        <f>Main!$B$20/A380</f>
        <v>1.1389521640091247</v>
      </c>
      <c r="D380" s="137">
        <f t="shared" si="41"/>
        <v>1.1389521640091247</v>
      </c>
      <c r="E380" s="137">
        <f>-B380*Main!$B$19-2*Main!$B$19*loop_gain!$B$17*loop_gain!$B$18</f>
        <v>-78.947425968109485</v>
      </c>
      <c r="F380" s="137">
        <f>2*Main!$B$19*loop_gain!$B$17*loop_gain!$B$18*Helper_calcs!$B$26*Current_limit!B380</f>
        <v>286.25056947608522</v>
      </c>
      <c r="G380" s="137">
        <f t="shared" si="43"/>
        <v>3.8383901735020332</v>
      </c>
      <c r="H380" s="137">
        <f>(Main!$B$19-Current_limit!G380)*Current_limit!G380/(Main!$B$19*loop_gain!$B$17*loop_gain!$B$18)</f>
        <v>0.95978685533049757</v>
      </c>
      <c r="I380" s="137">
        <f t="shared" si="44"/>
        <v>2.8902131446694979</v>
      </c>
      <c r="J380" s="137"/>
      <c r="K380" s="138">
        <f>IF(A380&gt;$B$15,IF(I380&gt;Helper_calcs!$B$27,23,3),0)</f>
        <v>3</v>
      </c>
      <c r="L380" s="139">
        <f t="shared" si="42"/>
        <v>2</v>
      </c>
      <c r="M380" s="139">
        <f t="shared" si="45"/>
        <v>3</v>
      </c>
      <c r="N380" s="137">
        <f t="shared" si="46"/>
        <v>3.3701065723347465</v>
      </c>
      <c r="O380" s="137">
        <f t="shared" si="47"/>
        <v>3.8383901735020332</v>
      </c>
      <c r="P380" s="140">
        <f>IF(OR(M380=0,M380=3),loop_gain!$B$18,IF(Current_limit!M380=1,Current_limit!$B$12/(2*(Current_limit!N380-Helper_calcs!$B$27)),IF(OR(M380=2,M380=23),(Main!$B$19-Current_limit!O380)*Current_limit!O380/(Main!$B$19*loop_gain!$B$17*(Helper_calcs!$B$26-Helper_calcs!$B$27)),x)))</f>
        <v>400000</v>
      </c>
      <c r="Q380" s="137"/>
    </row>
    <row r="381" spans="1:17" x14ac:dyDescent="0.25">
      <c r="A381">
        <f t="shared" si="48"/>
        <v>4.3999999999999497</v>
      </c>
      <c r="B381">
        <f>Main!$B$20/A381</f>
        <v>1.1363636363636493</v>
      </c>
      <c r="D381" s="137">
        <f t="shared" si="41"/>
        <v>1.1363636363636493</v>
      </c>
      <c r="E381" s="137">
        <f>-B381*Main!$B$19-2*Main!$B$19*loop_gain!$B$17*loop_gain!$B$18</f>
        <v>-78.916363636363783</v>
      </c>
      <c r="F381" s="137">
        <f>2*Main!$B$19*loop_gain!$B$17*loop_gain!$B$18*Helper_calcs!$B$26*Current_limit!B381</f>
        <v>285.60000000000321</v>
      </c>
      <c r="G381" s="137">
        <f t="shared" si="43"/>
        <v>3.8302781854484143</v>
      </c>
      <c r="H381" s="137">
        <f>(Main!$B$19-Current_limit!G381)*Current_limit!G381/(Main!$B$19*loop_gain!$B$17*loop_gain!$B$18)</f>
        <v>0.95871039361087562</v>
      </c>
      <c r="I381" s="137">
        <f t="shared" si="44"/>
        <v>2.8912896063891282</v>
      </c>
      <c r="J381" s="137"/>
      <c r="K381" s="138">
        <f>IF(A381&gt;$B$15,IF(I381&gt;Helper_calcs!$B$27,23,3),0)</f>
        <v>3</v>
      </c>
      <c r="L381" s="139">
        <f t="shared" si="42"/>
        <v>2</v>
      </c>
      <c r="M381" s="139">
        <f t="shared" si="45"/>
        <v>3</v>
      </c>
      <c r="N381" s="137">
        <f t="shared" si="46"/>
        <v>3.3706448031945659</v>
      </c>
      <c r="O381" s="137">
        <f t="shared" si="47"/>
        <v>3.8302781854484143</v>
      </c>
      <c r="P381" s="140">
        <f>IF(OR(M381=0,M381=3),loop_gain!$B$18,IF(Current_limit!M381=1,Current_limit!$B$12/(2*(Current_limit!N381-Helper_calcs!$B$27)),IF(OR(M381=2,M381=23),(Main!$B$19-Current_limit!O381)*Current_limit!O381/(Main!$B$19*loop_gain!$B$17*(Helper_calcs!$B$26-Helper_calcs!$B$27)),x)))</f>
        <v>400000</v>
      </c>
      <c r="Q381" s="137"/>
    </row>
    <row r="382" spans="1:17" x14ac:dyDescent="0.25">
      <c r="A382">
        <f t="shared" si="48"/>
        <v>4.4099999999999495</v>
      </c>
      <c r="B382">
        <f>Main!$B$20/A382</f>
        <v>1.1337868480725752</v>
      </c>
      <c r="D382" s="137">
        <f t="shared" si="41"/>
        <v>1.1337868480725752</v>
      </c>
      <c r="E382" s="137">
        <f>-B382*Main!$B$19-2*Main!$B$19*loop_gain!$B$17*loop_gain!$B$18</f>
        <v>-78.885442176870896</v>
      </c>
      <c r="F382" s="137">
        <f>2*Main!$B$19*loop_gain!$B$17*loop_gain!$B$18*Helper_calcs!$B$26*Current_limit!B382</f>
        <v>284.95238095238415</v>
      </c>
      <c r="G382" s="137">
        <f t="shared" si="43"/>
        <v>3.8222025241651347</v>
      </c>
      <c r="H382" s="137">
        <f>(Main!$B$19-Current_limit!G382)*Current_limit!G382/(Main!$B$19*loop_gain!$B$17*loop_gain!$B$18)</f>
        <v>0.95763474737277243</v>
      </c>
      <c r="I382" s="137">
        <f t="shared" si="44"/>
        <v>2.8923652526272243</v>
      </c>
      <c r="J382" s="137"/>
      <c r="K382" s="138">
        <f>IF(A382&gt;$B$15,IF(I382&gt;Helper_calcs!$B$27,23,3),0)</f>
        <v>3</v>
      </c>
      <c r="L382" s="139">
        <f t="shared" si="42"/>
        <v>2</v>
      </c>
      <c r="M382" s="139">
        <f t="shared" si="45"/>
        <v>3</v>
      </c>
      <c r="N382" s="137">
        <f t="shared" si="46"/>
        <v>3.3711826263136104</v>
      </c>
      <c r="O382" s="137">
        <f t="shared" si="47"/>
        <v>3.8222025241651347</v>
      </c>
      <c r="P382" s="140">
        <f>IF(OR(M382=0,M382=3),loop_gain!$B$18,IF(Current_limit!M382=1,Current_limit!$B$12/(2*(Current_limit!N382-Helper_calcs!$B$27)),IF(OR(M382=2,M382=23),(Main!$B$19-Current_limit!O382)*Current_limit!O382/(Main!$B$19*loop_gain!$B$17*(Helper_calcs!$B$26-Helper_calcs!$B$27)),x)))</f>
        <v>400000</v>
      </c>
      <c r="Q382" s="137"/>
    </row>
    <row r="383" spans="1:17" x14ac:dyDescent="0.25">
      <c r="A383">
        <f t="shared" si="48"/>
        <v>4.4199999999999493</v>
      </c>
      <c r="B383">
        <f>Main!$B$20/A383</f>
        <v>1.1312217194570267</v>
      </c>
      <c r="D383" s="137">
        <f t="shared" si="41"/>
        <v>1.1312217194570267</v>
      </c>
      <c r="E383" s="137">
        <f>-B383*Main!$B$19-2*Main!$B$19*loop_gain!$B$17*loop_gain!$B$18</f>
        <v>-78.854660633484315</v>
      </c>
      <c r="F383" s="137">
        <f>2*Main!$B$19*loop_gain!$B$17*loop_gain!$B$18*Helper_calcs!$B$26*Current_limit!B383</f>
        <v>284.30769230769556</v>
      </c>
      <c r="G383" s="137">
        <f t="shared" si="43"/>
        <v>3.8141629320998169</v>
      </c>
      <c r="H383" s="137">
        <f>(Main!$B$19-Current_limit!G383)*Current_limit!G383/(Main!$B$19*loop_gain!$B$17*loop_gain!$B$18)</f>
        <v>0.95655993604759604</v>
      </c>
      <c r="I383" s="137">
        <f t="shared" si="44"/>
        <v>2.8934400639524012</v>
      </c>
      <c r="J383" s="137"/>
      <c r="K383" s="138">
        <f>IF(A383&gt;$B$15,IF(I383&gt;Helper_calcs!$B$27,23,3),0)</f>
        <v>3</v>
      </c>
      <c r="L383" s="139">
        <f t="shared" si="42"/>
        <v>2</v>
      </c>
      <c r="M383" s="139">
        <f t="shared" si="45"/>
        <v>3</v>
      </c>
      <c r="N383" s="137">
        <f t="shared" si="46"/>
        <v>3.3717200319761993</v>
      </c>
      <c r="O383" s="137">
        <f t="shared" si="47"/>
        <v>3.8141629320998169</v>
      </c>
      <c r="P383" s="140">
        <f>IF(OR(M383=0,M383=3),loop_gain!$B$18,IF(Current_limit!M383=1,Current_limit!$B$12/(2*(Current_limit!N383-Helper_calcs!$B$27)),IF(OR(M383=2,M383=23),(Main!$B$19-Current_limit!O383)*Current_limit!O383/(Main!$B$19*loop_gain!$B$17*(Helper_calcs!$B$26-Helper_calcs!$B$27)),x)))</f>
        <v>400000</v>
      </c>
      <c r="Q383" s="137"/>
    </row>
    <row r="384" spans="1:17" x14ac:dyDescent="0.25">
      <c r="A384">
        <f t="shared" si="48"/>
        <v>4.4299999999999491</v>
      </c>
      <c r="B384">
        <f>Main!$B$20/A384</f>
        <v>1.128668171557575</v>
      </c>
      <c r="D384" s="137">
        <f t="shared" si="41"/>
        <v>1.128668171557575</v>
      </c>
      <c r="E384" s="137">
        <f>-B384*Main!$B$19-2*Main!$B$19*loop_gain!$B$17*loop_gain!$B$18</f>
        <v>-78.824018058690882</v>
      </c>
      <c r="F384" s="137">
        <f>2*Main!$B$19*loop_gain!$B$17*loop_gain!$B$18*Helper_calcs!$B$26*Current_limit!B384</f>
        <v>283.66591422122218</v>
      </c>
      <c r="G384" s="137">
        <f t="shared" si="43"/>
        <v>3.8061591542538493</v>
      </c>
      <c r="H384" s="137">
        <f>(Main!$B$19-Current_limit!G384)*Current_limit!G384/(Main!$B$19*loop_gain!$B$17*loop_gain!$B$18)</f>
        <v>0.95548597866224938</v>
      </c>
      <c r="I384" s="137">
        <f t="shared" si="44"/>
        <v>2.8945140213377472</v>
      </c>
      <c r="J384" s="137"/>
      <c r="K384" s="138">
        <f>IF(A384&gt;$B$15,IF(I384&gt;Helper_calcs!$B$27,23,3),0)</f>
        <v>3</v>
      </c>
      <c r="L384" s="139">
        <f t="shared" si="42"/>
        <v>2</v>
      </c>
      <c r="M384" s="139">
        <f t="shared" si="45"/>
        <v>3</v>
      </c>
      <c r="N384" s="137">
        <f t="shared" si="46"/>
        <v>3.3722570106688718</v>
      </c>
      <c r="O384" s="137">
        <f t="shared" si="47"/>
        <v>3.8061591542538493</v>
      </c>
      <c r="P384" s="140">
        <f>IF(OR(M384=0,M384=3),loop_gain!$B$18,IF(Current_limit!M384=1,Current_limit!$B$12/(2*(Current_limit!N384-Helper_calcs!$B$27)),IF(OR(M384=2,M384=23),(Main!$B$19-Current_limit!O384)*Current_limit!O384/(Main!$B$19*loop_gain!$B$17*(Helper_calcs!$B$26-Helper_calcs!$B$27)),x)))</f>
        <v>400000</v>
      </c>
      <c r="Q384" s="137"/>
    </row>
    <row r="385" spans="1:17" x14ac:dyDescent="0.25">
      <c r="A385">
        <f t="shared" si="48"/>
        <v>4.4399999999999489</v>
      </c>
      <c r="B385">
        <f>Main!$B$20/A385</f>
        <v>1.126126126126139</v>
      </c>
      <c r="D385" s="137">
        <f t="shared" si="41"/>
        <v>1.126126126126139</v>
      </c>
      <c r="E385" s="137">
        <f>-B385*Main!$B$19-2*Main!$B$19*loop_gain!$B$17*loop_gain!$B$18</f>
        <v>-78.793513513513659</v>
      </c>
      <c r="F385" s="137">
        <f>2*Main!$B$19*loop_gain!$B$17*loop_gain!$B$18*Helper_calcs!$B$26*Current_limit!B385</f>
        <v>283.02702702703021</v>
      </c>
      <c r="G385" s="137">
        <f t="shared" si="43"/>
        <v>3.7981909381494838</v>
      </c>
      <c r="H385" s="137">
        <f>(Main!$B$19-Current_limit!G385)*Current_limit!G385/(Main!$B$19*loop_gain!$B$17*loop_gain!$B$18)</f>
        <v>0.95441289384659789</v>
      </c>
      <c r="I385" s="137">
        <f t="shared" si="44"/>
        <v>2.8955871061534038</v>
      </c>
      <c r="J385" s="137"/>
      <c r="K385" s="138">
        <f>IF(A385&gt;$B$15,IF(I385&gt;Helper_calcs!$B$27,23,3),0)</f>
        <v>3</v>
      </c>
      <c r="L385" s="139">
        <f t="shared" si="42"/>
        <v>2</v>
      </c>
      <c r="M385" s="139">
        <f t="shared" si="45"/>
        <v>3</v>
      </c>
      <c r="N385" s="137">
        <f t="shared" si="46"/>
        <v>3.3727935530767028</v>
      </c>
      <c r="O385" s="137">
        <f t="shared" si="47"/>
        <v>3.7981909381494838</v>
      </c>
      <c r="P385" s="140">
        <f>IF(OR(M385=0,M385=3),loop_gain!$B$18,IF(Current_limit!M385=1,Current_limit!$B$12/(2*(Current_limit!N385-Helper_calcs!$B$27)),IF(OR(M385=2,M385=23),(Main!$B$19-Current_limit!O385)*Current_limit!O385/(Main!$B$19*loop_gain!$B$17*(Helper_calcs!$B$26-Helper_calcs!$B$27)),x)))</f>
        <v>400000</v>
      </c>
      <c r="Q385" s="137"/>
    </row>
    <row r="386" spans="1:17" x14ac:dyDescent="0.25">
      <c r="A386">
        <f t="shared" si="48"/>
        <v>4.4499999999999487</v>
      </c>
      <c r="B386">
        <f>Main!$B$20/A386</f>
        <v>1.1235955056179905</v>
      </c>
      <c r="D386" s="137">
        <f t="shared" si="41"/>
        <v>1.1235955056179905</v>
      </c>
      <c r="E386" s="137">
        <f>-B386*Main!$B$19-2*Main!$B$19*loop_gain!$B$17*loop_gain!$B$18</f>
        <v>-78.763146067415875</v>
      </c>
      <c r="F386" s="137">
        <f>2*Main!$B$19*loop_gain!$B$17*loop_gain!$B$18*Helper_calcs!$B$26*Current_limit!B386</f>
        <v>282.39101123595827</v>
      </c>
      <c r="G386" s="137">
        <f t="shared" si="43"/>
        <v>3.7902580337973628</v>
      </c>
      <c r="H386" s="137">
        <f>(Main!$B$19-Current_limit!G386)*Current_limit!G386/(Main!$B$19*loop_gain!$B$17*loop_gain!$B$18)</f>
        <v>0.95334069984077541</v>
      </c>
      <c r="I386" s="137">
        <f t="shared" si="44"/>
        <v>2.8966593001592265</v>
      </c>
      <c r="J386" s="137"/>
      <c r="K386" s="138">
        <f>IF(A386&gt;$B$15,IF(I386&gt;Helper_calcs!$B$27,23,3),0)</f>
        <v>3</v>
      </c>
      <c r="L386" s="139">
        <f t="shared" si="42"/>
        <v>2</v>
      </c>
      <c r="M386" s="139">
        <f t="shared" si="45"/>
        <v>3</v>
      </c>
      <c r="N386" s="137">
        <f t="shared" si="46"/>
        <v>3.3733296500796142</v>
      </c>
      <c r="O386" s="137">
        <f t="shared" si="47"/>
        <v>3.7902580337973628</v>
      </c>
      <c r="P386" s="140">
        <f>IF(OR(M386=0,M386=3),loop_gain!$B$18,IF(Current_limit!M386=1,Current_limit!$B$12/(2*(Current_limit!N386-Helper_calcs!$B$27)),IF(OR(M386=2,M386=23),(Main!$B$19-Current_limit!O386)*Current_limit!O386/(Main!$B$19*loop_gain!$B$17*(Helper_calcs!$B$26-Helper_calcs!$B$27)),x)))</f>
        <v>400000</v>
      </c>
      <c r="Q386" s="137"/>
    </row>
    <row r="387" spans="1:17" x14ac:dyDescent="0.25">
      <c r="A387">
        <f t="shared" si="48"/>
        <v>4.4599999999999485</v>
      </c>
      <c r="B387">
        <f>Main!$B$20/A387</f>
        <v>1.1210762331838695</v>
      </c>
      <c r="D387" s="137">
        <f t="shared" si="41"/>
        <v>1.1210762331838695</v>
      </c>
      <c r="E387" s="137">
        <f>-B387*Main!$B$19-2*Main!$B$19*loop_gain!$B$17*loop_gain!$B$18</f>
        <v>-78.732914798206423</v>
      </c>
      <c r="F387" s="137">
        <f>2*Main!$B$19*loop_gain!$B$17*loop_gain!$B$18*Helper_calcs!$B$26*Current_limit!B387</f>
        <v>281.75784753363547</v>
      </c>
      <c r="G387" s="137">
        <f t="shared" si="43"/>
        <v>3.78236019366464</v>
      </c>
      <c r="H387" s="137">
        <f>(Main!$B$19-Current_limit!G387)*Current_limit!G387/(Main!$B$19*loop_gain!$B$17*loop_gain!$B$18)</f>
        <v>0.95226941450235514</v>
      </c>
      <c r="I387" s="137">
        <f t="shared" si="44"/>
        <v>2.8977305854976421</v>
      </c>
      <c r="J387" s="137"/>
      <c r="K387" s="138">
        <f>IF(A387&gt;$B$15,IF(I387&gt;Helper_calcs!$B$27,23,3),0)</f>
        <v>3</v>
      </c>
      <c r="L387" s="139">
        <f t="shared" si="42"/>
        <v>2</v>
      </c>
      <c r="M387" s="139">
        <f t="shared" si="45"/>
        <v>3</v>
      </c>
      <c r="N387" s="137">
        <f t="shared" si="46"/>
        <v>3.3738652927488197</v>
      </c>
      <c r="O387" s="137">
        <f t="shared" si="47"/>
        <v>3.78236019366464</v>
      </c>
      <c r="P387" s="140">
        <f>IF(OR(M387=0,M387=3),loop_gain!$B$18,IF(Current_limit!M387=1,Current_limit!$B$12/(2*(Current_limit!N387-Helper_calcs!$B$27)),IF(OR(M387=2,M387=23),(Main!$B$19-Current_limit!O387)*Current_limit!O387/(Main!$B$19*loop_gain!$B$17*(Helper_calcs!$B$26-Helper_calcs!$B$27)),x)))</f>
        <v>400000</v>
      </c>
      <c r="Q387" s="137"/>
    </row>
    <row r="388" spans="1:17" x14ac:dyDescent="0.25">
      <c r="A388">
        <f t="shared" si="48"/>
        <v>4.4699999999999482</v>
      </c>
      <c r="B388">
        <f>Main!$B$20/A388</f>
        <v>1.1185682326622053</v>
      </c>
      <c r="D388" s="137">
        <f t="shared" si="41"/>
        <v>1.1185682326622053</v>
      </c>
      <c r="E388" s="137">
        <f>-B388*Main!$B$19-2*Main!$B$19*loop_gain!$B$17*loop_gain!$B$18</f>
        <v>-78.702818791946456</v>
      </c>
      <c r="F388" s="137">
        <f>2*Main!$B$19*loop_gain!$B$17*loop_gain!$B$18*Helper_calcs!$B$26*Current_limit!B388</f>
        <v>281.12751677852668</v>
      </c>
      <c r="G388" s="137">
        <f t="shared" si="43"/>
        <v>3.7744971726435672</v>
      </c>
      <c r="H388" s="137">
        <f>(Main!$B$19-Current_limit!G388)*Current_limit!G388/(Main!$B$19*loop_gain!$B$17*loop_gain!$B$18)</f>
        <v>0.95119905531337412</v>
      </c>
      <c r="I388" s="137">
        <f t="shared" si="44"/>
        <v>2.8988009446866232</v>
      </c>
      <c r="J388" s="137"/>
      <c r="K388" s="138">
        <f>IF(A388&gt;$B$15,IF(I388&gt;Helper_calcs!$B$27,23,3),0)</f>
        <v>3</v>
      </c>
      <c r="L388" s="139">
        <f t="shared" si="42"/>
        <v>2</v>
      </c>
      <c r="M388" s="139">
        <f t="shared" si="45"/>
        <v>3</v>
      </c>
      <c r="N388" s="137">
        <f t="shared" si="46"/>
        <v>3.3744004723433103</v>
      </c>
      <c r="O388" s="137">
        <f t="shared" si="47"/>
        <v>3.7744971726435672</v>
      </c>
      <c r="P388" s="140">
        <f>IF(OR(M388=0,M388=3),loop_gain!$B$18,IF(Current_limit!M388=1,Current_limit!$B$12/(2*(Current_limit!N388-Helper_calcs!$B$27)),IF(OR(M388=2,M388=23),(Main!$B$19-Current_limit!O388)*Current_limit!O388/(Main!$B$19*loop_gain!$B$17*(Helper_calcs!$B$26-Helper_calcs!$B$27)),x)))</f>
        <v>400000</v>
      </c>
      <c r="Q388" s="137"/>
    </row>
    <row r="389" spans="1:17" x14ac:dyDescent="0.25">
      <c r="A389">
        <f t="shared" si="48"/>
        <v>4.479999999999948</v>
      </c>
      <c r="B389">
        <f>Main!$B$20/A389</f>
        <v>1.1160714285714415</v>
      </c>
      <c r="D389" s="137">
        <f t="shared" si="41"/>
        <v>1.1160714285714415</v>
      </c>
      <c r="E389" s="137">
        <f>-B389*Main!$B$19-2*Main!$B$19*loop_gain!$B$17*loop_gain!$B$18</f>
        <v>-78.672857142857282</v>
      </c>
      <c r="F389" s="137">
        <f>2*Main!$B$19*loop_gain!$B$17*loop_gain!$B$18*Helper_calcs!$B$26*Current_limit!B389</f>
        <v>280.50000000000318</v>
      </c>
      <c r="G389" s="137">
        <f t="shared" si="43"/>
        <v>3.7666687280205706</v>
      </c>
      <c r="H389" s="137">
        <f>(Main!$B$19-Current_limit!G389)*Current_limit!G389/(Main!$B$19*loop_gain!$B$17*loop_gain!$B$18)</f>
        <v>0.95012963938721651</v>
      </c>
      <c r="I389" s="137">
        <f t="shared" si="44"/>
        <v>2.899870360612784</v>
      </c>
      <c r="J389" s="137"/>
      <c r="K389" s="138">
        <f>IF(A389&gt;$B$15,IF(I389&gt;Helper_calcs!$B$27,23,3),0)</f>
        <v>3</v>
      </c>
      <c r="L389" s="139">
        <f t="shared" si="42"/>
        <v>2</v>
      </c>
      <c r="M389" s="139">
        <f t="shared" si="45"/>
        <v>3</v>
      </c>
      <c r="N389" s="137">
        <f t="shared" si="46"/>
        <v>3.3749351803063923</v>
      </c>
      <c r="O389" s="137">
        <f t="shared" si="47"/>
        <v>3.7666687280205706</v>
      </c>
      <c r="P389" s="140">
        <f>IF(OR(M389=0,M389=3),loop_gain!$B$18,IF(Current_limit!M389=1,Current_limit!$B$12/(2*(Current_limit!N389-Helper_calcs!$B$27)),IF(OR(M389=2,M389=23),(Main!$B$19-Current_limit!O389)*Current_limit!O389/(Main!$B$19*loop_gain!$B$17*(Helper_calcs!$B$26-Helper_calcs!$B$27)),x)))</f>
        <v>400000</v>
      </c>
      <c r="Q389" s="137"/>
    </row>
    <row r="390" spans="1:17" x14ac:dyDescent="0.25">
      <c r="A390">
        <f t="shared" si="48"/>
        <v>4.4899999999999478</v>
      </c>
      <c r="B390">
        <f>Main!$B$20/A390</f>
        <v>1.1135857461024627</v>
      </c>
      <c r="D390" s="137">
        <f t="shared" si="41"/>
        <v>1.1135857461024627</v>
      </c>
      <c r="E390" s="137">
        <f>-B390*Main!$B$19-2*Main!$B$19*loop_gain!$B$17*loop_gain!$B$18</f>
        <v>-78.643028953229532</v>
      </c>
      <c r="F390" s="137">
        <f>2*Main!$B$19*loop_gain!$B$17*loop_gain!$B$18*Helper_calcs!$B$26*Current_limit!B390</f>
        <v>279.87527839643968</v>
      </c>
      <c r="G390" s="137">
        <f t="shared" si="43"/>
        <v>3.7588746194458289</v>
      </c>
      <c r="H390" s="137">
        <f>(Main!$B$19-Current_limit!G390)*Current_limit!G390/(Main!$B$19*loop_gain!$B$17*loop_gain!$B$18)</f>
        <v>0.9490611834753655</v>
      </c>
      <c r="I390" s="137">
        <f t="shared" si="44"/>
        <v>2.9009388165246328</v>
      </c>
      <c r="J390" s="137"/>
      <c r="K390" s="138">
        <f>IF(A390&gt;$B$15,IF(I390&gt;Helper_calcs!$B$27,23,3),0)</f>
        <v>23</v>
      </c>
      <c r="L390" s="139">
        <f t="shared" si="42"/>
        <v>2</v>
      </c>
      <c r="M390" s="139">
        <f t="shared" si="45"/>
        <v>23</v>
      </c>
      <c r="N390" s="137">
        <f t="shared" si="46"/>
        <v>3.375</v>
      </c>
      <c r="O390" s="137">
        <f t="shared" si="47"/>
        <v>3.7583518930958117</v>
      </c>
      <c r="P390" s="140">
        <f>IF(OR(M390=0,M390=3),loop_gain!$B$18,IF(Current_limit!M390=1,Current_limit!$B$12/(2*(Current_limit!N390-Helper_calcs!$B$27)),IF(OR(M390=2,M390=23),(Main!$B$19-Current_limit!O390)*Current_limit!O390/(Main!$B$19*loop_gain!$B$17*(Helper_calcs!$B$26-Helper_calcs!$B$27)),x)))</f>
        <v>399574.48097023822</v>
      </c>
      <c r="Q390" s="137"/>
    </row>
    <row r="391" spans="1:17" x14ac:dyDescent="0.25">
      <c r="A391">
        <f t="shared" si="48"/>
        <v>4.4999999999999476</v>
      </c>
      <c r="B391">
        <f>Main!$B$20/A391</f>
        <v>1.111111111111124</v>
      </c>
      <c r="D391" s="137">
        <f t="shared" si="41"/>
        <v>1.111111111111124</v>
      </c>
      <c r="E391" s="137">
        <f>-B391*Main!$B$19-2*Main!$B$19*loop_gain!$B$17*loop_gain!$B$18</f>
        <v>-78.613333333333472</v>
      </c>
      <c r="F391" s="137">
        <f>2*Main!$B$19*loop_gain!$B$17*loop_gain!$B$18*Helper_calcs!$B$26*Current_limit!B391</f>
        <v>279.25333333333651</v>
      </c>
      <c r="G391" s="137">
        <f t="shared" si="43"/>
        <v>3.7511146089033622</v>
      </c>
      <c r="H391" s="137">
        <f>(Main!$B$19-Current_limit!G391)*Current_limit!G391/(Main!$B$19*loop_gain!$B$17*loop_gain!$B$18)</f>
        <v>0.94799370397402349</v>
      </c>
      <c r="I391" s="137">
        <f t="shared" si="44"/>
        <v>2.9020062960259749</v>
      </c>
      <c r="J391" s="137"/>
      <c r="K391" s="138">
        <f>IF(A391&gt;$B$15,IF(I391&gt;Helper_calcs!$B$27,23,3),0)</f>
        <v>23</v>
      </c>
      <c r="L391" s="139">
        <f t="shared" si="42"/>
        <v>2</v>
      </c>
      <c r="M391" s="139">
        <f t="shared" si="45"/>
        <v>23</v>
      </c>
      <c r="N391" s="137">
        <f t="shared" si="46"/>
        <v>3.375</v>
      </c>
      <c r="O391" s="137">
        <f t="shared" si="47"/>
        <v>3.7500000000000435</v>
      </c>
      <c r="P391" s="140">
        <f>IF(OR(M391=0,M391=3),loop_gain!$B$18,IF(Current_limit!M391=1,Current_limit!$B$12/(2*(Current_limit!N391-Helper_calcs!$B$27)),IF(OR(M391=2,M391=23),(Main!$B$19-Current_limit!O391)*Current_limit!O391/(Main!$B$19*loop_gain!$B$17*(Helper_calcs!$B$26-Helper_calcs!$B$27)),x)))</f>
        <v>399090.55727554433</v>
      </c>
      <c r="Q391" s="137"/>
    </row>
    <row r="392" spans="1:17" x14ac:dyDescent="0.25">
      <c r="A392">
        <f t="shared" si="48"/>
        <v>4.5099999999999474</v>
      </c>
      <c r="B392">
        <f>Main!$B$20/A392</f>
        <v>1.1086474501108776</v>
      </c>
      <c r="D392" s="137">
        <f t="shared" si="41"/>
        <v>1.1086474501108776</v>
      </c>
      <c r="E392" s="137">
        <f>-B392*Main!$B$19-2*Main!$B$19*loop_gain!$B$17*loop_gain!$B$18</f>
        <v>-78.583769401330514</v>
      </c>
      <c r="F392" s="137">
        <f>2*Main!$B$19*loop_gain!$B$17*loop_gain!$B$18*Helper_calcs!$B$26*Current_limit!B392</f>
        <v>278.63414634146659</v>
      </c>
      <c r="G392" s="137">
        <f t="shared" si="43"/>
        <v>3.7433884606815284</v>
      </c>
      <c r="H392" s="137">
        <f>(Main!$B$19-Current_limit!G392)*Current_limit!G392/(Main!$B$19*loop_gain!$B$17*loop_gain!$B$18)</f>
        <v>0.94692721693059823</v>
      </c>
      <c r="I392" s="137">
        <f t="shared" si="44"/>
        <v>2.9030727830694003</v>
      </c>
      <c r="J392" s="137"/>
      <c r="K392" s="138">
        <f>IF(A392&gt;$B$15,IF(I392&gt;Helper_calcs!$B$27,23,3),0)</f>
        <v>23</v>
      </c>
      <c r="L392" s="139">
        <f t="shared" si="42"/>
        <v>2</v>
      </c>
      <c r="M392" s="139">
        <f t="shared" si="45"/>
        <v>23</v>
      </c>
      <c r="N392" s="137">
        <f t="shared" si="46"/>
        <v>3.375</v>
      </c>
      <c r="O392" s="137">
        <f t="shared" si="47"/>
        <v>3.741685144124212</v>
      </c>
      <c r="P392" s="140">
        <f>IF(OR(M392=0,M392=3),loop_gain!$B$18,IF(Current_limit!M392=1,Current_limit!$B$12/(2*(Current_limit!N392-Helper_calcs!$B$27)),IF(OR(M392=2,M392=23),(Main!$B$19-Current_limit!O392)*Current_limit!O392/(Main!$B$19*loop_gain!$B$17*(Helper_calcs!$B$26-Helper_calcs!$B$27)),x)))</f>
        <v>398606.99189539114</v>
      </c>
      <c r="Q392" s="137"/>
    </row>
    <row r="393" spans="1:17" x14ac:dyDescent="0.25">
      <c r="A393">
        <f t="shared" si="48"/>
        <v>4.5199999999999472</v>
      </c>
      <c r="B393">
        <f>Main!$B$20/A393</f>
        <v>1.1061946902654995</v>
      </c>
      <c r="D393" s="137">
        <f t="shared" si="41"/>
        <v>1.1061946902654995</v>
      </c>
      <c r="E393" s="137">
        <f>-B393*Main!$B$19-2*Main!$B$19*loop_gain!$B$17*loop_gain!$B$18</f>
        <v>-78.554336283185989</v>
      </c>
      <c r="F393" s="137">
        <f>2*Main!$B$19*loop_gain!$B$17*loop_gain!$B$18*Helper_calcs!$B$26*Current_limit!B393</f>
        <v>278.01769911504744</v>
      </c>
      <c r="G393" s="137">
        <f t="shared" si="43"/>
        <v>3.7356959413440292</v>
      </c>
      <c r="H393" s="137">
        <f>(Main!$B$19-Current_limit!G393)*Current_limit!G393/(Main!$B$19*loop_gain!$B$17*loop_gain!$B$18)</f>
        <v>0.94586173805006446</v>
      </c>
      <c r="I393" s="137">
        <f t="shared" si="44"/>
        <v>2.9041382619499312</v>
      </c>
      <c r="J393" s="137"/>
      <c r="K393" s="138">
        <f>IF(A393&gt;$B$15,IF(I393&gt;Helper_calcs!$B$27,23,3),0)</f>
        <v>23</v>
      </c>
      <c r="L393" s="139">
        <f t="shared" si="42"/>
        <v>2</v>
      </c>
      <c r="M393" s="139">
        <f t="shared" si="45"/>
        <v>23</v>
      </c>
      <c r="N393" s="137">
        <f t="shared" si="46"/>
        <v>3.375</v>
      </c>
      <c r="O393" s="137">
        <f t="shared" si="47"/>
        <v>3.733407079646061</v>
      </c>
      <c r="P393" s="140">
        <f>IF(OR(M393=0,M393=3),loop_gain!$B$18,IF(Current_limit!M393=1,Current_limit!$B$12/(2*(Current_limit!N393-Helper_calcs!$B$27)),IF(OR(M393=2,M393=23),(Main!$B$19-Current_limit!O393)*Current_limit!O393/(Main!$B$19*loop_gain!$B$17*(Helper_calcs!$B$26-Helper_calcs!$B$27)),x)))</f>
        <v>398123.7942905238</v>
      </c>
      <c r="Q393" s="137"/>
    </row>
    <row r="394" spans="1:17" x14ac:dyDescent="0.25">
      <c r="A394">
        <f t="shared" si="48"/>
        <v>4.529999999999947</v>
      </c>
      <c r="B394">
        <f>Main!$B$20/A394</f>
        <v>1.1037527593819114</v>
      </c>
      <c r="D394" s="137">
        <f t="shared" si="41"/>
        <v>1.1037527593819114</v>
      </c>
      <c r="E394" s="137">
        <f>-B394*Main!$B$19-2*Main!$B$19*loop_gain!$B$17*loop_gain!$B$18</f>
        <v>-78.525033112582918</v>
      </c>
      <c r="F394" s="137">
        <f>2*Main!$B$19*loop_gain!$B$17*loop_gain!$B$18*Helper_calcs!$B$26*Current_limit!B394</f>
        <v>277.40397350993698</v>
      </c>
      <c r="G394" s="137">
        <f t="shared" si="43"/>
        <v>3.7280368197013658</v>
      </c>
      <c r="H394" s="137">
        <f>(Main!$B$19-Current_limit!G394)*Current_limit!G394/(Main!$B$19*loop_gain!$B$17*loop_gain!$B$18)</f>
        <v>0.94479728270120478</v>
      </c>
      <c r="I394" s="137">
        <f t="shared" si="44"/>
        <v>2.9052027172987951</v>
      </c>
      <c r="J394" s="137"/>
      <c r="K394" s="138">
        <f>IF(A394&gt;$B$15,IF(I394&gt;Helper_calcs!$B$27,23,3),0)</f>
        <v>23</v>
      </c>
      <c r="L394" s="139">
        <f t="shared" si="42"/>
        <v>2</v>
      </c>
      <c r="M394" s="139">
        <f t="shared" si="45"/>
        <v>23</v>
      </c>
      <c r="N394" s="137">
        <f t="shared" si="46"/>
        <v>3.375</v>
      </c>
      <c r="O394" s="137">
        <f t="shared" si="47"/>
        <v>3.7251655629139511</v>
      </c>
      <c r="P394" s="140">
        <f>IF(OR(M394=0,M394=3),loop_gain!$B$18,IF(Current_limit!M394=1,Current_limit!$B$12/(2*(Current_limit!N394-Helper_calcs!$B$27)),IF(OR(M394=2,M394=23),(Main!$B$19-Current_limit!O394)*Current_limit!O394/(Main!$B$19*loop_gain!$B$17*(Helper_calcs!$B$26-Helper_calcs!$B$27)),x)))</f>
        <v>397640.97373384162</v>
      </c>
      <c r="Q394" s="137"/>
    </row>
    <row r="395" spans="1:17" x14ac:dyDescent="0.25">
      <c r="A395">
        <f t="shared" si="48"/>
        <v>4.5399999999999467</v>
      </c>
      <c r="B395">
        <f>Main!$B$20/A395</f>
        <v>1.1013215859030967</v>
      </c>
      <c r="D395" s="137">
        <f t="shared" si="41"/>
        <v>1.1013215859030967</v>
      </c>
      <c r="E395" s="137">
        <f>-B395*Main!$B$19-2*Main!$B$19*loop_gain!$B$17*loop_gain!$B$18</f>
        <v>-78.495859030837153</v>
      </c>
      <c r="F395" s="137">
        <f>2*Main!$B$19*loop_gain!$B$17*loop_gain!$B$18*Helper_calcs!$B$26*Current_limit!B395</f>
        <v>276.79295154185343</v>
      </c>
      <c r="G395" s="137">
        <f t="shared" si="43"/>
        <v>3.7204108667826898</v>
      </c>
      <c r="H395" s="137">
        <f>(Main!$B$19-Current_limit!G395)*Current_limit!G395/(Main!$B$19*loop_gain!$B$17*loop_gain!$B$18)</f>
        <v>0.94373386592271946</v>
      </c>
      <c r="I395" s="137">
        <f t="shared" si="44"/>
        <v>2.9062661340772831</v>
      </c>
      <c r="J395" s="137"/>
      <c r="K395" s="138">
        <f>IF(A395&gt;$B$15,IF(I395&gt;Helper_calcs!$B$27,23,3),0)</f>
        <v>23</v>
      </c>
      <c r="L395" s="139">
        <f t="shared" si="42"/>
        <v>2</v>
      </c>
      <c r="M395" s="139">
        <f t="shared" si="45"/>
        <v>23</v>
      </c>
      <c r="N395" s="137">
        <f t="shared" si="46"/>
        <v>3.375</v>
      </c>
      <c r="O395" s="137">
        <f t="shared" si="47"/>
        <v>3.7169603524229515</v>
      </c>
      <c r="P395" s="140">
        <f>IF(OR(M395=0,M395=3),loop_gain!$B$18,IF(Current_limit!M395=1,Current_limit!$B$12/(2*(Current_limit!N395-Helper_calcs!$B$27)),IF(OR(M395=2,M395=23),(Main!$B$19-Current_limit!O395)*Current_limit!O395/(Main!$B$19*loop_gain!$B$17*(Helper_calcs!$B$26-Helper_calcs!$B$27)),x)))</f>
        <v>397158.5393136128</v>
      </c>
      <c r="Q395" s="137"/>
    </row>
    <row r="396" spans="1:17" x14ac:dyDescent="0.25">
      <c r="A396">
        <f t="shared" si="48"/>
        <v>4.5499999999999465</v>
      </c>
      <c r="B396">
        <f>Main!$B$20/A396</f>
        <v>1.0989010989011119</v>
      </c>
      <c r="D396" s="137">
        <f t="shared" si="41"/>
        <v>1.0989010989011119</v>
      </c>
      <c r="E396" s="137">
        <f>-B396*Main!$B$19-2*Main!$B$19*loop_gain!$B$17*loop_gain!$B$18</f>
        <v>-78.466813186813326</v>
      </c>
      <c r="F396" s="137">
        <f>2*Main!$B$19*loop_gain!$B$17*loop_gain!$B$18*Helper_calcs!$B$26*Current_limit!B396</f>
        <v>276.18461538461861</v>
      </c>
      <c r="G396" s="137">
        <f t="shared" si="43"/>
        <v>3.7128178558081597</v>
      </c>
      <c r="H396" s="137">
        <f>(Main!$B$19-Current_limit!G396)*Current_limit!G396/(Main!$B$19*loop_gain!$B$17*loop_gain!$B$18)</f>
        <v>0.94267150242922859</v>
      </c>
      <c r="I396" s="137">
        <f t="shared" si="44"/>
        <v>2.9073284975707709</v>
      </c>
      <c r="J396" s="137"/>
      <c r="K396" s="138">
        <f>IF(A396&gt;$B$15,IF(I396&gt;Helper_calcs!$B$27,23,3),0)</f>
        <v>23</v>
      </c>
      <c r="L396" s="139">
        <f t="shared" si="42"/>
        <v>2</v>
      </c>
      <c r="M396" s="139">
        <f t="shared" si="45"/>
        <v>23</v>
      </c>
      <c r="N396" s="137">
        <f t="shared" si="46"/>
        <v>3.375</v>
      </c>
      <c r="O396" s="137">
        <f t="shared" si="47"/>
        <v>3.7087912087912525</v>
      </c>
      <c r="P396" s="140">
        <f>IF(OR(M396=0,M396=3),loop_gain!$B$18,IF(Current_limit!M396=1,Current_limit!$B$12/(2*(Current_limit!N396-Helper_calcs!$B$27)),IF(OR(M396=2,M396=23),(Main!$B$19-Current_limit!O396)*Current_limit!O396/(Main!$B$19*loop_gain!$B$17*(Helper_calcs!$B$26-Helper_calcs!$B$27)),x)))</f>
        <v>396676.49993663246</v>
      </c>
      <c r="Q396" s="137"/>
    </row>
    <row r="397" spans="1:17" x14ac:dyDescent="0.25">
      <c r="A397">
        <f t="shared" si="48"/>
        <v>4.5599999999999463</v>
      </c>
      <c r="B397">
        <f>Main!$B$20/A397</f>
        <v>1.0964912280701884</v>
      </c>
      <c r="D397" s="137">
        <f t="shared" si="41"/>
        <v>1.0964912280701884</v>
      </c>
      <c r="E397" s="137">
        <f>-B397*Main!$B$19-2*Main!$B$19*loop_gain!$B$17*loop_gain!$B$18</f>
        <v>-78.437894736842253</v>
      </c>
      <c r="F397" s="137">
        <f>2*Main!$B$19*loop_gain!$B$17*loop_gain!$B$18*Helper_calcs!$B$26*Current_limit!B397</f>
        <v>275.57894736842422</v>
      </c>
      <c r="G397" s="137">
        <f t="shared" si="43"/>
        <v>3.705257562161691</v>
      </c>
      <c r="H397" s="137">
        <f>(Main!$B$19-Current_limit!G397)*Current_limit!G397/(Main!$B$19*loop_gain!$B$17*loop_gain!$B$18)</f>
        <v>0.94161020661715378</v>
      </c>
      <c r="I397" s="137">
        <f t="shared" si="44"/>
        <v>2.9083897933828458</v>
      </c>
      <c r="J397" s="137"/>
      <c r="K397" s="138">
        <f>IF(A397&gt;$B$15,IF(I397&gt;Helper_calcs!$B$27,23,3),0)</f>
        <v>23</v>
      </c>
      <c r="L397" s="139">
        <f t="shared" si="42"/>
        <v>2</v>
      </c>
      <c r="M397" s="139">
        <f t="shared" si="45"/>
        <v>23</v>
      </c>
      <c r="N397" s="137">
        <f t="shared" si="46"/>
        <v>3.375</v>
      </c>
      <c r="O397" s="137">
        <f t="shared" si="47"/>
        <v>3.700657894736886</v>
      </c>
      <c r="P397" s="140">
        <f>IF(OR(M397=0,M397=3),loop_gain!$B$18,IF(Current_limit!M397=1,Current_limit!$B$12/(2*(Current_limit!N397-Helper_calcs!$B$27)),IF(OR(M397=2,M397=23),(Main!$B$19-Current_limit!O397)*Current_limit!O397/(Main!$B$19*loop_gain!$B$17*(Helper_calcs!$B$26-Helper_calcs!$B$27)),x)))</f>
        <v>396194.86433132342</v>
      </c>
      <c r="Q397" s="137"/>
    </row>
    <row r="398" spans="1:17" x14ac:dyDescent="0.25">
      <c r="A398">
        <f t="shared" si="48"/>
        <v>4.5699999999999461</v>
      </c>
      <c r="B398">
        <f>Main!$B$20/A398</f>
        <v>1.0940919037199255</v>
      </c>
      <c r="D398" s="137">
        <f t="shared" si="41"/>
        <v>1.0940919037199255</v>
      </c>
      <c r="E398" s="137">
        <f>-B398*Main!$B$19-2*Main!$B$19*loop_gain!$B$17*loop_gain!$B$18</f>
        <v>-78.409102844639094</v>
      </c>
      <c r="F398" s="137">
        <f>2*Main!$B$19*loop_gain!$B$17*loop_gain!$B$18*Helper_calcs!$B$26*Current_limit!B398</f>
        <v>274.97592997812137</v>
      </c>
      <c r="G398" s="137">
        <f t="shared" si="43"/>
        <v>3.6977297633641175</v>
      </c>
      <c r="H398" s="137">
        <f>(Main!$B$19-Current_limit!G398)*Current_limit!G398/(Main!$B$19*loop_gain!$B$17*loop_gain!$B$18)</f>
        <v>0.940549992570483</v>
      </c>
      <c r="I398" s="137">
        <f t="shared" si="44"/>
        <v>2.9094500074295215</v>
      </c>
      <c r="J398" s="137"/>
      <c r="K398" s="138">
        <f>IF(A398&gt;$B$15,IF(I398&gt;Helper_calcs!$B$27,23,3),0)</f>
        <v>23</v>
      </c>
      <c r="L398" s="139">
        <f t="shared" si="42"/>
        <v>2</v>
      </c>
      <c r="M398" s="139">
        <f t="shared" si="45"/>
        <v>23</v>
      </c>
      <c r="N398" s="137">
        <f t="shared" si="46"/>
        <v>3.375</v>
      </c>
      <c r="O398" s="137">
        <f t="shared" si="47"/>
        <v>3.6925601750547483</v>
      </c>
      <c r="P398" s="140">
        <f>IF(OR(M398=0,M398=3),loop_gain!$B$18,IF(Current_limit!M398=1,Current_limit!$B$12/(2*(Current_limit!N398-Helper_calcs!$B$27)),IF(OR(M398=2,M398=23),(Main!$B$19-Current_limit!O398)*Current_limit!O398/(Main!$B$19*loop_gain!$B$17*(Helper_calcs!$B$26-Helper_calcs!$B$27)),x)))</f>
        <v>395713.64105078205</v>
      </c>
      <c r="Q398" s="137"/>
    </row>
    <row r="399" spans="1:17" x14ac:dyDescent="0.25">
      <c r="A399">
        <f t="shared" si="48"/>
        <v>4.5799999999999459</v>
      </c>
      <c r="B399">
        <f>Main!$B$20/A399</f>
        <v>1.0917030567685719</v>
      </c>
      <c r="D399" s="137">
        <f t="shared" si="41"/>
        <v>1.0917030567685719</v>
      </c>
      <c r="E399" s="137">
        <f>-B399*Main!$B$19-2*Main!$B$19*loop_gain!$B$17*loop_gain!$B$18</f>
        <v>-78.380436681222847</v>
      </c>
      <c r="F399" s="137">
        <f>2*Main!$B$19*loop_gain!$B$17*loop_gain!$B$18*Helper_calcs!$B$26*Current_limit!B399</f>
        <v>274.37554585153157</v>
      </c>
      <c r="G399" s="137">
        <f t="shared" si="43"/>
        <v>3.6902342390467524</v>
      </c>
      <c r="H399" s="137">
        <f>(Main!$B$19-Current_limit!G399)*Current_limit!G399/(Main!$B$19*loop_gain!$B$17*loop_gain!$B$18)</f>
        <v>0.93949087406642384</v>
      </c>
      <c r="I399" s="137">
        <f t="shared" si="44"/>
        <v>2.9105091259335731</v>
      </c>
      <c r="J399" s="137"/>
      <c r="K399" s="138">
        <f>IF(A399&gt;$B$15,IF(I399&gt;Helper_calcs!$B$27,23,3),0)</f>
        <v>23</v>
      </c>
      <c r="L399" s="139">
        <f t="shared" si="42"/>
        <v>2</v>
      </c>
      <c r="M399" s="139">
        <f t="shared" si="45"/>
        <v>23</v>
      </c>
      <c r="N399" s="137">
        <f t="shared" si="46"/>
        <v>3.375</v>
      </c>
      <c r="O399" s="137">
        <f t="shared" si="47"/>
        <v>3.6844978165939302</v>
      </c>
      <c r="P399" s="140">
        <f>IF(OR(M399=0,M399=3),loop_gain!$B$18,IF(Current_limit!M399=1,Current_limit!$B$12/(2*(Current_limit!N399-Helper_calcs!$B$27)),IF(OR(M399=2,M399=23),(Main!$B$19-Current_limit!O399)*Current_limit!O399/(Main!$B$19*loop_gain!$B$17*(Helper_calcs!$B$26-Helper_calcs!$B$27)),x)))</f>
        <v>395232.83847577038</v>
      </c>
      <c r="Q399" s="137"/>
    </row>
    <row r="400" spans="1:17" x14ac:dyDescent="0.25">
      <c r="A400">
        <f t="shared" si="48"/>
        <v>4.5899999999999457</v>
      </c>
      <c r="B400">
        <f>Main!$B$20/A400</f>
        <v>1.0893246187363963</v>
      </c>
      <c r="D400" s="137">
        <f t="shared" si="41"/>
        <v>1.0893246187363963</v>
      </c>
      <c r="E400" s="137">
        <f>-B400*Main!$B$19-2*Main!$B$19*loop_gain!$B$17*loop_gain!$B$18</f>
        <v>-78.351895424836741</v>
      </c>
      <c r="F400" s="137">
        <f>2*Main!$B$19*loop_gain!$B$17*loop_gain!$B$18*Helper_calcs!$B$26*Current_limit!B400</f>
        <v>273.77777777778095</v>
      </c>
      <c r="G400" s="137">
        <f t="shared" si="43"/>
        <v>3.6827707709254445</v>
      </c>
      <c r="H400" s="137">
        <f>(Main!$B$19-Current_limit!G400)*Current_limit!G400/(Main!$B$19*loop_gain!$B$17*loop_gain!$B$18)</f>
        <v>0.93843286458096042</v>
      </c>
      <c r="I400" s="137">
        <f t="shared" si="44"/>
        <v>2.911567135419038</v>
      </c>
      <c r="J400" s="137"/>
      <c r="K400" s="138">
        <f>IF(A400&gt;$B$15,IF(I400&gt;Helper_calcs!$B$27,23,3),0)</f>
        <v>23</v>
      </c>
      <c r="L400" s="139">
        <f t="shared" si="42"/>
        <v>2</v>
      </c>
      <c r="M400" s="139">
        <f t="shared" si="45"/>
        <v>23</v>
      </c>
      <c r="N400" s="137">
        <f t="shared" si="46"/>
        <v>3.375</v>
      </c>
      <c r="O400" s="137">
        <f t="shared" si="47"/>
        <v>3.6764705882353375</v>
      </c>
      <c r="P400" s="140">
        <f>IF(OR(M400=0,M400=3),loop_gain!$B$18,IF(Current_limit!M400=1,Current_limit!$B$12/(2*(Current_limit!N400-Helper_calcs!$B$27)),IF(OR(M400=2,M400=23),(Main!$B$19-Current_limit!O400)*Current_limit!O400/(Main!$B$19*loop_gain!$B$17*(Helper_calcs!$B$26-Helper_calcs!$B$27)),x)))</f>
        <v>394752.46481765423</v>
      </c>
      <c r="Q400" s="137"/>
    </row>
    <row r="401" spans="1:17" x14ac:dyDescent="0.25">
      <c r="A401">
        <f t="shared" si="48"/>
        <v>4.5999999999999455</v>
      </c>
      <c r="B401">
        <f>Main!$B$20/A401</f>
        <v>1.0869565217391433</v>
      </c>
      <c r="D401" s="137">
        <f t="shared" si="41"/>
        <v>1.0869565217391433</v>
      </c>
      <c r="E401" s="137">
        <f>-B401*Main!$B$19-2*Main!$B$19*loop_gain!$B$17*loop_gain!$B$18</f>
        <v>-78.323478260869706</v>
      </c>
      <c r="F401" s="137">
        <f>2*Main!$B$19*loop_gain!$B$17*loop_gain!$B$18*Helper_calcs!$B$26*Current_limit!B401</f>
        <v>273.18260869565535</v>
      </c>
      <c r="G401" s="137">
        <f t="shared" si="43"/>
        <v>3.6753391427748867</v>
      </c>
      <c r="H401" s="137">
        <f>(Main!$B$19-Current_limit!G401)*Current_limit!G401/(Main!$B$19*loop_gain!$B$17*loop_gain!$B$18)</f>
        <v>0.93737597729428335</v>
      </c>
      <c r="I401" s="137">
        <f t="shared" si="44"/>
        <v>2.9126240227057143</v>
      </c>
      <c r="J401" s="137"/>
      <c r="K401" s="138">
        <f>IF(A401&gt;$B$15,IF(I401&gt;Helper_calcs!$B$27,23,3),0)</f>
        <v>23</v>
      </c>
      <c r="L401" s="139">
        <f t="shared" si="42"/>
        <v>2</v>
      </c>
      <c r="M401" s="139">
        <f t="shared" si="45"/>
        <v>23</v>
      </c>
      <c r="N401" s="137">
        <f t="shared" si="46"/>
        <v>3.375</v>
      </c>
      <c r="O401" s="137">
        <f t="shared" si="47"/>
        <v>3.6684782608696085</v>
      </c>
      <c r="P401" s="140">
        <f>IF(OR(M401=0,M401=3),loop_gain!$B$18,IF(Current_limit!M401=1,Current_limit!$B$12/(2*(Current_limit!N401-Helper_calcs!$B$27)),IF(OR(M401=2,M401=23),(Main!$B$19-Current_limit!O401)*Current_limit!O401/(Main!$B$19*loop_gain!$B$17*(Helper_calcs!$B$26-Helper_calcs!$B$27)),x)))</f>
        <v>394272.52812128991</v>
      </c>
      <c r="Q401" s="137"/>
    </row>
    <row r="402" spans="1:17" x14ac:dyDescent="0.25">
      <c r="A402">
        <f t="shared" si="48"/>
        <v>4.6099999999999453</v>
      </c>
      <c r="B402">
        <f>Main!$B$20/A402</f>
        <v>1.0845986984815748</v>
      </c>
      <c r="D402" s="137">
        <f t="shared" si="41"/>
        <v>1.0845986984815748</v>
      </c>
      <c r="E402" s="137">
        <f>-B402*Main!$B$19-2*Main!$B$19*loop_gain!$B$17*loop_gain!$B$18</f>
        <v>-78.295184381778881</v>
      </c>
      <c r="F402" s="137">
        <f>2*Main!$B$19*loop_gain!$B$17*loop_gain!$B$18*Helper_calcs!$B$26*Current_limit!B402</f>
        <v>272.59002169197714</v>
      </c>
      <c r="G402" s="137">
        <f t="shared" si="43"/>
        <v>3.6679391404034387</v>
      </c>
      <c r="H402" s="137">
        <f>(Main!$B$19-Current_limit!G402)*Current_limit!G402/(Main!$B$19*loop_gain!$B$17*loop_gain!$B$18)</f>
        <v>0.93632022509613222</v>
      </c>
      <c r="I402" s="137">
        <f t="shared" si="44"/>
        <v>2.9136797749038639</v>
      </c>
      <c r="J402" s="137"/>
      <c r="K402" s="138">
        <f>IF(A402&gt;$B$15,IF(I402&gt;Helper_calcs!$B$27,23,3),0)</f>
        <v>23</v>
      </c>
      <c r="L402" s="139">
        <f t="shared" si="42"/>
        <v>2</v>
      </c>
      <c r="M402" s="139">
        <f t="shared" si="45"/>
        <v>23</v>
      </c>
      <c r="N402" s="137">
        <f t="shared" si="46"/>
        <v>3.375</v>
      </c>
      <c r="O402" s="137">
        <f t="shared" si="47"/>
        <v>3.6605206073753149</v>
      </c>
      <c r="P402" s="140">
        <f>IF(OR(M402=0,M402=3),loop_gain!$B$18,IF(Current_limit!M402=1,Current_limit!$B$12/(2*(Current_limit!N402-Helper_calcs!$B$27)),IF(OR(M402=2,M402=23),(Main!$B$19-Current_limit!O402)*Current_limit!O402/(Main!$B$19*loop_gain!$B$17*(Helper_calcs!$B$26-Helper_calcs!$B$27)),x)))</f>
        <v>393793.03626785905</v>
      </c>
      <c r="Q402" s="137"/>
    </row>
    <row r="403" spans="1:17" x14ac:dyDescent="0.25">
      <c r="A403">
        <f t="shared" si="48"/>
        <v>4.619999999999945</v>
      </c>
      <c r="B403">
        <f>Main!$B$20/A403</f>
        <v>1.0822510822510951</v>
      </c>
      <c r="D403" s="137">
        <f t="shared" si="41"/>
        <v>1.0822510822510951</v>
      </c>
      <c r="E403" s="137">
        <f>-B403*Main!$B$19-2*Main!$B$19*loop_gain!$B$17*loop_gain!$B$18</f>
        <v>-78.267012987013132</v>
      </c>
      <c r="F403" s="137">
        <f>2*Main!$B$19*loop_gain!$B$17*loop_gain!$B$18*Helper_calcs!$B$26*Current_limit!B403</f>
        <v>272.00000000000318</v>
      </c>
      <c r="G403" s="137">
        <f t="shared" si="43"/>
        <v>3.6605705516282732</v>
      </c>
      <c r="H403" s="137">
        <f>(Main!$B$19-Current_limit!G403)*Current_limit!G403/(Main!$B$19*loop_gain!$B$17*loop_gain!$B$18)</f>
        <v>0.93526562059102825</v>
      </c>
      <c r="I403" s="137">
        <f t="shared" si="44"/>
        <v>2.9147343794089697</v>
      </c>
      <c r="J403" s="137"/>
      <c r="K403" s="138">
        <f>IF(A403&gt;$B$15,IF(I403&gt;Helper_calcs!$B$27,23,3),0)</f>
        <v>23</v>
      </c>
      <c r="L403" s="139">
        <f t="shared" si="42"/>
        <v>2</v>
      </c>
      <c r="M403" s="139">
        <f t="shared" si="45"/>
        <v>23</v>
      </c>
      <c r="N403" s="137">
        <f t="shared" si="46"/>
        <v>3.375</v>
      </c>
      <c r="O403" s="137">
        <f t="shared" si="47"/>
        <v>3.6525974025974461</v>
      </c>
      <c r="P403" s="140">
        <f>IF(OR(M403=0,M403=3),loop_gain!$B$18,IF(Current_limit!M403=1,Current_limit!$B$12/(2*(Current_limit!N403-Helper_calcs!$B$27)),IF(OR(M403=2,M403=23),(Main!$B$19-Current_limit!O403)*Current_limit!O403/(Main!$B$19*loop_gain!$B$17*(Helper_calcs!$B$26-Helper_calcs!$B$27)),x)))</f>
        <v>393313.99697765399</v>
      </c>
      <c r="Q403" s="137"/>
    </row>
    <row r="404" spans="1:17" x14ac:dyDescent="0.25">
      <c r="A404">
        <f t="shared" si="48"/>
        <v>4.6299999999999448</v>
      </c>
      <c r="B404">
        <f>Main!$B$20/A404</f>
        <v>1.0799136069114599</v>
      </c>
      <c r="D404" s="137">
        <f t="shared" si="41"/>
        <v>1.0799136069114599</v>
      </c>
      <c r="E404" s="137">
        <f>-B404*Main!$B$19-2*Main!$B$19*loop_gain!$B$17*loop_gain!$B$18</f>
        <v>-78.238963282937505</v>
      </c>
      <c r="F404" s="137">
        <f>2*Main!$B$19*loop_gain!$B$17*loop_gain!$B$18*Helper_calcs!$B$26*Current_limit!B404</f>
        <v>271.41252699784332</v>
      </c>
      <c r="G404" s="137">
        <f t="shared" si="43"/>
        <v>3.6532331662509039</v>
      </c>
      <c r="H404" s="137">
        <f>(Main!$B$19-Current_limit!G404)*Current_limit!G404/(Main!$B$19*loop_gain!$B$17*loop_gain!$B$18)</f>
        <v>0.93421217610340845</v>
      </c>
      <c r="I404" s="137">
        <f t="shared" si="44"/>
        <v>2.9157878238965926</v>
      </c>
      <c r="J404" s="137"/>
      <c r="K404" s="138">
        <f>IF(A404&gt;$B$15,IF(I404&gt;Helper_calcs!$B$27,23,3),0)</f>
        <v>23</v>
      </c>
      <c r="L404" s="139">
        <f t="shared" si="42"/>
        <v>2</v>
      </c>
      <c r="M404" s="139">
        <f t="shared" si="45"/>
        <v>23</v>
      </c>
      <c r="N404" s="137">
        <f t="shared" si="46"/>
        <v>3.375</v>
      </c>
      <c r="O404" s="137">
        <f t="shared" si="47"/>
        <v>3.6447084233261773</v>
      </c>
      <c r="P404" s="140">
        <f>IF(OR(M404=0,M404=3),loop_gain!$B$18,IF(Current_limit!M404=1,Current_limit!$B$12/(2*(Current_limit!N404-Helper_calcs!$B$27)),IF(OR(M404=2,M404=23),(Main!$B$19-Current_limit!O404)*Current_limit!O404/(Main!$B$19*loop_gain!$B$17*(Helper_calcs!$B$26-Helper_calcs!$B$27)),x)))</f>
        <v>392835.41781281395</v>
      </c>
      <c r="Q404" s="137"/>
    </row>
    <row r="405" spans="1:17" x14ac:dyDescent="0.25">
      <c r="A405">
        <f t="shared" si="48"/>
        <v>4.6399999999999446</v>
      </c>
      <c r="B405">
        <f>Main!$B$20/A405</f>
        <v>1.0775862068965645</v>
      </c>
      <c r="D405" s="137">
        <f t="shared" si="41"/>
        <v>1.0775862068965645</v>
      </c>
      <c r="E405" s="137">
        <f>-B405*Main!$B$19-2*Main!$B$19*loop_gain!$B$17*loop_gain!$B$18</f>
        <v>-78.211034482758762</v>
      </c>
      <c r="F405" s="137">
        <f>2*Main!$B$19*loop_gain!$B$17*loop_gain!$B$18*Helper_calcs!$B$26*Current_limit!B405</f>
        <v>270.8275862068997</v>
      </c>
      <c r="G405" s="137">
        <f t="shared" si="43"/>
        <v>3.645926776033094</v>
      </c>
      <c r="H405" s="137">
        <f>(Main!$B$19-Current_limit!G405)*Current_limit!G405/(Main!$B$19*loop_gain!$B$17*loop_gain!$B$18)</f>
        <v>0.93315990368266133</v>
      </c>
      <c r="I405" s="137">
        <f t="shared" si="44"/>
        <v>2.9168400963173409</v>
      </c>
      <c r="J405" s="137"/>
      <c r="K405" s="138">
        <f>IF(A405&gt;$B$15,IF(I405&gt;Helper_calcs!$B$27,23,3),0)</f>
        <v>23</v>
      </c>
      <c r="L405" s="139">
        <f t="shared" si="42"/>
        <v>2</v>
      </c>
      <c r="M405" s="139">
        <f t="shared" si="45"/>
        <v>23</v>
      </c>
      <c r="N405" s="137">
        <f t="shared" si="46"/>
        <v>3.375</v>
      </c>
      <c r="O405" s="137">
        <f t="shared" si="47"/>
        <v>3.6368534482759052</v>
      </c>
      <c r="P405" s="140">
        <f>IF(OR(M405=0,M405=3),loop_gain!$B$18,IF(Current_limit!M405=1,Current_limit!$B$12/(2*(Current_limit!N405-Helper_calcs!$B$27)),IF(OR(M405=2,M405=23),(Main!$B$19-Current_limit!O405)*Current_limit!O405/(Main!$B$19*loop_gain!$B$17*(Helper_calcs!$B$26-Helper_calcs!$B$27)),x)))</f>
        <v>392357.30618001183</v>
      </c>
      <c r="Q405" s="137"/>
    </row>
    <row r="406" spans="1:17" x14ac:dyDescent="0.25">
      <c r="A406">
        <f t="shared" si="48"/>
        <v>4.6499999999999444</v>
      </c>
      <c r="B406">
        <f>Main!$B$20/A406</f>
        <v>1.0752688172043139</v>
      </c>
      <c r="D406" s="137">
        <f t="shared" si="41"/>
        <v>1.0752688172043139</v>
      </c>
      <c r="E406" s="137">
        <f>-B406*Main!$B$19-2*Main!$B$19*loop_gain!$B$17*loop_gain!$B$18</f>
        <v>-78.183225806451759</v>
      </c>
      <c r="F406" s="137">
        <f>2*Main!$B$19*loop_gain!$B$17*loop_gain!$B$18*Helper_calcs!$B$26*Current_limit!B406</f>
        <v>270.24516129032577</v>
      </c>
      <c r="G406" s="137">
        <f t="shared" si="43"/>
        <v>3.6386511746731216</v>
      </c>
      <c r="H406" s="137">
        <f>(Main!$B$19-Current_limit!G406)*Current_limit!G406/(Main!$B$19*loop_gain!$B$17*loop_gain!$B$18)</f>
        <v>0.9321088151080692</v>
      </c>
      <c r="I406" s="137">
        <f t="shared" si="44"/>
        <v>2.917891184891928</v>
      </c>
      <c r="J406" s="137"/>
      <c r="K406" s="138">
        <f>IF(A406&gt;$B$15,IF(I406&gt;Helper_calcs!$B$27,23,3),0)</f>
        <v>23</v>
      </c>
      <c r="L406" s="139">
        <f t="shared" si="42"/>
        <v>2</v>
      </c>
      <c r="M406" s="139">
        <f t="shared" si="45"/>
        <v>23</v>
      </c>
      <c r="N406" s="137">
        <f t="shared" si="46"/>
        <v>3.375</v>
      </c>
      <c r="O406" s="137">
        <f t="shared" si="47"/>
        <v>3.6290322580645595</v>
      </c>
      <c r="P406" s="140">
        <f>IF(OR(M406=0,M406=3),loop_gain!$B$18,IF(Current_limit!M406=1,Current_limit!$B$12/(2*(Current_limit!N406-Helper_calcs!$B$27)),IF(OR(M406=2,M406=23),(Main!$B$19-Current_limit!O406)*Current_limit!O406/(Main!$B$19*loop_gain!$B$17*(Helper_calcs!$B$26-Helper_calcs!$B$27)),x)))</f>
        <v>391879.66933309549</v>
      </c>
      <c r="Q406" s="137"/>
    </row>
    <row r="407" spans="1:17" x14ac:dyDescent="0.25">
      <c r="A407">
        <f t="shared" si="48"/>
        <v>4.6599999999999442</v>
      </c>
      <c r="B407">
        <f>Main!$B$20/A407</f>
        <v>1.0729613733905707</v>
      </c>
      <c r="D407" s="137">
        <f t="shared" ref="D407:D470" si="49">B407</f>
        <v>1.0729613733905707</v>
      </c>
      <c r="E407" s="137">
        <f>-B407*Main!$B$19-2*Main!$B$19*loop_gain!$B$17*loop_gain!$B$18</f>
        <v>-78.155536480686834</v>
      </c>
      <c r="F407" s="137">
        <f>2*Main!$B$19*loop_gain!$B$17*loop_gain!$B$18*Helper_calcs!$B$26*Current_limit!B407</f>
        <v>269.6652360515053</v>
      </c>
      <c r="G407" s="137">
        <f t="shared" si="43"/>
        <v>3.6314061577824202</v>
      </c>
      <c r="H407" s="137">
        <f>(Main!$B$19-Current_limit!G407)*Current_limit!G407/(Main!$B$19*loop_gain!$B$17*loop_gain!$B$18)</f>
        <v>0.93105892189365713</v>
      </c>
      <c r="I407" s="137">
        <f t="shared" si="44"/>
        <v>2.9189410781063465</v>
      </c>
      <c r="J407" s="137"/>
      <c r="K407" s="138">
        <f>IF(A407&gt;$B$15,IF(I407&gt;Helper_calcs!$B$27,23,3),0)</f>
        <v>23</v>
      </c>
      <c r="L407" s="139">
        <f t="shared" ref="L407:L470" si="50">IF(A407&gt;$B$13,IF(A407&gt;$B$14,2,1),0)</f>
        <v>2</v>
      </c>
      <c r="M407" s="139">
        <f t="shared" si="45"/>
        <v>23</v>
      </c>
      <c r="N407" s="137">
        <f t="shared" si="46"/>
        <v>3.375</v>
      </c>
      <c r="O407" s="137">
        <f t="shared" si="47"/>
        <v>3.6212446351931762</v>
      </c>
      <c r="P407" s="140">
        <f>IF(OR(M407=0,M407=3),loop_gain!$B$18,IF(Current_limit!M407=1,Current_limit!$B$12/(2*(Current_limit!N407-Helper_calcs!$B$27)),IF(OR(M407=2,M407=23),(Main!$B$19-Current_limit!O407)*Current_limit!O407/(Main!$B$19*loop_gain!$B$17*(Helper_calcs!$B$26-Helper_calcs!$B$27)),x)))</f>
        <v>391402.51437568059</v>
      </c>
      <c r="Q407" s="137"/>
    </row>
    <row r="408" spans="1:17" x14ac:dyDescent="0.25">
      <c r="A408">
        <f t="shared" si="48"/>
        <v>4.669999999999944</v>
      </c>
      <c r="B408">
        <f>Main!$B$20/A408</f>
        <v>1.0706638115631819</v>
      </c>
      <c r="D408" s="137">
        <f t="shared" si="49"/>
        <v>1.0706638115631819</v>
      </c>
      <c r="E408" s="137">
        <f>-B408*Main!$B$19-2*Main!$B$19*loop_gain!$B$17*loop_gain!$B$18</f>
        <v>-78.127965738758178</v>
      </c>
      <c r="F408" s="137">
        <f>2*Main!$B$19*loop_gain!$B$17*loop_gain!$B$18*Helper_calcs!$B$26*Current_limit!B408</f>
        <v>269.08779443255133</v>
      </c>
      <c r="G408" s="137">
        <f t="shared" ref="G408:G471" si="51">(-E408-SQRT(E408^2-4*D408*F408))/(2*D408)</f>
        <v>3.6241915228624966</v>
      </c>
      <c r="H408" s="137">
        <f>(Main!$B$19-Current_limit!G408)*Current_limit!G408/(Main!$B$19*loop_gain!$B$17*loop_gain!$B$18)</f>
        <v>0.93001023529294069</v>
      </c>
      <c r="I408" s="137">
        <f t="shared" ref="I408:I471" si="52">(G408/B408)-0.5*H408</f>
        <v>2.919989764707061</v>
      </c>
      <c r="J408" s="137"/>
      <c r="K408" s="138">
        <f>IF(A408&gt;$B$15,IF(I408&gt;Helper_calcs!$B$27,23,3),0)</f>
        <v>23</v>
      </c>
      <c r="L408" s="139">
        <f t="shared" si="50"/>
        <v>2</v>
      </c>
      <c r="M408" s="139">
        <f t="shared" ref="M408:M471" si="53">IF($B$16="N",L408,K408)</f>
        <v>23</v>
      </c>
      <c r="N408" s="137">
        <f t="shared" ref="N408:N471" si="54">IF(OR(M408=0,M408=1),A408,IF(OR(M408=2,M408=23),$B$14,G408/B408))</f>
        <v>3.375</v>
      </c>
      <c r="O408" s="137">
        <f t="shared" ref="O408:O471" si="55">N408*B408</f>
        <v>3.613490364025739</v>
      </c>
      <c r="P408" s="140">
        <f>IF(OR(M408=0,M408=3),loop_gain!$B$18,IF(Current_limit!M408=1,Current_limit!$B$12/(2*(Current_limit!N408-Helper_calcs!$B$27)),IF(OR(M408=2,M408=23),(Main!$B$19-Current_limit!O408)*Current_limit!O408/(Main!$B$19*loop_gain!$B$17*(Helper_calcs!$B$26-Helper_calcs!$B$27)),x)))</f>
        <v>390925.84826369968</v>
      </c>
      <c r="Q408" s="137"/>
    </row>
    <row r="409" spans="1:17" x14ac:dyDescent="0.25">
      <c r="A409">
        <f t="shared" si="48"/>
        <v>4.6799999999999438</v>
      </c>
      <c r="B409">
        <f>Main!$B$20/A409</f>
        <v>1.0683760683760812</v>
      </c>
      <c r="D409" s="137">
        <f t="shared" si="49"/>
        <v>1.0683760683760812</v>
      </c>
      <c r="E409" s="137">
        <f>-B409*Main!$B$19-2*Main!$B$19*loop_gain!$B$17*loop_gain!$B$18</f>
        <v>-78.100512820512961</v>
      </c>
      <c r="F409" s="137">
        <f>2*Main!$B$19*loop_gain!$B$17*loop_gain!$B$18*Helper_calcs!$B$26*Current_limit!B409</f>
        <v>268.51282051282368</v>
      </c>
      <c r="G409" s="137">
        <f t="shared" si="51"/>
        <v>3.617007069282308</v>
      </c>
      <c r="H409" s="137">
        <f>(Main!$B$19-Current_limit!G409)*Current_limit!G409/(Main!$B$19*loop_gain!$B$17*loop_gain!$B$18)</f>
        <v>0.92896276630360008</v>
      </c>
      <c r="I409" s="137">
        <f t="shared" si="52"/>
        <v>2.9210372336963992</v>
      </c>
      <c r="J409" s="137"/>
      <c r="K409" s="138">
        <f>IF(A409&gt;$B$15,IF(I409&gt;Helper_calcs!$B$27,23,3),0)</f>
        <v>23</v>
      </c>
      <c r="L409" s="139">
        <f t="shared" si="50"/>
        <v>2</v>
      </c>
      <c r="M409" s="139">
        <f t="shared" si="53"/>
        <v>23</v>
      </c>
      <c r="N409" s="137">
        <f t="shared" si="54"/>
        <v>3.375</v>
      </c>
      <c r="O409" s="137">
        <f t="shared" si="55"/>
        <v>3.6057692307692744</v>
      </c>
      <c r="P409" s="140">
        <f>IF(OR(M409=0,M409=3),loop_gain!$B$18,IF(Current_limit!M409=1,Current_limit!$B$12/(2*(Current_limit!N409-Helper_calcs!$B$27)),IF(OR(M409=2,M409=23),(Main!$B$19-Current_limit!O409)*Current_limit!O409/(Main!$B$19*loop_gain!$B$17*(Helper_calcs!$B$26-Helper_calcs!$B$27)),x)))</f>
        <v>390449.67780790565</v>
      </c>
      <c r="Q409" s="137"/>
    </row>
    <row r="410" spans="1:17" x14ac:dyDescent="0.25">
      <c r="A410">
        <f t="shared" si="48"/>
        <v>4.6899999999999435</v>
      </c>
      <c r="B410">
        <f>Main!$B$20/A410</f>
        <v>1.066098081023467</v>
      </c>
      <c r="D410" s="137">
        <f t="shared" si="49"/>
        <v>1.066098081023467</v>
      </c>
      <c r="E410" s="137">
        <f>-B410*Main!$B$19-2*Main!$B$19*loop_gain!$B$17*loop_gain!$B$18</f>
        <v>-78.073176972281587</v>
      </c>
      <c r="F410" s="137">
        <f>2*Main!$B$19*loop_gain!$B$17*loop_gain!$B$18*Helper_calcs!$B$26*Current_limit!B410</f>
        <v>267.94029850746585</v>
      </c>
      <c r="G410" s="137">
        <f t="shared" si="51"/>
        <v>3.609852598255876</v>
      </c>
      <c r="H410" s="137">
        <f>(Main!$B$19-Current_limit!G410)*Current_limit!G410/(Main!$B$19*loop_gain!$B$17*loop_gain!$B$18)</f>
        <v>0.92791652567205318</v>
      </c>
      <c r="I410" s="137">
        <f t="shared" si="52"/>
        <v>2.9220834743279442</v>
      </c>
      <c r="J410" s="137"/>
      <c r="K410" s="138">
        <f>IF(A410&gt;$B$15,IF(I410&gt;Helper_calcs!$B$27,23,3),0)</f>
        <v>23</v>
      </c>
      <c r="L410" s="139">
        <f t="shared" si="50"/>
        <v>2</v>
      </c>
      <c r="M410" s="139">
        <f t="shared" si="53"/>
        <v>23</v>
      </c>
      <c r="N410" s="137">
        <f t="shared" si="54"/>
        <v>3.375</v>
      </c>
      <c r="O410" s="137">
        <f t="shared" si="55"/>
        <v>3.5980810234542013</v>
      </c>
      <c r="P410" s="140">
        <f>IF(OR(M410=0,M410=3),loop_gain!$B$18,IF(Current_limit!M410=1,Current_limit!$B$12/(2*(Current_limit!N410-Helper_calcs!$B$27)),IF(OR(M410=2,M410=23),(Main!$B$19-Current_limit!O410)*Current_limit!O410/(Main!$B$19*loop_gain!$B$17*(Helper_calcs!$B$26-Helper_calcs!$B$27)),x)))</f>
        <v>389974.00967633107</v>
      </c>
      <c r="Q410" s="137"/>
    </row>
    <row r="411" spans="1:17" x14ac:dyDescent="0.25">
      <c r="A411">
        <f t="shared" si="48"/>
        <v>4.6999999999999433</v>
      </c>
      <c r="B411">
        <f>Main!$B$20/A411</f>
        <v>1.0638297872340554</v>
      </c>
      <c r="D411" s="137">
        <f t="shared" si="49"/>
        <v>1.0638297872340554</v>
      </c>
      <c r="E411" s="137">
        <f>-B411*Main!$B$19-2*Main!$B$19*loop_gain!$B$17*loop_gain!$B$18</f>
        <v>-78.045957446808657</v>
      </c>
      <c r="F411" s="137">
        <f>2*Main!$B$19*loop_gain!$B$17*loop_gain!$B$18*Helper_calcs!$B$26*Current_limit!B411</f>
        <v>267.37021276596062</v>
      </c>
      <c r="G411" s="137">
        <f t="shared" si="51"/>
        <v>3.6027279128202818</v>
      </c>
      <c r="H411" s="137">
        <f>(Main!$B$19-Current_limit!G411)*Current_limit!G411/(Main!$B$19*loop_gain!$B$17*loop_gain!$B$18)</f>
        <v>0.92687152389794747</v>
      </c>
      <c r="I411" s="137">
        <f t="shared" si="52"/>
        <v>2.9231284761020504</v>
      </c>
      <c r="J411" s="137"/>
      <c r="K411" s="138">
        <f>IF(A411&gt;$B$15,IF(I411&gt;Helper_calcs!$B$27,23,3),0)</f>
        <v>23</v>
      </c>
      <c r="L411" s="139">
        <f t="shared" si="50"/>
        <v>2</v>
      </c>
      <c r="M411" s="139">
        <f t="shared" si="53"/>
        <v>23</v>
      </c>
      <c r="N411" s="137">
        <f t="shared" si="54"/>
        <v>3.375</v>
      </c>
      <c r="O411" s="137">
        <f t="shared" si="55"/>
        <v>3.5904255319149372</v>
      </c>
      <c r="P411" s="140">
        <f>IF(OR(M411=0,M411=3),loop_gain!$B$18,IF(Current_limit!M411=1,Current_limit!$B$12/(2*(Current_limit!N411-Helper_calcs!$B$27)),IF(OR(M411=2,M411=23),(Main!$B$19-Current_limit!O411)*Current_limit!O411/(Main!$B$19*loop_gain!$B$17*(Helper_calcs!$B$26-Helper_calcs!$B$27)),x)))</f>
        <v>389498.85039670521</v>
      </c>
      <c r="Q411" s="137"/>
    </row>
    <row r="412" spans="1:17" x14ac:dyDescent="0.25">
      <c r="A412">
        <f t="shared" si="48"/>
        <v>4.7099999999999431</v>
      </c>
      <c r="B412">
        <f>Main!$B$20/A412</f>
        <v>1.0615711252654056</v>
      </c>
      <c r="D412" s="137">
        <f t="shared" si="49"/>
        <v>1.0615711252654056</v>
      </c>
      <c r="E412" s="137">
        <f>-B412*Main!$B$19-2*Main!$B$19*loop_gain!$B$17*loop_gain!$B$18</f>
        <v>-78.018853503184857</v>
      </c>
      <c r="F412" s="137">
        <f>2*Main!$B$19*loop_gain!$B$17*loop_gain!$B$18*Helper_calcs!$B$26*Current_limit!B412</f>
        <v>266.80254777070382</v>
      </c>
      <c r="G412" s="137">
        <f t="shared" si="51"/>
        <v>3.5956328178139674</v>
      </c>
      <c r="H412" s="137">
        <f>(Main!$B$19-Current_limit!G412)*Current_limit!G412/(Main!$B$19*loop_gain!$B$17*loop_gain!$B$18)</f>
        <v>0.92582777123856619</v>
      </c>
      <c r="I412" s="137">
        <f t="shared" si="52"/>
        <v>2.9241722287614329</v>
      </c>
      <c r="J412" s="137"/>
      <c r="K412" s="138">
        <f>IF(A412&gt;$B$15,IF(I412&gt;Helper_calcs!$B$27,23,3),0)</f>
        <v>23</v>
      </c>
      <c r="L412" s="139">
        <f t="shared" si="50"/>
        <v>2</v>
      </c>
      <c r="M412" s="139">
        <f t="shared" si="53"/>
        <v>23</v>
      </c>
      <c r="N412" s="137">
        <f t="shared" si="54"/>
        <v>3.375</v>
      </c>
      <c r="O412" s="137">
        <f t="shared" si="55"/>
        <v>3.5828025477707439</v>
      </c>
      <c r="P412" s="140">
        <f>IF(OR(M412=0,M412=3),loop_gain!$B$18,IF(Current_limit!M412=1,Current_limit!$B$12/(2*(Current_limit!N412-Helper_calcs!$B$27)),IF(OR(M412=2,M412=23),(Main!$B$19-Current_limit!O412)*Current_limit!O412/(Main!$B$19*loop_gain!$B$17*(Helper_calcs!$B$26-Helper_calcs!$B$27)),x)))</f>
        <v>389024.20635882858</v>
      </c>
      <c r="Q412" s="137"/>
    </row>
    <row r="413" spans="1:17" x14ac:dyDescent="0.25">
      <c r="A413">
        <f t="shared" si="48"/>
        <v>4.7199999999999429</v>
      </c>
      <c r="B413">
        <f>Main!$B$20/A413</f>
        <v>1.0593220338983178</v>
      </c>
      <c r="D413" s="137">
        <f t="shared" si="49"/>
        <v>1.0593220338983178</v>
      </c>
      <c r="E413" s="137">
        <f>-B413*Main!$B$19-2*Main!$B$19*loop_gain!$B$17*loop_gain!$B$18</f>
        <v>-77.991864406779797</v>
      </c>
      <c r="F413" s="137">
        <f>2*Main!$B$19*loop_gain!$B$17*loop_gain!$B$18*Helper_calcs!$B$26*Current_limit!B413</f>
        <v>266.23728813559637</v>
      </c>
      <c r="G413" s="137">
        <f t="shared" si="51"/>
        <v>3.5885671198553628</v>
      </c>
      <c r="H413" s="137">
        <f>(Main!$B$19-Current_limit!G413)*Current_limit!G413/(Main!$B$19*loop_gain!$B$17*loop_gain!$B$18)</f>
        <v>0.924785277713154</v>
      </c>
      <c r="I413" s="137">
        <f t="shared" si="52"/>
        <v>2.925214722286845</v>
      </c>
      <c r="J413" s="137"/>
      <c r="K413" s="138">
        <f>IF(A413&gt;$B$15,IF(I413&gt;Helper_calcs!$B$27,23,3),0)</f>
        <v>23</v>
      </c>
      <c r="L413" s="139">
        <f t="shared" si="50"/>
        <v>2</v>
      </c>
      <c r="M413" s="139">
        <f t="shared" si="53"/>
        <v>23</v>
      </c>
      <c r="N413" s="137">
        <f t="shared" si="54"/>
        <v>3.375</v>
      </c>
      <c r="O413" s="137">
        <f t="shared" si="55"/>
        <v>3.5752118644068225</v>
      </c>
      <c r="P413" s="140">
        <f>IF(OR(M413=0,M413=3),loop_gain!$B$18,IF(Current_limit!M413=1,Current_limit!$B$12/(2*(Current_limit!N413-Helper_calcs!$B$27)),IF(OR(M413=2,M413=23),(Main!$B$19-Current_limit!O413)*Current_limit!O413/(Main!$B$19*loop_gain!$B$17*(Helper_calcs!$B$26-Helper_calcs!$B$27)),x)))</f>
        <v>388550.08381690609</v>
      </c>
      <c r="Q413" s="137"/>
    </row>
    <row r="414" spans="1:17" x14ac:dyDescent="0.25">
      <c r="A414">
        <f t="shared" si="48"/>
        <v>4.7299999999999427</v>
      </c>
      <c r="B414">
        <f>Main!$B$20/A414</f>
        <v>1.0570824524313025</v>
      </c>
      <c r="D414" s="137">
        <f t="shared" si="49"/>
        <v>1.0570824524313025</v>
      </c>
      <c r="E414" s="137">
        <f>-B414*Main!$B$19-2*Main!$B$19*loop_gain!$B$17*loop_gain!$B$18</f>
        <v>-77.964989429175617</v>
      </c>
      <c r="F414" s="137">
        <f>2*Main!$B$19*loop_gain!$B$17*loop_gain!$B$18*Helper_calcs!$B$26*Current_limit!B414</f>
        <v>265.67441860465436</v>
      </c>
      <c r="G414" s="137">
        <f t="shared" si="51"/>
        <v>3.5815306273218397</v>
      </c>
      <c r="H414" s="137">
        <f>(Main!$B$19-Current_limit!G414)*Current_limit!G414/(Main!$B$19*loop_gain!$B$17*loop_gain!$B$18)</f>
        <v>0.92374405310716035</v>
      </c>
      <c r="I414" s="137">
        <f t="shared" si="52"/>
        <v>2.9262559468928386</v>
      </c>
      <c r="J414" s="137"/>
      <c r="K414" s="138">
        <f>IF(A414&gt;$B$15,IF(I414&gt;Helper_calcs!$B$27,23,3),0)</f>
        <v>23</v>
      </c>
      <c r="L414" s="139">
        <f t="shared" si="50"/>
        <v>2</v>
      </c>
      <c r="M414" s="139">
        <f t="shared" si="53"/>
        <v>23</v>
      </c>
      <c r="N414" s="137">
        <f t="shared" si="54"/>
        <v>3.375</v>
      </c>
      <c r="O414" s="137">
        <f t="shared" si="55"/>
        <v>3.5676532769556459</v>
      </c>
      <c r="P414" s="140">
        <f>IF(OR(M414=0,M414=3),loop_gain!$B$18,IF(Current_limit!M414=1,Current_limit!$B$12/(2*(Current_limit!N414-Helper_calcs!$B$27)),IF(OR(M414=2,M414=23),(Main!$B$19-Current_limit!O414)*Current_limit!O414/(Main!$B$19*loop_gain!$B$17*(Helper_calcs!$B$26-Helper_calcs!$B$27)),x)))</f>
        <v>388076.4888918394</v>
      </c>
      <c r="Q414" s="137"/>
    </row>
    <row r="415" spans="1:17" x14ac:dyDescent="0.25">
      <c r="A415">
        <f t="shared" si="48"/>
        <v>4.7399999999999425</v>
      </c>
      <c r="B415">
        <f>Main!$B$20/A415</f>
        <v>1.0548523206751184</v>
      </c>
      <c r="D415" s="137">
        <f t="shared" si="49"/>
        <v>1.0548523206751184</v>
      </c>
      <c r="E415" s="137">
        <f>-B415*Main!$B$19-2*Main!$B$19*loop_gain!$B$17*loop_gain!$B$18</f>
        <v>-77.938227848101405</v>
      </c>
      <c r="F415" s="137">
        <f>2*Main!$B$19*loop_gain!$B$17*loop_gain!$B$18*Helper_calcs!$B$26*Current_limit!B415</f>
        <v>265.11392405063611</v>
      </c>
      <c r="G415" s="137">
        <f t="shared" si="51"/>
        <v>3.5745231503289419</v>
      </c>
      <c r="H415" s="137">
        <f>(Main!$B$19-Current_limit!G415)*Current_limit!G415/(Main!$B$19*loop_gain!$B$17*loop_gain!$B$18)</f>
        <v>0.92270410697640226</v>
      </c>
      <c r="I415" s="137">
        <f t="shared" si="52"/>
        <v>2.9272958930235942</v>
      </c>
      <c r="J415" s="137"/>
      <c r="K415" s="138">
        <f>IF(A415&gt;$B$15,IF(I415&gt;Helper_calcs!$B$27,23,3),0)</f>
        <v>23</v>
      </c>
      <c r="L415" s="139">
        <f t="shared" si="50"/>
        <v>2</v>
      </c>
      <c r="M415" s="139">
        <f t="shared" si="53"/>
        <v>23</v>
      </c>
      <c r="N415" s="137">
        <f t="shared" si="54"/>
        <v>3.375</v>
      </c>
      <c r="O415" s="137">
        <f t="shared" si="55"/>
        <v>3.5601265822785244</v>
      </c>
      <c r="P415" s="140">
        <f>IF(OR(M415=0,M415=3),loop_gain!$B$18,IF(Current_limit!M415=1,Current_limit!$B$12/(2*(Current_limit!N415-Helper_calcs!$B$27)),IF(OR(M415=2,M415=23),(Main!$B$19-Current_limit!O415)*Current_limit!O415/(Main!$B$19*loop_gain!$B$17*(Helper_calcs!$B$26-Helper_calcs!$B$27)),x)))</f>
        <v>387603.42757347942</v>
      </c>
      <c r="Q415" s="137"/>
    </row>
    <row r="416" spans="1:17" x14ac:dyDescent="0.25">
      <c r="A416">
        <f t="shared" si="48"/>
        <v>4.7499999999999423</v>
      </c>
      <c r="B416">
        <f>Main!$B$20/A416</f>
        <v>1.0526315789473812</v>
      </c>
      <c r="D416" s="137">
        <f t="shared" si="49"/>
        <v>1.0526315789473812</v>
      </c>
      <c r="E416" s="137">
        <f>-B416*Main!$B$19-2*Main!$B$19*loop_gain!$B$17*loop_gain!$B$18</f>
        <v>-77.911578947368554</v>
      </c>
      <c r="F416" s="137">
        <f>2*Main!$B$19*loop_gain!$B$17*loop_gain!$B$18*Helper_calcs!$B$26*Current_limit!B416</f>
        <v>264.55578947368735</v>
      </c>
      <c r="G416" s="137">
        <f t="shared" si="51"/>
        <v>3.5675445007099662</v>
      </c>
      <c r="H416" s="137">
        <f>(Main!$B$19-Current_limit!G416)*Current_limit!G416/(Main!$B$19*loop_gain!$B$17*loop_gain!$B$18)</f>
        <v>0.92166544865115441</v>
      </c>
      <c r="I416" s="137">
        <f t="shared" si="52"/>
        <v>2.9283345513488492</v>
      </c>
      <c r="J416" s="137"/>
      <c r="K416" s="138">
        <f>IF(A416&gt;$B$15,IF(I416&gt;Helper_calcs!$B$27,23,3),0)</f>
        <v>23</v>
      </c>
      <c r="L416" s="139">
        <f t="shared" si="50"/>
        <v>2</v>
      </c>
      <c r="M416" s="139">
        <f t="shared" si="53"/>
        <v>23</v>
      </c>
      <c r="N416" s="137">
        <f t="shared" si="54"/>
        <v>3.375</v>
      </c>
      <c r="O416" s="137">
        <f t="shared" si="55"/>
        <v>3.5526315789474117</v>
      </c>
      <c r="P416" s="140">
        <f>IF(OR(M416=0,M416=3),loop_gain!$B$18,IF(Current_limit!M416=1,Current_limit!$B$12/(2*(Current_limit!N416-Helper_calcs!$B$27)),IF(OR(M416=2,M416=23),(Main!$B$19-Current_limit!O416)*Current_limit!O416/(Main!$B$19*loop_gain!$B$17*(Helper_calcs!$B$26-Helper_calcs!$B$27)),x)))</f>
        <v>387130.90572283999</v>
      </c>
      <c r="Q416" s="137"/>
    </row>
    <row r="417" spans="1:17" x14ac:dyDescent="0.25">
      <c r="A417">
        <f t="shared" ref="A417:A480" si="56">A416+0.01</f>
        <v>4.7599999999999421</v>
      </c>
      <c r="B417">
        <f>Main!$B$20/A417</f>
        <v>1.0504201680672396</v>
      </c>
      <c r="D417" s="137">
        <f t="shared" si="49"/>
        <v>1.0504201680672396</v>
      </c>
      <c r="E417" s="137">
        <f>-B417*Main!$B$19-2*Main!$B$19*loop_gain!$B$17*loop_gain!$B$18</f>
        <v>-77.885042016806864</v>
      </c>
      <c r="F417" s="137">
        <f>2*Main!$B$19*loop_gain!$B$17*loop_gain!$B$18*Helper_calcs!$B$26*Current_limit!B417</f>
        <v>264.00000000000313</v>
      </c>
      <c r="G417" s="137">
        <f t="shared" si="51"/>
        <v>3.5605944919957602</v>
      </c>
      <c r="H417" s="137">
        <f>(Main!$B$19-Current_limit!G417)*Current_limit!G417/(Main!$B$19*loop_gain!$B$17*loop_gain!$B$18)</f>
        <v>0.92062808724015266</v>
      </c>
      <c r="I417" s="137">
        <f t="shared" si="52"/>
        <v>2.9293719127598465</v>
      </c>
      <c r="J417" s="137"/>
      <c r="K417" s="138">
        <f>IF(A417&gt;$B$15,IF(I417&gt;Helper_calcs!$B$27,23,3),0)</f>
        <v>23</v>
      </c>
      <c r="L417" s="139">
        <f t="shared" si="50"/>
        <v>2</v>
      </c>
      <c r="M417" s="139">
        <f t="shared" si="53"/>
        <v>23</v>
      </c>
      <c r="N417" s="137">
        <f t="shared" si="54"/>
        <v>3.375</v>
      </c>
      <c r="O417" s="137">
        <f t="shared" si="55"/>
        <v>3.5451680672269337</v>
      </c>
      <c r="P417" s="140">
        <f>IF(OR(M417=0,M417=3),loop_gain!$B$18,IF(Current_limit!M417=1,Current_limit!$B$12/(2*(Current_limit!N417-Helper_calcs!$B$27)),IF(OR(M417=2,M417=23),(Main!$B$19-Current_limit!O417)*Current_limit!O417/(Main!$B$19*loop_gain!$B$17*(Helper_calcs!$B$26-Helper_calcs!$B$27)),x)))</f>
        <v>386658.9290742731</v>
      </c>
      <c r="Q417" s="137"/>
    </row>
    <row r="418" spans="1:17" x14ac:dyDescent="0.25">
      <c r="A418">
        <f t="shared" si="56"/>
        <v>4.7699999999999418</v>
      </c>
      <c r="B418">
        <f>Main!$B$20/A418</f>
        <v>1.0482180293501175</v>
      </c>
      <c r="D418" s="137">
        <f t="shared" si="49"/>
        <v>1.0482180293501175</v>
      </c>
      <c r="E418" s="137">
        <f>-B418*Main!$B$19-2*Main!$B$19*loop_gain!$B$17*loop_gain!$B$18</f>
        <v>-77.858616352201395</v>
      </c>
      <c r="F418" s="137">
        <f>2*Main!$B$19*loop_gain!$B$17*loop_gain!$B$18*Helper_calcs!$B$26*Current_limit!B418</f>
        <v>263.44654088050629</v>
      </c>
      <c r="G418" s="137">
        <f t="shared" si="51"/>
        <v>3.553672939394938</v>
      </c>
      <c r="H418" s="137">
        <f>(Main!$B$19-Current_limit!G418)*Current_limit!G418/(Main!$B$19*loop_gain!$B$17*loop_gain!$B$18)</f>
        <v>0.91959203163454062</v>
      </c>
      <c r="I418" s="137">
        <f t="shared" si="52"/>
        <v>2.9304079683654591</v>
      </c>
      <c r="J418" s="137"/>
      <c r="K418" s="138">
        <f>IF(A418&gt;$B$15,IF(I418&gt;Helper_calcs!$B$27,23,3),0)</f>
        <v>23</v>
      </c>
      <c r="L418" s="139">
        <f t="shared" si="50"/>
        <v>2</v>
      </c>
      <c r="M418" s="139">
        <f t="shared" si="53"/>
        <v>23</v>
      </c>
      <c r="N418" s="137">
        <f t="shared" si="54"/>
        <v>3.375</v>
      </c>
      <c r="O418" s="137">
        <f t="shared" si="55"/>
        <v>3.5377358490566468</v>
      </c>
      <c r="P418" s="140">
        <f>IF(OR(M418=0,M418=3),loop_gain!$B$18,IF(Current_limit!M418=1,Current_limit!$B$12/(2*(Current_limit!N418-Helper_calcs!$B$27)),IF(OR(M418=2,M418=23),(Main!$B$19-Current_limit!O418)*Current_limit!O418/(Main!$B$19*loop_gain!$B$17*(Helper_calcs!$B$26-Helper_calcs!$B$27)),x)))</f>
        <v>386187.50323760591</v>
      </c>
      <c r="Q418" s="137"/>
    </row>
    <row r="419" spans="1:17" x14ac:dyDescent="0.25">
      <c r="A419">
        <f t="shared" si="56"/>
        <v>4.7799999999999416</v>
      </c>
      <c r="B419">
        <f>Main!$B$20/A419</f>
        <v>1.0460251046025233</v>
      </c>
      <c r="D419" s="137">
        <f t="shared" si="49"/>
        <v>1.0460251046025233</v>
      </c>
      <c r="E419" s="137">
        <f>-B419*Main!$B$19-2*Main!$B$19*loop_gain!$B$17*loop_gain!$B$18</f>
        <v>-77.832301255230263</v>
      </c>
      <c r="F419" s="137">
        <f>2*Main!$B$19*loop_gain!$B$17*loop_gain!$B$18*Helper_calcs!$B$26*Current_limit!B419</f>
        <v>262.89539748954292</v>
      </c>
      <c r="G419" s="137">
        <f t="shared" si="51"/>
        <v>3.5467796597742471</v>
      </c>
      <c r="H419" s="137">
        <f>(Main!$B$19-Current_limit!G419)*Current_limit!G419/(Main!$B$19*loop_gain!$B$17*loop_gain!$B$18)</f>
        <v>0.9185572905117233</v>
      </c>
      <c r="I419" s="137">
        <f t="shared" si="52"/>
        <v>2.9314427094882771</v>
      </c>
      <c r="J419" s="137"/>
      <c r="K419" s="138">
        <f>IF(A419&gt;$B$15,IF(I419&gt;Helper_calcs!$B$27,23,3),0)</f>
        <v>23</v>
      </c>
      <c r="L419" s="139">
        <f t="shared" si="50"/>
        <v>2</v>
      </c>
      <c r="M419" s="139">
        <f t="shared" si="53"/>
        <v>23</v>
      </c>
      <c r="N419" s="137">
        <f t="shared" si="54"/>
        <v>3.375</v>
      </c>
      <c r="O419" s="137">
        <f t="shared" si="55"/>
        <v>3.530334728033516</v>
      </c>
      <c r="P419" s="140">
        <f>IF(OR(M419=0,M419=3),loop_gain!$B$18,IF(Current_limit!M419=1,Current_limit!$B$12/(2*(Current_limit!N419-Helper_calcs!$B$27)),IF(OR(M419=2,M419=23),(Main!$B$19-Current_limit!O419)*Current_limit!O419/(Main!$B$19*loop_gain!$B$17*(Helper_calcs!$B$26-Helper_calcs!$B$27)),x)))</f>
        <v>385716.63370024139</v>
      </c>
      <c r="Q419" s="137"/>
    </row>
    <row r="420" spans="1:17" x14ac:dyDescent="0.25">
      <c r="A420">
        <f t="shared" si="56"/>
        <v>4.7899999999999414</v>
      </c>
      <c r="B420">
        <f>Main!$B$20/A420</f>
        <v>1.043841336116923</v>
      </c>
      <c r="D420" s="137">
        <f t="shared" si="49"/>
        <v>1.043841336116923</v>
      </c>
      <c r="E420" s="137">
        <f>-B420*Main!$B$19-2*Main!$B$19*loop_gain!$B$17*loop_gain!$B$18</f>
        <v>-77.806096033403065</v>
      </c>
      <c r="F420" s="137">
        <f>2*Main!$B$19*loop_gain!$B$17*loop_gain!$B$18*Helper_calcs!$B$26*Current_limit!B420</f>
        <v>262.34655532359398</v>
      </c>
      <c r="G420" s="137">
        <f t="shared" si="51"/>
        <v>3.5399144716393076</v>
      </c>
      <c r="H420" s="137">
        <f>(Main!$B$19-Current_limit!G420)*Current_limit!G420/(Main!$B$19*loop_gain!$B$17*loop_gain!$B$18)</f>
        <v>0.91752387233916366</v>
      </c>
      <c r="I420" s="137">
        <f t="shared" si="52"/>
        <v>2.9324761276608333</v>
      </c>
      <c r="J420" s="137"/>
      <c r="K420" s="138">
        <f>IF(A420&gt;$B$15,IF(I420&gt;Helper_calcs!$B$27,23,3),0)</f>
        <v>23</v>
      </c>
      <c r="L420" s="139">
        <f t="shared" si="50"/>
        <v>2</v>
      </c>
      <c r="M420" s="139">
        <f t="shared" si="53"/>
        <v>23</v>
      </c>
      <c r="N420" s="137">
        <f t="shared" si="54"/>
        <v>3.375</v>
      </c>
      <c r="O420" s="137">
        <f t="shared" si="55"/>
        <v>3.5229645093946149</v>
      </c>
      <c r="P420" s="140">
        <f>IF(OR(M420=0,M420=3),loop_gain!$B$18,IF(Current_limit!M420=1,Current_limit!$B$12/(2*(Current_limit!N420-Helper_calcs!$B$27)),IF(OR(M420=2,M420=23),(Main!$B$19-Current_limit!O420)*Current_limit!O420/(Main!$B$19*loop_gain!$B$17*(Helper_calcs!$B$26-Helper_calcs!$B$27)),x)))</f>
        <v>385246.32582922262</v>
      </c>
      <c r="Q420" s="137"/>
    </row>
    <row r="421" spans="1:17" x14ac:dyDescent="0.25">
      <c r="A421">
        <f t="shared" si="56"/>
        <v>4.7999999999999412</v>
      </c>
      <c r="B421">
        <f>Main!$B$20/A421</f>
        <v>1.0416666666666794</v>
      </c>
      <c r="D421" s="137">
        <f t="shared" si="49"/>
        <v>1.0416666666666794</v>
      </c>
      <c r="E421" s="137">
        <f>-B421*Main!$B$19-2*Main!$B$19*loop_gain!$B$17*loop_gain!$B$18</f>
        <v>-77.780000000000143</v>
      </c>
      <c r="F421" s="137">
        <f>2*Main!$B$19*loop_gain!$B$17*loop_gain!$B$18*Helper_calcs!$B$26*Current_limit!B421</f>
        <v>261.80000000000314</v>
      </c>
      <c r="G421" s="137">
        <f t="shared" si="51"/>
        <v>3.5330771951156112</v>
      </c>
      <c r="H421" s="137">
        <f>(Main!$B$19-Current_limit!G421)*Current_limit!G421/(Main!$B$19*loop_gain!$B$17*loop_gain!$B$18)</f>
        <v>0.91649178537810505</v>
      </c>
      <c r="I421" s="137">
        <f t="shared" si="52"/>
        <v>2.9335082146218925</v>
      </c>
      <c r="J421" s="137"/>
      <c r="K421" s="138">
        <f>IF(A421&gt;$B$15,IF(I421&gt;Helper_calcs!$B$27,23,3),0)</f>
        <v>23</v>
      </c>
      <c r="L421" s="139">
        <f t="shared" si="50"/>
        <v>2</v>
      </c>
      <c r="M421" s="139">
        <f t="shared" si="53"/>
        <v>23</v>
      </c>
      <c r="N421" s="137">
        <f t="shared" si="54"/>
        <v>3.375</v>
      </c>
      <c r="O421" s="137">
        <f t="shared" si="55"/>
        <v>3.5156250000000431</v>
      </c>
      <c r="P421" s="140">
        <f>IF(OR(M421=0,M421=3),loop_gain!$B$18,IF(Current_limit!M421=1,Current_limit!$B$12/(2*(Current_limit!N421-Helper_calcs!$B$27)),IF(OR(M421=2,M421=23),(Main!$B$19-Current_limit!O421)*Current_limit!O421/(Main!$B$19*loop_gain!$B$17*(Helper_calcs!$B$26-Helper_calcs!$B$27)),x)))</f>
        <v>384776.58487326128</v>
      </c>
      <c r="Q421" s="137"/>
    </row>
    <row r="422" spans="1:17" x14ac:dyDescent="0.25">
      <c r="A422">
        <f t="shared" si="56"/>
        <v>4.809999999999941</v>
      </c>
      <c r="B422">
        <f>Main!$B$20/A422</f>
        <v>1.0395010395010522</v>
      </c>
      <c r="D422" s="137">
        <f t="shared" si="49"/>
        <v>1.0395010395010522</v>
      </c>
      <c r="E422" s="137">
        <f>-B422*Main!$B$19-2*Main!$B$19*loop_gain!$B$17*loop_gain!$B$18</f>
        <v>-77.754012474012612</v>
      </c>
      <c r="F422" s="137">
        <f>2*Main!$B$19*loop_gain!$B$17*loop_gain!$B$18*Helper_calcs!$B$26*Current_limit!B422</f>
        <v>261.25571725572041</v>
      </c>
      <c r="G422" s="137">
        <f t="shared" si="51"/>
        <v>3.5262676519297598</v>
      </c>
      <c r="H422" s="137">
        <f>(Main!$B$19-Current_limit!G422)*Current_limit!G422/(Main!$B$19*loop_gain!$B$17*loop_gain!$B$18)</f>
        <v>0.9154610376872212</v>
      </c>
      <c r="I422" s="137">
        <f t="shared" si="52"/>
        <v>2.9345389623127769</v>
      </c>
      <c r="J422" s="137"/>
      <c r="K422" s="138">
        <f>IF(A422&gt;$B$15,IF(I422&gt;Helper_calcs!$B$27,23,3),0)</f>
        <v>23</v>
      </c>
      <c r="L422" s="139">
        <f t="shared" si="50"/>
        <v>2</v>
      </c>
      <c r="M422" s="139">
        <f t="shared" si="53"/>
        <v>23</v>
      </c>
      <c r="N422" s="137">
        <f t="shared" si="54"/>
        <v>3.375</v>
      </c>
      <c r="O422" s="137">
        <f t="shared" si="55"/>
        <v>3.5083160083160512</v>
      </c>
      <c r="P422" s="140">
        <f>IF(OR(M422=0,M422=3),loop_gain!$B$18,IF(Current_limit!M422=1,Current_limit!$B$12/(2*(Current_limit!N422-Helper_calcs!$B$27)),IF(OR(M422=2,M422=23),(Main!$B$19-Current_limit!O422)*Current_limit!O422/(Main!$B$19*loop_gain!$B$17*(Helper_calcs!$B$26-Helper_calcs!$B$27)),x)))</f>
        <v>384307.41596473096</v>
      </c>
      <c r="Q422" s="137"/>
    </row>
    <row r="423" spans="1:17" x14ac:dyDescent="0.25">
      <c r="A423">
        <f t="shared" si="56"/>
        <v>4.8199999999999408</v>
      </c>
      <c r="B423">
        <f>Main!$B$20/A423</f>
        <v>1.0373443983402617</v>
      </c>
      <c r="D423" s="137">
        <f t="shared" si="49"/>
        <v>1.0373443983402617</v>
      </c>
      <c r="E423" s="137">
        <f>-B423*Main!$B$19-2*Main!$B$19*loop_gain!$B$17*loop_gain!$B$18</f>
        <v>-77.728132780083129</v>
      </c>
      <c r="F423" s="137">
        <f>2*Main!$B$19*loop_gain!$B$17*loop_gain!$B$18*Helper_calcs!$B$26*Current_limit!B423</f>
        <v>260.71369294606126</v>
      </c>
      <c r="G423" s="137">
        <f t="shared" si="51"/>
        <v>3.5194856653910147</v>
      </c>
      <c r="H423" s="137">
        <f>(Main!$B$19-Current_limit!G423)*Current_limit!G423/(Main!$B$19*loop_gain!$B$17*loop_gain!$B$18)</f>
        <v>0.91443163712620557</v>
      </c>
      <c r="I423" s="137">
        <f t="shared" si="52"/>
        <v>2.9355683628737936</v>
      </c>
      <c r="J423" s="137"/>
      <c r="K423" s="138">
        <f>IF(A423&gt;$B$15,IF(I423&gt;Helper_calcs!$B$27,23,3),0)</f>
        <v>23</v>
      </c>
      <c r="L423" s="139">
        <f t="shared" si="50"/>
        <v>2</v>
      </c>
      <c r="M423" s="139">
        <f t="shared" si="53"/>
        <v>23</v>
      </c>
      <c r="N423" s="137">
        <f t="shared" si="54"/>
        <v>3.375</v>
      </c>
      <c r="O423" s="137">
        <f t="shared" si="55"/>
        <v>3.5010373443983833</v>
      </c>
      <c r="P423" s="140">
        <f>IF(OR(M423=0,M423=3),loop_gain!$B$18,IF(Current_limit!M423=1,Current_limit!$B$12/(2*(Current_limit!N423-Helper_calcs!$B$27)),IF(OR(M423=2,M423=23),(Main!$B$19-Current_limit!O423)*Current_limit!O423/(Main!$B$19*loop_gain!$B$17*(Helper_calcs!$B$26-Helper_calcs!$B$27)),x)))</f>
        <v>383838.82412162685</v>
      </c>
      <c r="Q423" s="137"/>
    </row>
    <row r="424" spans="1:17" x14ac:dyDescent="0.25">
      <c r="A424">
        <f t="shared" si="56"/>
        <v>4.8299999999999406</v>
      </c>
      <c r="B424">
        <f>Main!$B$20/A424</f>
        <v>1.0351966873706131</v>
      </c>
      <c r="D424" s="137">
        <f t="shared" si="49"/>
        <v>1.0351966873706131</v>
      </c>
      <c r="E424" s="137">
        <f>-B424*Main!$B$19-2*Main!$B$19*loop_gain!$B$17*loop_gain!$B$18</f>
        <v>-77.702360248447349</v>
      </c>
      <c r="F424" s="137">
        <f>2*Main!$B$19*loop_gain!$B$17*loop_gain!$B$18*Helper_calcs!$B$26*Current_limit!B424</f>
        <v>260.17391304348138</v>
      </c>
      <c r="G424" s="137">
        <f t="shared" si="51"/>
        <v>3.5127310603730812</v>
      </c>
      <c r="H424" s="137">
        <f>(Main!$B$19-Current_limit!G424)*Current_limit!G424/(Main!$B$19*loop_gain!$B$17*loop_gain!$B$18)</f>
        <v>0.91340359135928884</v>
      </c>
      <c r="I424" s="137">
        <f t="shared" si="52"/>
        <v>2.9365964086407104</v>
      </c>
      <c r="J424" s="137"/>
      <c r="K424" s="138">
        <f>IF(A424&gt;$B$15,IF(I424&gt;Helper_calcs!$B$27,23,3),0)</f>
        <v>23</v>
      </c>
      <c r="L424" s="139">
        <f t="shared" si="50"/>
        <v>2</v>
      </c>
      <c r="M424" s="139">
        <f t="shared" si="53"/>
        <v>23</v>
      </c>
      <c r="N424" s="137">
        <f t="shared" si="54"/>
        <v>3.375</v>
      </c>
      <c r="O424" s="137">
        <f t="shared" si="55"/>
        <v>3.4937888198758191</v>
      </c>
      <c r="P424" s="140">
        <f>IF(OR(M424=0,M424=3),loop_gain!$B$18,IF(Current_limit!M424=1,Current_limit!$B$12/(2*(Current_limit!N424-Helper_calcs!$B$27)),IF(OR(M424=2,M424=23),(Main!$B$19-Current_limit!O424)*Current_limit!O424/(Main!$B$19*loop_gain!$B$17*(Helper_calcs!$B$26-Helper_calcs!$B$27)),x)))</f>
        <v>383370.8142494912</v>
      </c>
      <c r="Q424" s="137"/>
    </row>
    <row r="425" spans="1:17" x14ac:dyDescent="0.25">
      <c r="A425">
        <f t="shared" si="56"/>
        <v>4.8399999999999403</v>
      </c>
      <c r="B425">
        <f>Main!$B$20/A425</f>
        <v>1.0330578512396822</v>
      </c>
      <c r="D425" s="137">
        <f t="shared" si="49"/>
        <v>1.0330578512396822</v>
      </c>
      <c r="E425" s="137">
        <f>-B425*Main!$B$19-2*Main!$B$19*loop_gain!$B$17*loop_gain!$B$18</f>
        <v>-77.676694214876179</v>
      </c>
      <c r="F425" s="137">
        <f>2*Main!$B$19*loop_gain!$B$17*loop_gain!$B$18*Helper_calcs!$B$26*Current_limit!B425</f>
        <v>259.63636363636681</v>
      </c>
      <c r="G425" s="137">
        <f t="shared" si="51"/>
        <v>3.5060036632961697</v>
      </c>
      <c r="H425" s="137">
        <f>(Main!$B$19-Current_limit!G425)*Current_limit!G425/(Main!$B$19*loop_gain!$B$17*loop_gain!$B$18)</f>
        <v>0.91237690785869741</v>
      </c>
      <c r="I425" s="137">
        <f t="shared" si="52"/>
        <v>2.9376230921413016</v>
      </c>
      <c r="J425" s="137"/>
      <c r="K425" s="138">
        <f>IF(A425&gt;$B$15,IF(I425&gt;Helper_calcs!$B$27,23,3),0)</f>
        <v>23</v>
      </c>
      <c r="L425" s="139">
        <f t="shared" si="50"/>
        <v>2</v>
      </c>
      <c r="M425" s="139">
        <f t="shared" si="53"/>
        <v>23</v>
      </c>
      <c r="N425" s="137">
        <f t="shared" si="54"/>
        <v>3.375</v>
      </c>
      <c r="O425" s="137">
        <f t="shared" si="55"/>
        <v>3.4865702479339276</v>
      </c>
      <c r="P425" s="140">
        <f>IF(OR(M425=0,M425=3),loop_gain!$B$18,IF(Current_limit!M425=1,Current_limit!$B$12/(2*(Current_limit!N425-Helper_calcs!$B$27)),IF(OR(M425=2,M425=23),(Main!$B$19-Current_limit!O425)*Current_limit!O425/(Main!$B$19*loop_gain!$B$17*(Helper_calcs!$B$26-Helper_calcs!$B$27)),x)))</f>
        <v>382903.39114330598</v>
      </c>
      <c r="Q425" s="137"/>
    </row>
    <row r="426" spans="1:17" x14ac:dyDescent="0.25">
      <c r="A426">
        <f t="shared" si="56"/>
        <v>4.8499999999999401</v>
      </c>
      <c r="B426">
        <f>Main!$B$20/A426</f>
        <v>1.0309278350515592</v>
      </c>
      <c r="D426" s="137">
        <f t="shared" si="49"/>
        <v>1.0309278350515592</v>
      </c>
      <c r="E426" s="137">
        <f>-B426*Main!$B$19-2*Main!$B$19*loop_gain!$B$17*loop_gain!$B$18</f>
        <v>-77.651134020618699</v>
      </c>
      <c r="F426" s="137">
        <f>2*Main!$B$19*loop_gain!$B$17*loop_gain!$B$18*Helper_calcs!$B$26*Current_limit!B426</f>
        <v>259.10103092783822</v>
      </c>
      <c r="G426" s="137">
        <f t="shared" si="51"/>
        <v>3.4993033021092992</v>
      </c>
      <c r="H426" s="137">
        <f>(Main!$B$19-Current_limit!G426)*Current_limit!G426/(Main!$B$19*loop_gain!$B$17*loop_gain!$B$18)</f>
        <v>0.91135159390804388</v>
      </c>
      <c r="I426" s="137">
        <f t="shared" si="52"/>
        <v>2.9386484060919562</v>
      </c>
      <c r="J426" s="137"/>
      <c r="K426" s="138">
        <f>IF(A426&gt;$B$15,IF(I426&gt;Helper_calcs!$B$27,23,3),0)</f>
        <v>23</v>
      </c>
      <c r="L426" s="139">
        <f t="shared" si="50"/>
        <v>2</v>
      </c>
      <c r="M426" s="139">
        <f t="shared" si="53"/>
        <v>23</v>
      </c>
      <c r="N426" s="137">
        <f t="shared" si="54"/>
        <v>3.375</v>
      </c>
      <c r="O426" s="137">
        <f t="shared" si="55"/>
        <v>3.4793814432990122</v>
      </c>
      <c r="P426" s="140">
        <f>IF(OR(M426=0,M426=3),loop_gain!$B$18,IF(Current_limit!M426=1,Current_limit!$B$12/(2*(Current_limit!N426-Helper_calcs!$B$27)),IF(OR(M426=2,M426=23),(Main!$B$19-Current_limit!O426)*Current_limit!O426/(Main!$B$19*loop_gain!$B$17*(Helper_calcs!$B$26-Helper_calcs!$B$27)),x)))</f>
        <v>382436.5594893528</v>
      </c>
      <c r="Q426" s="137"/>
    </row>
    <row r="427" spans="1:17" x14ac:dyDescent="0.25">
      <c r="A427">
        <f t="shared" si="56"/>
        <v>4.8599999999999399</v>
      </c>
      <c r="B427">
        <f>Main!$B$20/A427</f>
        <v>1.0288065843621526</v>
      </c>
      <c r="D427" s="137">
        <f t="shared" si="49"/>
        <v>1.0288065843621526</v>
      </c>
      <c r="E427" s="137">
        <f>-B427*Main!$B$19-2*Main!$B$19*loop_gain!$B$17*loop_gain!$B$18</f>
        <v>-77.625679012345813</v>
      </c>
      <c r="F427" s="137">
        <f>2*Main!$B$19*loop_gain!$B$17*loop_gain!$B$18*Helper_calcs!$B$26*Current_limit!B427</f>
        <v>258.56790123457102</v>
      </c>
      <c r="G427" s="137">
        <f t="shared" si="51"/>
        <v>3.4926298062728516</v>
      </c>
      <c r="H427" s="137">
        <f>(Main!$B$19-Current_limit!G427)*Current_limit!G427/(Main!$B$19*loop_gain!$B$17*loop_gain!$B$18)</f>
        <v>0.91032765660565829</v>
      </c>
      <c r="I427" s="137">
        <f t="shared" si="52"/>
        <v>2.9396723433943408</v>
      </c>
      <c r="J427" s="137"/>
      <c r="K427" s="138">
        <f>IF(A427&gt;$B$15,IF(I427&gt;Helper_calcs!$B$27,23,3),0)</f>
        <v>23</v>
      </c>
      <c r="L427" s="139">
        <f t="shared" si="50"/>
        <v>2</v>
      </c>
      <c r="M427" s="139">
        <f t="shared" si="53"/>
        <v>23</v>
      </c>
      <c r="N427" s="137">
        <f t="shared" si="54"/>
        <v>3.375</v>
      </c>
      <c r="O427" s="137">
        <f t="shared" si="55"/>
        <v>3.472222222222265</v>
      </c>
      <c r="P427" s="140">
        <f>IF(OR(M427=0,M427=3),loop_gain!$B$18,IF(Current_limit!M427=1,Current_limit!$B$12/(2*(Current_limit!N427-Helper_calcs!$B$27)),IF(OR(M427=2,M427=23),(Main!$B$19-Current_limit!O427)*Current_limit!O427/(Main!$B$19*loop_gain!$B$17*(Helper_calcs!$B$26-Helper_calcs!$B$27)),x)))</f>
        <v>381970.3238670415</v>
      </c>
      <c r="Q427" s="137"/>
    </row>
    <row r="428" spans="1:17" x14ac:dyDescent="0.25">
      <c r="A428">
        <f t="shared" si="56"/>
        <v>4.8699999999999397</v>
      </c>
      <c r="B428">
        <f>Main!$B$20/A428</f>
        <v>1.0266940451745508</v>
      </c>
      <c r="D428" s="137">
        <f t="shared" si="49"/>
        <v>1.0266940451745508</v>
      </c>
      <c r="E428" s="137">
        <f>-B428*Main!$B$19-2*Main!$B$19*loop_gain!$B$17*loop_gain!$B$18</f>
        <v>-77.600328542094601</v>
      </c>
      <c r="F428" s="137">
        <f>2*Main!$B$19*loop_gain!$B$17*loop_gain!$B$18*Helper_calcs!$B$26*Current_limit!B428</f>
        <v>258.03696098562943</v>
      </c>
      <c r="G428" s="137">
        <f t="shared" si="51"/>
        <v>3.4859830067413879</v>
      </c>
      <c r="H428" s="137">
        <f>(Main!$B$19-Current_limit!G428)*Current_limit!G428/(Main!$B$19*loop_gain!$B$17*loop_gain!$B$18)</f>
        <v>0.90930510286785937</v>
      </c>
      <c r="I428" s="137">
        <f t="shared" si="52"/>
        <v>2.9406948971321398</v>
      </c>
      <c r="J428" s="137"/>
      <c r="K428" s="138">
        <f>IF(A428&gt;$B$15,IF(I428&gt;Helper_calcs!$B$27,23,3),0)</f>
        <v>23</v>
      </c>
      <c r="L428" s="139">
        <f t="shared" si="50"/>
        <v>2</v>
      </c>
      <c r="M428" s="139">
        <f t="shared" si="53"/>
        <v>23</v>
      </c>
      <c r="N428" s="137">
        <f t="shared" si="54"/>
        <v>3.375</v>
      </c>
      <c r="O428" s="137">
        <f t="shared" si="55"/>
        <v>3.465092402464109</v>
      </c>
      <c r="P428" s="140">
        <f>IF(OR(M428=0,M428=3),loop_gain!$B$18,IF(Current_limit!M428=1,Current_limit!$B$12/(2*(Current_limit!N428-Helper_calcs!$B$27)),IF(OR(M428=2,M428=23),(Main!$B$19-Current_limit!O428)*Current_limit!O428/(Main!$B$19*loop_gain!$B$17*(Helper_calcs!$B$26-Helper_calcs!$B$27)),x)))</f>
        <v>381504.68875070714</v>
      </c>
      <c r="Q428" s="137"/>
    </row>
    <row r="429" spans="1:17" x14ac:dyDescent="0.25">
      <c r="A429">
        <f t="shared" si="56"/>
        <v>4.8799999999999395</v>
      </c>
      <c r="B429">
        <f>Main!$B$20/A429</f>
        <v>1.024590163934439</v>
      </c>
      <c r="D429" s="137">
        <f t="shared" si="49"/>
        <v>1.024590163934439</v>
      </c>
      <c r="E429" s="137">
        <f>-B429*Main!$B$19-2*Main!$B$19*loop_gain!$B$17*loop_gain!$B$18</f>
        <v>-77.575081967213251</v>
      </c>
      <c r="F429" s="137">
        <f>2*Main!$B$19*loop_gain!$B$17*loop_gain!$B$18*Helper_calcs!$B$26*Current_limit!B429</f>
        <v>257.50819672131462</v>
      </c>
      <c r="G429" s="137">
        <f t="shared" si="51"/>
        <v>3.4793627359466837</v>
      </c>
      <c r="H429" s="137">
        <f>(Main!$B$19-Current_limit!G429)*Current_limit!G429/(Main!$B$19*loop_gain!$B$17*loop_gain!$B$18)</f>
        <v>0.90828393943216357</v>
      </c>
      <c r="I429" s="137">
        <f t="shared" si="52"/>
        <v>2.9417160605678392</v>
      </c>
      <c r="J429" s="137"/>
      <c r="K429" s="138">
        <f>IF(A429&gt;$B$15,IF(I429&gt;Helper_calcs!$B$27,23,3),0)</f>
        <v>23</v>
      </c>
      <c r="L429" s="139">
        <f t="shared" si="50"/>
        <v>2</v>
      </c>
      <c r="M429" s="139">
        <f t="shared" si="53"/>
        <v>23</v>
      </c>
      <c r="N429" s="137">
        <f t="shared" si="54"/>
        <v>3.375</v>
      </c>
      <c r="O429" s="137">
        <f t="shared" si="55"/>
        <v>3.4579918032787318</v>
      </c>
      <c r="P429" s="140">
        <f>IF(OR(M429=0,M429=3),loop_gain!$B$18,IF(Current_limit!M429=1,Current_limit!$B$12/(2*(Current_limit!N429-Helper_calcs!$B$27)),IF(OR(M429=2,M429=23),(Main!$B$19-Current_limit!O429)*Current_limit!O429/(Main!$B$19*loop_gain!$B$17*(Helper_calcs!$B$26-Helper_calcs!$B$27)),x)))</f>
        <v>381039.65851137624</v>
      </c>
      <c r="Q429" s="137"/>
    </row>
    <row r="430" spans="1:17" x14ac:dyDescent="0.25">
      <c r="A430">
        <f t="shared" si="56"/>
        <v>4.8899999999999393</v>
      </c>
      <c r="B430">
        <f>Main!$B$20/A430</f>
        <v>1.022494887525575</v>
      </c>
      <c r="D430" s="137">
        <f t="shared" si="49"/>
        <v>1.022494887525575</v>
      </c>
      <c r="E430" s="137">
        <f>-B430*Main!$B$19-2*Main!$B$19*loop_gain!$B$17*loop_gain!$B$18</f>
        <v>-77.549938650306885</v>
      </c>
      <c r="F430" s="137">
        <f>2*Main!$B$19*loop_gain!$B$17*loop_gain!$B$18*Helper_calcs!$B$26*Current_limit!B430</f>
        <v>256.98159509202765</v>
      </c>
      <c r="G430" s="137">
        <f t="shared" si="51"/>
        <v>3.4727688277810058</v>
      </c>
      <c r="H430" s="137">
        <f>(Main!$B$19-Current_limit!G430)*Current_limit!G430/(Main!$B$19*loop_gain!$B$17*loop_gain!$B$18)</f>
        <v>0.90726417286043537</v>
      </c>
      <c r="I430" s="137">
        <f t="shared" si="52"/>
        <v>2.9427358271395638</v>
      </c>
      <c r="J430" s="137"/>
      <c r="K430" s="138">
        <f>IF(A430&gt;$B$15,IF(I430&gt;Helper_calcs!$B$27,23,3),0)</f>
        <v>23</v>
      </c>
      <c r="L430" s="139">
        <f t="shared" si="50"/>
        <v>2</v>
      </c>
      <c r="M430" s="139">
        <f t="shared" si="53"/>
        <v>23</v>
      </c>
      <c r="N430" s="137">
        <f t="shared" si="54"/>
        <v>3.375</v>
      </c>
      <c r="O430" s="137">
        <f t="shared" si="55"/>
        <v>3.4509202453988159</v>
      </c>
      <c r="P430" s="140">
        <f>IF(OR(M430=0,M430=3),loop_gain!$B$18,IF(Current_limit!M430=1,Current_limit!$B$12/(2*(Current_limit!N430-Helper_calcs!$B$27)),IF(OR(M430=2,M430=23),(Main!$B$19-Current_limit!O430)*Current_limit!O430/(Main!$B$19*loop_gain!$B$17*(Helper_calcs!$B$26-Helper_calcs!$B$27)),x)))</f>
        <v>380575.23741850321</v>
      </c>
      <c r="Q430" s="137"/>
    </row>
    <row r="431" spans="1:17" x14ac:dyDescent="0.25">
      <c r="A431">
        <f t="shared" si="56"/>
        <v>4.8999999999999391</v>
      </c>
      <c r="B431">
        <f>Main!$B$20/A431</f>
        <v>1.0204081632653188</v>
      </c>
      <c r="D431" s="137">
        <f t="shared" si="49"/>
        <v>1.0204081632653188</v>
      </c>
      <c r="E431" s="137">
        <f>-B431*Main!$B$19-2*Main!$B$19*loop_gain!$B$17*loop_gain!$B$18</f>
        <v>-77.524897959183818</v>
      </c>
      <c r="F431" s="137">
        <f>2*Main!$B$19*loop_gain!$B$17*loop_gain!$B$18*Helper_calcs!$B$26*Current_limit!B431</f>
        <v>256.45714285714598</v>
      </c>
      <c r="G431" s="137">
        <f t="shared" si="51"/>
        <v>3.4662011175806615</v>
      </c>
      <c r="H431" s="137">
        <f>(Main!$B$19-Current_limit!G431)*Current_limit!G431/(Main!$B$19*loop_gain!$B$17*loop_gain!$B$18)</f>
        <v>0.90624580954198897</v>
      </c>
      <c r="I431" s="137">
        <f t="shared" si="52"/>
        <v>2.9437541904580113</v>
      </c>
      <c r="J431" s="137"/>
      <c r="K431" s="138">
        <f>IF(A431&gt;$B$15,IF(I431&gt;Helper_calcs!$B$27,23,3),0)</f>
        <v>23</v>
      </c>
      <c r="L431" s="139">
        <f t="shared" si="50"/>
        <v>2</v>
      </c>
      <c r="M431" s="139">
        <f t="shared" si="53"/>
        <v>23</v>
      </c>
      <c r="N431" s="137">
        <f t="shared" si="54"/>
        <v>3.375</v>
      </c>
      <c r="O431" s="137">
        <f t="shared" si="55"/>
        <v>3.4438775510204511</v>
      </c>
      <c r="P431" s="140">
        <f>IF(OR(M431=0,M431=3),loop_gain!$B$18,IF(Current_limit!M431=1,Current_limit!$B$12/(2*(Current_limit!N431-Helper_calcs!$B$27)),IF(OR(M431=2,M431=23),(Main!$B$19-Current_limit!O431)*Current_limit!O431/(Main!$B$19*loop_gain!$B$17*(Helper_calcs!$B$26-Helper_calcs!$B$27)),x)))</f>
        <v>380111.42964167689</v>
      </c>
      <c r="Q431" s="137"/>
    </row>
    <row r="432" spans="1:17" x14ac:dyDescent="0.25">
      <c r="A432">
        <f t="shared" si="56"/>
        <v>4.9099999999999389</v>
      </c>
      <c r="B432">
        <f>Main!$B$20/A432</f>
        <v>1.0183299389002163</v>
      </c>
      <c r="D432" s="137">
        <f t="shared" si="49"/>
        <v>1.0183299389002163</v>
      </c>
      <c r="E432" s="137">
        <f>-B432*Main!$B$19-2*Main!$B$19*loop_gain!$B$17*loop_gain!$B$18</f>
        <v>-77.499959266802577</v>
      </c>
      <c r="F432" s="137">
        <f>2*Main!$B$19*loop_gain!$B$17*loop_gain!$B$18*Helper_calcs!$B$26*Current_limit!B432</f>
        <v>255.9348268839135</v>
      </c>
      <c r="G432" s="137">
        <f t="shared" si="51"/>
        <v>3.4596594421097064</v>
      </c>
      <c r="H432" s="137">
        <f>(Main!$B$19-Current_limit!G432)*Current_limit!G432/(Main!$B$19*loop_gain!$B$17*loop_gain!$B$18)</f>
        <v>0.90522885569661871</v>
      </c>
      <c r="I432" s="137">
        <f t="shared" si="52"/>
        <v>2.9447711443033802</v>
      </c>
      <c r="J432" s="137"/>
      <c r="K432" s="138">
        <f>IF(A432&gt;$B$15,IF(I432&gt;Helper_calcs!$B$27,23,3),0)</f>
        <v>23</v>
      </c>
      <c r="L432" s="139">
        <f t="shared" si="50"/>
        <v>2</v>
      </c>
      <c r="M432" s="139">
        <f t="shared" si="53"/>
        <v>23</v>
      </c>
      <c r="N432" s="137">
        <f t="shared" si="54"/>
        <v>3.375</v>
      </c>
      <c r="O432" s="137">
        <f t="shared" si="55"/>
        <v>3.4368635437882298</v>
      </c>
      <c r="P432" s="140">
        <f>IF(OR(M432=0,M432=3),loop_gain!$B$18,IF(Current_limit!M432=1,Current_limit!$B$12/(2*(Current_limit!N432-Helper_calcs!$B$27)),IF(OR(M432=2,M432=23),(Main!$B$19-Current_limit!O432)*Current_limit!O432/(Main!$B$19*loop_gain!$B$17*(Helper_calcs!$B$26-Helper_calcs!$B$27)),x)))</f>
        <v>379648.23925229831</v>
      </c>
      <c r="Q432" s="137"/>
    </row>
    <row r="433" spans="1:17" x14ac:dyDescent="0.25">
      <c r="A433">
        <f t="shared" si="56"/>
        <v>4.9199999999999386</v>
      </c>
      <c r="B433">
        <f>Main!$B$20/A433</f>
        <v>1.0162601626016388</v>
      </c>
      <c r="D433" s="137">
        <f t="shared" si="49"/>
        <v>1.0162601626016388</v>
      </c>
      <c r="E433" s="137">
        <f>-B433*Main!$B$19-2*Main!$B$19*loop_gain!$B$17*loop_gain!$B$18</f>
        <v>-77.475121951219649</v>
      </c>
      <c r="F433" s="137">
        <f>2*Main!$B$19*loop_gain!$B$17*loop_gain!$B$18*Helper_calcs!$B$26*Current_limit!B433</f>
        <v>255.41463414634461</v>
      </c>
      <c r="G433" s="137">
        <f t="shared" si="51"/>
        <v>3.4531436395439528</v>
      </c>
      <c r="H433" s="137">
        <f>(Main!$B$19-Current_limit!G433)*Current_limit!G433/(Main!$B$19*loop_gain!$B$17*loop_gain!$B$18)</f>
        <v>0.90421331737759136</v>
      </c>
      <c r="I433" s="137">
        <f t="shared" si="52"/>
        <v>2.9457866826224111</v>
      </c>
      <c r="J433" s="137"/>
      <c r="K433" s="138">
        <f>IF(A433&gt;$B$15,IF(I433&gt;Helper_calcs!$B$27,23,3),0)</f>
        <v>23</v>
      </c>
      <c r="L433" s="139">
        <f t="shared" si="50"/>
        <v>2</v>
      </c>
      <c r="M433" s="139">
        <f t="shared" si="53"/>
        <v>23</v>
      </c>
      <c r="N433" s="137">
        <f t="shared" si="54"/>
        <v>3.375</v>
      </c>
      <c r="O433" s="137">
        <f t="shared" si="55"/>
        <v>3.4298780487805307</v>
      </c>
      <c r="P433" s="140">
        <f>IF(OR(M433=0,M433=3),loop_gain!$B$18,IF(Current_limit!M433=1,Current_limit!$B$12/(2*(Current_limit!N433-Helper_calcs!$B$27)),IF(OR(M433=2,M433=23),(Main!$B$19-Current_limit!O433)*Current_limit!O433/(Main!$B$19*loop_gain!$B$17*(Helper_calcs!$B$26-Helper_calcs!$B$27)),x)))</f>
        <v>379185.67022522999</v>
      </c>
      <c r="Q433" s="137"/>
    </row>
    <row r="434" spans="1:17" x14ac:dyDescent="0.25">
      <c r="A434">
        <f t="shared" si="56"/>
        <v>4.9299999999999384</v>
      </c>
      <c r="B434">
        <f>Main!$B$20/A434</f>
        <v>1.0141987829614731</v>
      </c>
      <c r="D434" s="137">
        <f t="shared" si="49"/>
        <v>1.0141987829614731</v>
      </c>
      <c r="E434" s="137">
        <f>-B434*Main!$B$19-2*Main!$B$19*loop_gain!$B$17*loop_gain!$B$18</f>
        <v>-77.450385395537666</v>
      </c>
      <c r="F434" s="137">
        <f>2*Main!$B$19*loop_gain!$B$17*loop_gain!$B$18*Helper_calcs!$B$26*Current_limit!B434</f>
        <v>254.89655172414106</v>
      </c>
      <c r="G434" s="137">
        <f t="shared" si="51"/>
        <v>3.4466535494551334</v>
      </c>
      <c r="H434" s="137">
        <f>(Main!$B$19-Current_limit!G434)*Current_limit!G434/(Main!$B$19*loop_gain!$B$17*loop_gain!$B$18)</f>
        <v>0.90319920047456914</v>
      </c>
      <c r="I434" s="137">
        <f t="shared" si="52"/>
        <v>2.9468007995254344</v>
      </c>
      <c r="J434" s="137"/>
      <c r="K434" s="138">
        <f>IF(A434&gt;$B$15,IF(I434&gt;Helper_calcs!$B$27,23,3),0)</f>
        <v>23</v>
      </c>
      <c r="L434" s="139">
        <f t="shared" si="50"/>
        <v>2</v>
      </c>
      <c r="M434" s="139">
        <f t="shared" si="53"/>
        <v>23</v>
      </c>
      <c r="N434" s="137">
        <f t="shared" si="54"/>
        <v>3.375</v>
      </c>
      <c r="O434" s="137">
        <f t="shared" si="55"/>
        <v>3.4229208924949717</v>
      </c>
      <c r="P434" s="140">
        <f>IF(OR(M434=0,M434=3),loop_gain!$B$18,IF(Current_limit!M434=1,Current_limit!$B$12/(2*(Current_limit!N434-Helper_calcs!$B$27)),IF(OR(M434=2,M434=23),(Main!$B$19-Current_limit!O434)*Current_limit!O434/(Main!$B$19*loop_gain!$B$17*(Helper_calcs!$B$26-Helper_calcs!$B$27)),x)))</f>
        <v>378723.72644041647</v>
      </c>
      <c r="Q434" s="137"/>
    </row>
    <row r="435" spans="1:17" x14ac:dyDescent="0.25">
      <c r="A435">
        <f t="shared" si="56"/>
        <v>4.9399999999999382</v>
      </c>
      <c r="B435">
        <f>Main!$B$20/A435</f>
        <v>1.0121457489878669</v>
      </c>
      <c r="D435" s="137">
        <f t="shared" si="49"/>
        <v>1.0121457489878669</v>
      </c>
      <c r="E435" s="137">
        <f>-B435*Main!$B$19-2*Main!$B$19*loop_gain!$B$17*loop_gain!$B$18</f>
        <v>-77.425748987854391</v>
      </c>
      <c r="F435" s="137">
        <f>2*Main!$B$19*loop_gain!$B$17*loop_gain!$B$18*Helper_calcs!$B$26*Current_limit!B435</f>
        <v>254.38056680162256</v>
      </c>
      <c r="G435" s="137">
        <f t="shared" si="51"/>
        <v>3.4401890127953405</v>
      </c>
      <c r="H435" s="137">
        <f>(Main!$B$19-Current_limit!G435)*Current_limit!G435/(Main!$B$19*loop_gain!$B$17*loop_gain!$B$18)</f>
        <v>0.90218651071649247</v>
      </c>
      <c r="I435" s="137">
        <f t="shared" si="52"/>
        <v>2.9478134892835075</v>
      </c>
      <c r="J435" s="137"/>
      <c r="K435" s="138">
        <f>IF(A435&gt;$B$15,IF(I435&gt;Helper_calcs!$B$27,23,3),0)</f>
        <v>23</v>
      </c>
      <c r="L435" s="139">
        <f t="shared" si="50"/>
        <v>2</v>
      </c>
      <c r="M435" s="139">
        <f t="shared" si="53"/>
        <v>23</v>
      </c>
      <c r="N435" s="137">
        <f t="shared" si="54"/>
        <v>3.375</v>
      </c>
      <c r="O435" s="137">
        <f t="shared" si="55"/>
        <v>3.4159919028340506</v>
      </c>
      <c r="P435" s="140">
        <f>IF(OR(M435=0,M435=3),loop_gain!$B$18,IF(Current_limit!M435=1,Current_limit!$B$12/(2*(Current_limit!N435-Helper_calcs!$B$27)),IF(OR(M435=2,M435=23),(Main!$B$19-Current_limit!O435)*Current_limit!O435/(Main!$B$19*loop_gain!$B$17*(Helper_calcs!$B$26-Helper_calcs!$B$27)),x)))</f>
        <v>378262.41168447892</v>
      </c>
      <c r="Q435" s="137"/>
    </row>
    <row r="436" spans="1:17" x14ac:dyDescent="0.25">
      <c r="A436">
        <f t="shared" si="56"/>
        <v>4.949999999999938</v>
      </c>
      <c r="B436">
        <f>Main!$B$20/A436</f>
        <v>1.0101010101010228</v>
      </c>
      <c r="D436" s="137">
        <f t="shared" si="49"/>
        <v>1.0101010101010228</v>
      </c>
      <c r="E436" s="137">
        <f>-B436*Main!$B$19-2*Main!$B$19*loop_gain!$B$17*loop_gain!$B$18</f>
        <v>-77.401212121212268</v>
      </c>
      <c r="F436" s="137">
        <f>2*Main!$B$19*loop_gain!$B$17*loop_gain!$B$18*Helper_calcs!$B$26*Current_limit!B436</f>
        <v>253.8666666666698</v>
      </c>
      <c r="G436" s="137">
        <f t="shared" si="51"/>
        <v>3.4337498718816564</v>
      </c>
      <c r="H436" s="137">
        <f>(Main!$B$19-Current_limit!G436)*Current_limit!G436/(Main!$B$19*loop_gain!$B$17*loop_gain!$B$18)</f>
        <v>0.90117525367440543</v>
      </c>
      <c r="I436" s="137">
        <f t="shared" si="52"/>
        <v>2.9488247463255943</v>
      </c>
      <c r="J436" s="137"/>
      <c r="K436" s="138">
        <f>IF(A436&gt;$B$15,IF(I436&gt;Helper_calcs!$B$27,23,3),0)</f>
        <v>23</v>
      </c>
      <c r="L436" s="139">
        <f t="shared" si="50"/>
        <v>2</v>
      </c>
      <c r="M436" s="139">
        <f t="shared" si="53"/>
        <v>23</v>
      </c>
      <c r="N436" s="137">
        <f t="shared" si="54"/>
        <v>3.375</v>
      </c>
      <c r="O436" s="137">
        <f t="shared" si="55"/>
        <v>3.4090909090909518</v>
      </c>
      <c r="P436" s="140">
        <f>IF(OR(M436=0,M436=3),loop_gain!$B$18,IF(Current_limit!M436=1,Current_limit!$B$12/(2*(Current_limit!N436-Helper_calcs!$B$27)),IF(OR(M436=2,M436=23),(Main!$B$19-Current_limit!O436)*Current_limit!O436/(Main!$B$19*loop_gain!$B$17*(Helper_calcs!$B$26-Helper_calcs!$B$27)),x)))</f>
        <v>377801.72965228133</v>
      </c>
      <c r="Q436" s="137"/>
    </row>
    <row r="437" spans="1:17" x14ac:dyDescent="0.25">
      <c r="A437">
        <f t="shared" si="56"/>
        <v>4.9599999999999378</v>
      </c>
      <c r="B437">
        <f>Main!$B$20/A437</f>
        <v>1.0080645161290449</v>
      </c>
      <c r="D437" s="137">
        <f t="shared" si="49"/>
        <v>1.0080645161290449</v>
      </c>
      <c r="E437" s="137">
        <f>-B437*Main!$B$19-2*Main!$B$19*loop_gain!$B$17*loop_gain!$B$18</f>
        <v>-77.376774193548528</v>
      </c>
      <c r="F437" s="137">
        <f>2*Main!$B$19*loop_gain!$B$17*loop_gain!$B$18*Helper_calcs!$B$26*Current_limit!B437</f>
        <v>253.35483870968054</v>
      </c>
      <c r="G437" s="137">
        <f t="shared" si="51"/>
        <v>3.4273359703809767</v>
      </c>
      <c r="H437" s="137">
        <f>(Main!$B$19-Current_limit!G437)*Current_limit!G437/(Main!$B$19*loop_gain!$B$17*loop_gain!$B$18)</f>
        <v>0.90016543476422839</v>
      </c>
      <c r="I437" s="137">
        <f t="shared" si="52"/>
        <v>2.949834565235772</v>
      </c>
      <c r="J437" s="137"/>
      <c r="K437" s="138">
        <f>IF(A437&gt;$B$15,IF(I437&gt;Helper_calcs!$B$27,23,3),0)</f>
        <v>23</v>
      </c>
      <c r="L437" s="139">
        <f t="shared" si="50"/>
        <v>2</v>
      </c>
      <c r="M437" s="139">
        <f t="shared" si="53"/>
        <v>23</v>
      </c>
      <c r="N437" s="137">
        <f t="shared" si="54"/>
        <v>3.375</v>
      </c>
      <c r="O437" s="137">
        <f t="shared" si="55"/>
        <v>3.4022177419355266</v>
      </c>
      <c r="P437" s="140">
        <f>IF(OR(M437=0,M437=3),loop_gain!$B$18,IF(Current_limit!M437=1,Current_limit!$B$12/(2*(Current_limit!N437-Helper_calcs!$B$27)),IF(OR(M437=2,M437=23),(Main!$B$19-Current_limit!O437)*Current_limit!O437/(Main!$B$19*loop_gain!$B$17*(Helper_calcs!$B$26-Helper_calcs!$B$27)),x)))</f>
        <v>377341.68394847063</v>
      </c>
      <c r="Q437" s="137"/>
    </row>
    <row r="438" spans="1:17" x14ac:dyDescent="0.25">
      <c r="A438">
        <f t="shared" si="56"/>
        <v>4.9699999999999376</v>
      </c>
      <c r="B438">
        <f>Main!$B$20/A438</f>
        <v>1.0060362173038355</v>
      </c>
      <c r="D438" s="137">
        <f t="shared" si="49"/>
        <v>1.0060362173038355</v>
      </c>
      <c r="E438" s="137">
        <f>-B438*Main!$B$19-2*Main!$B$19*loop_gain!$B$17*loop_gain!$B$18</f>
        <v>-77.352434607646018</v>
      </c>
      <c r="F438" s="137">
        <f>2*Main!$B$19*loop_gain!$B$17*loop_gain!$B$18*Helper_calcs!$B$26*Current_limit!B438</f>
        <v>252.84507042253833</v>
      </c>
      <c r="G438" s="137">
        <f t="shared" si="51"/>
        <v>3.420947153295069</v>
      </c>
      <c r="H438" s="137">
        <f>(Main!$B$19-Current_limit!G438)*Current_limit!G438/(Main!$B$19*loop_gain!$B$17*loop_gain!$B$18)</f>
        <v>0.89915705924948519</v>
      </c>
      <c r="I438" s="137">
        <f t="shared" si="52"/>
        <v>2.9508429407505137</v>
      </c>
      <c r="J438" s="137"/>
      <c r="K438" s="138">
        <f>IF(A438&gt;$B$15,IF(I438&gt;Helper_calcs!$B$27,23,3),0)</f>
        <v>23</v>
      </c>
      <c r="L438" s="139">
        <f t="shared" si="50"/>
        <v>2</v>
      </c>
      <c r="M438" s="139">
        <f t="shared" si="53"/>
        <v>23</v>
      </c>
      <c r="N438" s="137">
        <f t="shared" si="54"/>
        <v>3.375</v>
      </c>
      <c r="O438" s="137">
        <f t="shared" si="55"/>
        <v>3.3953722334004448</v>
      </c>
      <c r="P438" s="140">
        <f>IF(OR(M438=0,M438=3),loop_gain!$B$18,IF(Current_limit!M438=1,Current_limit!$B$12/(2*(Current_limit!N438-Helper_calcs!$B$27)),IF(OR(M438=2,M438=23),(Main!$B$19-Current_limit!O438)*Current_limit!O438/(Main!$B$19*loop_gain!$B$17*(Helper_calcs!$B$26-Helper_calcs!$B$27)),x)))</f>
        <v>376882.27808899141</v>
      </c>
      <c r="Q438" s="137"/>
    </row>
    <row r="439" spans="1:17" x14ac:dyDescent="0.25">
      <c r="A439">
        <f t="shared" si="56"/>
        <v>4.9799999999999374</v>
      </c>
      <c r="B439">
        <f>Main!$B$20/A439</f>
        <v>1.0040160642570408</v>
      </c>
      <c r="D439" s="137">
        <f t="shared" si="49"/>
        <v>1.0040160642570408</v>
      </c>
      <c r="E439" s="137">
        <f>-B439*Main!$B$19-2*Main!$B$19*loop_gain!$B$17*loop_gain!$B$18</f>
        <v>-77.328192771084474</v>
      </c>
      <c r="F439" s="137">
        <f>2*Main!$B$19*loop_gain!$B$17*loop_gain!$B$18*Helper_calcs!$B$26*Current_limit!B439</f>
        <v>252.3373493975935</v>
      </c>
      <c r="G439" s="137">
        <f t="shared" si="51"/>
        <v>3.4145832669458329</v>
      </c>
      <c r="H439" s="137">
        <f>(Main!$B$19-Current_limit!G439)*Current_limit!G439/(Main!$B$19*loop_gain!$B$17*loop_gain!$B$18)</f>
        <v>0.89815013224398055</v>
      </c>
      <c r="I439" s="137">
        <f t="shared" si="52"/>
        <v>2.9518498677560165</v>
      </c>
      <c r="J439" s="137"/>
      <c r="K439" s="138">
        <f>IF(A439&gt;$B$15,IF(I439&gt;Helper_calcs!$B$27,23,3),0)</f>
        <v>23</v>
      </c>
      <c r="L439" s="139">
        <f t="shared" si="50"/>
        <v>2</v>
      </c>
      <c r="M439" s="139">
        <f t="shared" si="53"/>
        <v>23</v>
      </c>
      <c r="N439" s="137">
        <f t="shared" si="54"/>
        <v>3.375</v>
      </c>
      <c r="O439" s="137">
        <f t="shared" si="55"/>
        <v>3.3885542168675129</v>
      </c>
      <c r="P439" s="140">
        <f>IF(OR(M439=0,M439=3),loop_gain!$B$18,IF(Current_limit!M439=1,Current_limit!$B$12/(2*(Current_limit!N439-Helper_calcs!$B$27)),IF(OR(M439=2,M439=23),(Main!$B$19-Current_limit!O439)*Current_limit!O439/(Main!$B$19*loop_gain!$B$17*(Helper_calcs!$B$26-Helper_calcs!$B$27)),x)))</f>
        <v>376423.51550257416</v>
      </c>
      <c r="Q439" s="137"/>
    </row>
    <row r="440" spans="1:17" x14ac:dyDescent="0.25">
      <c r="A440">
        <f t="shared" si="56"/>
        <v>4.9899999999999372</v>
      </c>
      <c r="B440">
        <f>Main!$B$20/A440</f>
        <v>1.0020040080160446</v>
      </c>
      <c r="D440" s="137">
        <f t="shared" si="49"/>
        <v>1.0020040080160446</v>
      </c>
      <c r="E440" s="137">
        <f>-B440*Main!$B$19-2*Main!$B$19*loop_gain!$B$17*loop_gain!$B$18</f>
        <v>-77.304048096192517</v>
      </c>
      <c r="F440" s="137">
        <f>2*Main!$B$19*loop_gain!$B$17*loop_gain!$B$18*Helper_calcs!$B$26*Current_limit!B440</f>
        <v>251.83166332665641</v>
      </c>
      <c r="G440" s="137">
        <f t="shared" si="51"/>
        <v>3.4082441589607546</v>
      </c>
      <c r="H440" s="137">
        <f>(Main!$B$19-Current_limit!G440)*Current_limit!G440/(Main!$B$19*loop_gain!$B$17*loop_gain!$B$18)</f>
        <v>0.89714465871442883</v>
      </c>
      <c r="I440" s="137">
        <f t="shared" si="52"/>
        <v>2.9528553412855763</v>
      </c>
      <c r="J440" s="137"/>
      <c r="K440" s="138">
        <f>IF(A440&gt;$B$15,IF(I440&gt;Helper_calcs!$B$27,23,3),0)</f>
        <v>23</v>
      </c>
      <c r="L440" s="139">
        <f t="shared" si="50"/>
        <v>2</v>
      </c>
      <c r="M440" s="139">
        <f t="shared" si="53"/>
        <v>23</v>
      </c>
      <c r="N440" s="137">
        <f t="shared" si="54"/>
        <v>3.375</v>
      </c>
      <c r="O440" s="137">
        <f t="shared" si="55"/>
        <v>3.3817635270541504</v>
      </c>
      <c r="P440" s="140">
        <f>IF(OR(M440=0,M440=3),loop_gain!$B$18,IF(Current_limit!M440=1,Current_limit!$B$12/(2*(Current_limit!N440-Helper_calcs!$B$27)),IF(OR(M440=2,M440=23),(Main!$B$19-Current_limit!O440)*Current_limit!O440/(Main!$B$19*loop_gain!$B$17*(Helper_calcs!$B$26-Helper_calcs!$B$27)),x)))</f>
        <v>375965.39953219908</v>
      </c>
      <c r="Q440" s="137"/>
    </row>
    <row r="441" spans="1:17" x14ac:dyDescent="0.25">
      <c r="A441">
        <f t="shared" si="56"/>
        <v>4.9999999999999369</v>
      </c>
      <c r="B441">
        <f>Main!$B$20/A441</f>
        <v>1.0000000000000127</v>
      </c>
      <c r="D441" s="137">
        <f t="shared" si="49"/>
        <v>1.0000000000000127</v>
      </c>
      <c r="E441" s="137">
        <f>-B441*Main!$B$19-2*Main!$B$19*loop_gain!$B$17*loop_gain!$B$18</f>
        <v>-77.280000000000143</v>
      </c>
      <c r="F441" s="137">
        <f>2*Main!$B$19*loop_gain!$B$17*loop_gain!$B$18*Helper_calcs!$B$26*Current_limit!B441</f>
        <v>251.32800000000313</v>
      </c>
      <c r="G441" s="137">
        <f t="shared" si="51"/>
        <v>3.4019296782585253</v>
      </c>
      <c r="H441" s="137">
        <f>(Main!$B$19-Current_limit!G441)*Current_limit!G441/(Main!$B$19*loop_gain!$B$17*loop_gain!$B$18)</f>
        <v>0.89614064348303168</v>
      </c>
      <c r="I441" s="137">
        <f t="shared" si="52"/>
        <v>2.9538593565169666</v>
      </c>
      <c r="J441" s="137"/>
      <c r="K441" s="138">
        <f>IF(A441&gt;$B$15,IF(I441&gt;Helper_calcs!$B$27,23,3),0)</f>
        <v>23</v>
      </c>
      <c r="L441" s="139">
        <f t="shared" si="50"/>
        <v>2</v>
      </c>
      <c r="M441" s="139">
        <f t="shared" si="53"/>
        <v>23</v>
      </c>
      <c r="N441" s="137">
        <f t="shared" si="54"/>
        <v>3.375</v>
      </c>
      <c r="O441" s="137">
        <f t="shared" si="55"/>
        <v>3.3750000000000426</v>
      </c>
      <c r="P441" s="140">
        <f>IF(OR(M441=0,M441=3),loop_gain!$B$18,IF(Current_limit!M441=1,Current_limit!$B$12/(2*(Current_limit!N441-Helper_calcs!$B$27)),IF(OR(M441=2,M441=23),(Main!$B$19-Current_limit!O441)*Current_limit!O441/(Main!$B$19*loop_gain!$B$17*(Helper_calcs!$B$26-Helper_calcs!$B$27)),x)))</f>
        <v>375507.93343653536</v>
      </c>
      <c r="Q441" s="137"/>
    </row>
    <row r="442" spans="1:17" x14ac:dyDescent="0.25">
      <c r="A442">
        <f t="shared" si="56"/>
        <v>5.0099999999999367</v>
      </c>
      <c r="B442">
        <f>Main!$B$20/A442</f>
        <v>0.99800399201598067</v>
      </c>
      <c r="D442" s="137">
        <f t="shared" si="49"/>
        <v>0.99800399201598067</v>
      </c>
      <c r="E442" s="137">
        <f>-B442*Main!$B$19-2*Main!$B$19*loop_gain!$B$17*loop_gain!$B$18</f>
        <v>-77.25604790419176</v>
      </c>
      <c r="F442" s="137">
        <f>2*Main!$B$19*loop_gain!$B$17*loop_gain!$B$18*Helper_calcs!$B$26*Current_limit!B442</f>
        <v>250.82634730539235</v>
      </c>
      <c r="G442" s="137">
        <f t="shared" si="51"/>
        <v>3.3956396750349618</v>
      </c>
      <c r="H442" s="137">
        <f>(Main!$B$19-Current_limit!G442)*Current_limit!G442/(Main!$B$19*loop_gain!$B$17*loop_gain!$B$18)</f>
        <v>0.89513809123002475</v>
      </c>
      <c r="I442" s="137">
        <f t="shared" si="52"/>
        <v>2.9548619087699763</v>
      </c>
      <c r="J442" s="137"/>
      <c r="K442" s="138">
        <f>IF(A442&gt;$B$15,IF(I442&gt;Helper_calcs!$B$27,23,3),0)</f>
        <v>23</v>
      </c>
      <c r="L442" s="139">
        <f t="shared" si="50"/>
        <v>2</v>
      </c>
      <c r="M442" s="139">
        <f t="shared" si="53"/>
        <v>23</v>
      </c>
      <c r="N442" s="137">
        <f t="shared" si="54"/>
        <v>3.375</v>
      </c>
      <c r="O442" s="137">
        <f t="shared" si="55"/>
        <v>3.3682634730539349</v>
      </c>
      <c r="P442" s="140">
        <f>IF(OR(M442=0,M442=3),loop_gain!$B$18,IF(Current_limit!M442=1,Current_limit!$B$12/(2*(Current_limit!N442-Helper_calcs!$B$27)),IF(OR(M442=2,M442=23),(Main!$B$19-Current_limit!O442)*Current_limit!O442/(Main!$B$19*loop_gain!$B$17*(Helper_calcs!$B$26-Helper_calcs!$B$27)),x)))</f>
        <v>375051.1203913553</v>
      </c>
      <c r="Q442" s="137"/>
    </row>
    <row r="443" spans="1:17" x14ac:dyDescent="0.25">
      <c r="A443">
        <f t="shared" si="56"/>
        <v>5.0199999999999365</v>
      </c>
      <c r="B443">
        <f>Main!$B$20/A443</f>
        <v>0.99601593625499263</v>
      </c>
      <c r="D443" s="137">
        <f t="shared" si="49"/>
        <v>0.99601593625499263</v>
      </c>
      <c r="E443" s="137">
        <f>-B443*Main!$B$19-2*Main!$B$19*loop_gain!$B$17*loop_gain!$B$18</f>
        <v>-77.232191235059901</v>
      </c>
      <c r="F443" s="137">
        <f>2*Main!$B$19*loop_gain!$B$17*loop_gain!$B$18*Helper_calcs!$B$26*Current_limit!B443</f>
        <v>250.32669322709472</v>
      </c>
      <c r="G443" s="137">
        <f t="shared" si="51"/>
        <v>3.3893740007489659</v>
      </c>
      <c r="H443" s="137">
        <f>(Main!$B$19-Current_limit!G443)*Current_limit!G443/(Main!$B$19*loop_gain!$B$17*loop_gain!$B$18)</f>
        <v>0.89413700649615646</v>
      </c>
      <c r="I443" s="137">
        <f t="shared" si="52"/>
        <v>2.9558629935038407</v>
      </c>
      <c r="J443" s="137"/>
      <c r="K443" s="138">
        <f>IF(A443&gt;$B$15,IF(I443&gt;Helper_calcs!$B$27,23,3),0)</f>
        <v>23</v>
      </c>
      <c r="L443" s="139">
        <f t="shared" si="50"/>
        <v>2</v>
      </c>
      <c r="M443" s="139">
        <f t="shared" si="53"/>
        <v>23</v>
      </c>
      <c r="N443" s="137">
        <f t="shared" si="54"/>
        <v>3.375</v>
      </c>
      <c r="O443" s="137">
        <f t="shared" si="55"/>
        <v>3.3615537848606003</v>
      </c>
      <c r="P443" s="140">
        <f>IF(OR(M443=0,M443=3),loop_gain!$B$18,IF(Current_limit!M443=1,Current_limit!$B$12/(2*(Current_limit!N443-Helper_calcs!$B$27)),IF(OR(M443=2,M443=23),(Main!$B$19-Current_limit!O443)*Current_limit!O443/(Main!$B$19*loop_gain!$B$17*(Helper_calcs!$B$26-Helper_calcs!$B$27)),x)))</f>
        <v>374594.9634909259</v>
      </c>
      <c r="Q443" s="137"/>
    </row>
    <row r="444" spans="1:17" x14ac:dyDescent="0.25">
      <c r="A444">
        <f t="shared" si="56"/>
        <v>5.0299999999999363</v>
      </c>
      <c r="B444">
        <f>Main!$B$20/A444</f>
        <v>0.99403578528828296</v>
      </c>
      <c r="D444" s="137">
        <f t="shared" si="49"/>
        <v>0.99403578528828296</v>
      </c>
      <c r="E444" s="137">
        <f>-B444*Main!$B$19-2*Main!$B$19*loop_gain!$B$17*loop_gain!$B$18</f>
        <v>-77.208429423459378</v>
      </c>
      <c r="F444" s="137">
        <f>2*Main!$B$19*loop_gain!$B$17*loop_gain!$B$18*Helper_calcs!$B$26*Current_limit!B444</f>
        <v>249.82902584493354</v>
      </c>
      <c r="G444" s="137">
        <f t="shared" si="51"/>
        <v>3.3831325081088157</v>
      </c>
      <c r="H444" s="137">
        <f>(Main!$B$19-Current_limit!G444)*Current_limit!G444/(Main!$B$19*loop_gain!$B$17*loop_gain!$B$18)</f>
        <v>0.89313739368514555</v>
      </c>
      <c r="I444" s="137">
        <f t="shared" si="52"/>
        <v>2.9568626063148531</v>
      </c>
      <c r="J444" s="137"/>
      <c r="K444" s="138">
        <f>IF(A444&gt;$B$15,IF(I444&gt;Helper_calcs!$B$27,23,3),0)</f>
        <v>23</v>
      </c>
      <c r="L444" s="139">
        <f t="shared" si="50"/>
        <v>2</v>
      </c>
      <c r="M444" s="139">
        <f t="shared" si="53"/>
        <v>23</v>
      </c>
      <c r="N444" s="137">
        <f t="shared" si="54"/>
        <v>3.375</v>
      </c>
      <c r="O444" s="137">
        <f t="shared" si="55"/>
        <v>3.3548707753479552</v>
      </c>
      <c r="P444" s="140">
        <f>IF(OR(M444=0,M444=3),loop_gain!$B$18,IF(Current_limit!M444=1,Current_limit!$B$12/(2*(Current_limit!N444-Helper_calcs!$B$27)),IF(OR(M444=2,M444=23),(Main!$B$19-Current_limit!O444)*Current_limit!O444/(Main!$B$19*loop_gain!$B$17*(Helper_calcs!$B$26-Helper_calcs!$B$27)),x)))</f>
        <v>374139.46574937657</v>
      </c>
      <c r="Q444" s="137"/>
    </row>
    <row r="445" spans="1:17" x14ac:dyDescent="0.25">
      <c r="A445">
        <f t="shared" si="56"/>
        <v>5.0399999999999361</v>
      </c>
      <c r="B445">
        <f>Main!$B$20/A445</f>
        <v>0.99206349206350464</v>
      </c>
      <c r="D445" s="137">
        <f t="shared" si="49"/>
        <v>0.99206349206350464</v>
      </c>
      <c r="E445" s="137">
        <f>-B445*Main!$B$19-2*Main!$B$19*loop_gain!$B$17*loop_gain!$B$18</f>
        <v>-77.184761904762041</v>
      </c>
      <c r="F445" s="137">
        <f>2*Main!$B$19*loop_gain!$B$17*loop_gain!$B$18*Helper_calcs!$B$26*Current_limit!B445</f>
        <v>249.33333333333644</v>
      </c>
      <c r="G445" s="137">
        <f t="shared" si="51"/>
        <v>3.3769150510585364</v>
      </c>
      <c r="H445" s="137">
        <f>(Main!$B$19-Current_limit!G445)*Current_limit!G445/(Main!$B$19*loop_gain!$B$17*loop_gain!$B$18)</f>
        <v>0.89213925706607755</v>
      </c>
      <c r="I445" s="137">
        <f t="shared" si="52"/>
        <v>2.9578607429339225</v>
      </c>
      <c r="J445" s="137"/>
      <c r="K445" s="138">
        <f>IF(A445&gt;$B$15,IF(I445&gt;Helper_calcs!$B$27,23,3),0)</f>
        <v>23</v>
      </c>
      <c r="L445" s="139">
        <f t="shared" si="50"/>
        <v>2</v>
      </c>
      <c r="M445" s="139">
        <f t="shared" si="53"/>
        <v>23</v>
      </c>
      <c r="N445" s="137">
        <f t="shared" si="54"/>
        <v>3.375</v>
      </c>
      <c r="O445" s="137">
        <f t="shared" si="55"/>
        <v>3.3482142857143282</v>
      </c>
      <c r="P445" s="140">
        <f>IF(OR(M445=0,M445=3),loop_gain!$B$18,IF(Current_limit!M445=1,Current_limit!$B$12/(2*(Current_limit!N445-Helper_calcs!$B$27)),IF(OR(M445=2,M445=23),(Main!$B$19-Current_limit!O445)*Current_limit!O445/(Main!$B$19*loop_gain!$B$17*(Helper_calcs!$B$26-Helper_calcs!$B$27)),x)))</f>
        <v>373684.63010204374</v>
      </c>
      <c r="Q445" s="137"/>
    </row>
    <row r="446" spans="1:17" x14ac:dyDescent="0.25">
      <c r="A446">
        <f t="shared" si="56"/>
        <v>5.0499999999999359</v>
      </c>
      <c r="B446">
        <f>Main!$B$20/A446</f>
        <v>0.99009900990100264</v>
      </c>
      <c r="D446" s="137">
        <f t="shared" si="49"/>
        <v>0.99009900990100264</v>
      </c>
      <c r="E446" s="137">
        <f>-B446*Main!$B$19-2*Main!$B$19*loop_gain!$B$17*loop_gain!$B$18</f>
        <v>-77.161188118812021</v>
      </c>
      <c r="F446" s="137">
        <f>2*Main!$B$19*loop_gain!$B$17*loop_gain!$B$18*Helper_calcs!$B$26*Current_limit!B446</f>
        <v>248.83960396039913</v>
      </c>
      <c r="G446" s="137">
        <f t="shared" si="51"/>
        <v>3.3707214847645153</v>
      </c>
      <c r="H446" s="137">
        <f>(Main!$B$19-Current_limit!G446)*Current_limit!G446/(Main!$B$19*loop_gain!$B$17*loop_gain!$B$18)</f>
        <v>0.89114260077576868</v>
      </c>
      <c r="I446" s="137">
        <f t="shared" si="52"/>
        <v>2.9588573992242329</v>
      </c>
      <c r="J446" s="137"/>
      <c r="K446" s="138">
        <f>IF(A446&gt;$B$15,IF(I446&gt;Helper_calcs!$B$27,23,3),0)</f>
        <v>23</v>
      </c>
      <c r="L446" s="139">
        <f t="shared" si="50"/>
        <v>2</v>
      </c>
      <c r="M446" s="139">
        <f t="shared" si="53"/>
        <v>23</v>
      </c>
      <c r="N446" s="137">
        <f t="shared" si="54"/>
        <v>3.375</v>
      </c>
      <c r="O446" s="137">
        <f t="shared" si="55"/>
        <v>3.3415841584158841</v>
      </c>
      <c r="P446" s="140">
        <f>IF(OR(M446=0,M446=3),loop_gain!$B$18,IF(Current_limit!M446=1,Current_limit!$B$12/(2*(Current_limit!N446-Helper_calcs!$B$27)),IF(OR(M446=2,M446=23),(Main!$B$19-Current_limit!O446)*Current_limit!O446/(Main!$B$19*loop_gain!$B$17*(Helper_calcs!$B$26-Helper_calcs!$B$27)),x)))</f>
        <v>373230.45940679329</v>
      </c>
      <c r="Q446" s="137"/>
    </row>
    <row r="447" spans="1:17" x14ac:dyDescent="0.25">
      <c r="A447">
        <f t="shared" si="56"/>
        <v>5.0599999999999357</v>
      </c>
      <c r="B447">
        <f>Main!$B$20/A447</f>
        <v>0.98814229249013119</v>
      </c>
      <c r="D447" s="137">
        <f t="shared" si="49"/>
        <v>0.98814229249013119</v>
      </c>
      <c r="E447" s="137">
        <f>-B447*Main!$B$19-2*Main!$B$19*loop_gain!$B$17*loop_gain!$B$18</f>
        <v>-77.137707509881565</v>
      </c>
      <c r="F447" s="137">
        <f>2*Main!$B$19*loop_gain!$B$17*loop_gain!$B$18*Helper_calcs!$B$26*Current_limit!B447</f>
        <v>248.34782608695963</v>
      </c>
      <c r="G447" s="137">
        <f t="shared" si="51"/>
        <v>3.364551665602272</v>
      </c>
      <c r="H447" s="137">
        <f>(Main!$B$19-Current_limit!G447)*Current_limit!G447/(Main!$B$19*loop_gain!$B$17*loop_gain!$B$18)</f>
        <v>0.890147428821086</v>
      </c>
      <c r="I447" s="137">
        <f t="shared" si="52"/>
        <v>2.9598525711789128</v>
      </c>
      <c r="J447" s="137"/>
      <c r="K447" s="138">
        <f>IF(A447&gt;$B$15,IF(I447&gt;Helper_calcs!$B$27,23,3),0)</f>
        <v>23</v>
      </c>
      <c r="L447" s="139">
        <f t="shared" si="50"/>
        <v>2</v>
      </c>
      <c r="M447" s="139">
        <f t="shared" si="53"/>
        <v>23</v>
      </c>
      <c r="N447" s="137">
        <f t="shared" si="54"/>
        <v>3.375</v>
      </c>
      <c r="O447" s="137">
        <f t="shared" si="55"/>
        <v>3.3349802371541926</v>
      </c>
      <c r="P447" s="140">
        <f>IF(OR(M447=0,M447=3),loop_gain!$B$18,IF(Current_limit!M447=1,Current_limit!$B$12/(2*(Current_limit!N447-Helper_calcs!$B$27)),IF(OR(M447=2,M447=23),(Main!$B$19-Current_limit!O447)*Current_limit!O447/(Main!$B$19*loop_gain!$B$17*(Helper_calcs!$B$26-Helper_calcs!$B$27)),x)))</f>
        <v>372776.95644532086</v>
      </c>
      <c r="Q447" s="137"/>
    </row>
    <row r="448" spans="1:17" x14ac:dyDescent="0.25">
      <c r="A448">
        <f t="shared" si="56"/>
        <v>5.0699999999999354</v>
      </c>
      <c r="B448">
        <f>Main!$B$20/A448</f>
        <v>0.98619329388561416</v>
      </c>
      <c r="D448" s="137">
        <f t="shared" si="49"/>
        <v>0.98619329388561416</v>
      </c>
      <c r="E448" s="137">
        <f>-B448*Main!$B$19-2*Main!$B$19*loop_gain!$B$17*loop_gain!$B$18</f>
        <v>-77.114319526627355</v>
      </c>
      <c r="F448" s="137">
        <f>2*Main!$B$19*loop_gain!$B$17*loop_gain!$B$18*Helper_calcs!$B$26*Current_limit!B448</f>
        <v>247.85798816568359</v>
      </c>
      <c r="G448" s="137">
        <f t="shared" si="51"/>
        <v>3.358405451143422</v>
      </c>
      <c r="H448" s="137">
        <f>(Main!$B$19-Current_limit!G448)*Current_limit!G448/(Main!$B$19*loop_gain!$B$17*loop_gain!$B$18)</f>
        <v>0.88915374508122602</v>
      </c>
      <c r="I448" s="137">
        <f t="shared" si="52"/>
        <v>2.9608462549187733</v>
      </c>
      <c r="J448" s="137"/>
      <c r="K448" s="138">
        <f>IF(A448&gt;$B$15,IF(I448&gt;Helper_calcs!$B$27,23,3),0)</f>
        <v>23</v>
      </c>
      <c r="L448" s="139">
        <f t="shared" si="50"/>
        <v>2</v>
      </c>
      <c r="M448" s="139">
        <f t="shared" si="53"/>
        <v>23</v>
      </c>
      <c r="N448" s="137">
        <f t="shared" si="54"/>
        <v>3.375</v>
      </c>
      <c r="O448" s="137">
        <f t="shared" si="55"/>
        <v>3.3284023668639477</v>
      </c>
      <c r="P448" s="140">
        <f>IF(OR(M448=0,M448=3),loop_gain!$B$18,IF(Current_limit!M448=1,Current_limit!$B$12/(2*(Current_limit!N448-Helper_calcs!$B$27)),IF(OR(M448=2,M448=23),(Main!$B$19-Current_limit!O448)*Current_limit!O448/(Main!$B$19*loop_gain!$B$17*(Helper_calcs!$B$26-Helper_calcs!$B$27)),x)))</f>
        <v>372324.12392443034</v>
      </c>
      <c r="Q448" s="137"/>
    </row>
    <row r="449" spans="1:17" x14ac:dyDescent="0.25">
      <c r="A449">
        <f t="shared" si="56"/>
        <v>5.0799999999999352</v>
      </c>
      <c r="B449">
        <f>Main!$B$20/A449</f>
        <v>0.98425196850394958</v>
      </c>
      <c r="D449" s="137">
        <f t="shared" si="49"/>
        <v>0.98425196850394958</v>
      </c>
      <c r="E449" s="137">
        <f>-B449*Main!$B$19-2*Main!$B$19*loop_gain!$B$17*loop_gain!$B$18</f>
        <v>-77.091023622047388</v>
      </c>
      <c r="F449" s="137">
        <f>2*Main!$B$19*loop_gain!$B$17*loop_gain!$B$18*Helper_calcs!$B$26*Current_limit!B449</f>
        <v>247.37007874016058</v>
      </c>
      <c r="G449" s="137">
        <f t="shared" si="51"/>
        <v>3.3522827001427791</v>
      </c>
      <c r="H449" s="137">
        <f>(Main!$B$19-Current_limit!G449)*Current_limit!G449/(Main!$B$19*loop_gain!$B$17*loop_gain!$B$18)</f>
        <v>0.88816155330995072</v>
      </c>
      <c r="I449" s="137">
        <f t="shared" si="52"/>
        <v>2.9618384466900447</v>
      </c>
      <c r="J449" s="137"/>
      <c r="K449" s="138">
        <f>IF(A449&gt;$B$15,IF(I449&gt;Helper_calcs!$B$27,23,3),0)</f>
        <v>23</v>
      </c>
      <c r="L449" s="139">
        <f t="shared" si="50"/>
        <v>2</v>
      </c>
      <c r="M449" s="139">
        <f t="shared" si="53"/>
        <v>23</v>
      </c>
      <c r="N449" s="137">
        <f t="shared" si="54"/>
        <v>3.375</v>
      </c>
      <c r="O449" s="137">
        <f t="shared" si="55"/>
        <v>3.3218503937008297</v>
      </c>
      <c r="P449" s="140">
        <f>IF(OR(M449=0,M449=3),loop_gain!$B$18,IF(Current_limit!M449=1,Current_limit!$B$12/(2*(Current_limit!N449-Helper_calcs!$B$27)),IF(OR(M449=2,M449=23),(Main!$B$19-Current_limit!O449)*Current_limit!O449/(Main!$B$19*loop_gain!$B$17*(Helper_calcs!$B$26-Helper_calcs!$B$27)),x)))</f>
        <v>371871.96447729098</v>
      </c>
      <c r="Q449" s="137"/>
    </row>
    <row r="450" spans="1:17" x14ac:dyDescent="0.25">
      <c r="A450">
        <f t="shared" si="56"/>
        <v>5.089999999999935</v>
      </c>
      <c r="B450">
        <f>Main!$B$20/A450</f>
        <v>0.98231827111985537</v>
      </c>
      <c r="D450" s="137">
        <f t="shared" si="49"/>
        <v>0.98231827111985537</v>
      </c>
      <c r="E450" s="137">
        <f>-B450*Main!$B$19-2*Main!$B$19*loop_gain!$B$17*loop_gain!$B$18</f>
        <v>-77.067819253438245</v>
      </c>
      <c r="F450" s="137">
        <f>2*Main!$B$19*loop_gain!$B$17*loop_gain!$B$18*Helper_calcs!$B$26*Current_limit!B450</f>
        <v>246.88408644401096</v>
      </c>
      <c r="G450" s="137">
        <f t="shared" si="51"/>
        <v>3.3461832725256828</v>
      </c>
      <c r="H450" s="137">
        <f>(Main!$B$19-Current_limit!G450)*Current_limit!G450/(Main!$B$19*loop_gain!$B$17*loop_gain!$B$18)</f>
        <v>0.88717085713779154</v>
      </c>
      <c r="I450" s="137">
        <f t="shared" si="52"/>
        <v>2.9628291428622062</v>
      </c>
      <c r="J450" s="137"/>
      <c r="K450" s="138">
        <f>IF(A450&gt;$B$15,IF(I450&gt;Helper_calcs!$B$27,23,3),0)</f>
        <v>23</v>
      </c>
      <c r="L450" s="139">
        <f t="shared" si="50"/>
        <v>2</v>
      </c>
      <c r="M450" s="139">
        <f t="shared" si="53"/>
        <v>23</v>
      </c>
      <c r="N450" s="137">
        <f t="shared" si="54"/>
        <v>3.375</v>
      </c>
      <c r="O450" s="137">
        <f t="shared" si="55"/>
        <v>3.3153241650295118</v>
      </c>
      <c r="P450" s="140">
        <f>IF(OR(M450=0,M450=3),loop_gain!$B$18,IF(Current_limit!M450=1,Current_limit!$B$12/(2*(Current_limit!N450-Helper_calcs!$B$27)),IF(OR(M450=2,M450=23),(Main!$B$19-Current_limit!O450)*Current_limit!O450/(Main!$B$19*loop_gain!$B$17*(Helper_calcs!$B$26-Helper_calcs!$B$27)),x)))</f>
        <v>371420.48066467373</v>
      </c>
      <c r="Q450" s="137"/>
    </row>
    <row r="451" spans="1:17" x14ac:dyDescent="0.25">
      <c r="A451">
        <f t="shared" si="56"/>
        <v>5.0999999999999348</v>
      </c>
      <c r="B451">
        <f>Main!$B$20/A451</f>
        <v>0.9803921568627576</v>
      </c>
      <c r="D451" s="137">
        <f t="shared" si="49"/>
        <v>0.9803921568627576</v>
      </c>
      <c r="E451" s="137">
        <f>-B451*Main!$B$19-2*Main!$B$19*loop_gain!$B$17*loop_gain!$B$18</f>
        <v>-77.044705882353071</v>
      </c>
      <c r="F451" s="137">
        <f>2*Main!$B$19*loop_gain!$B$17*loop_gain!$B$18*Helper_calcs!$B$26*Current_limit!B451</f>
        <v>246.4000000000031</v>
      </c>
      <c r="G451" s="137">
        <f t="shared" si="51"/>
        <v>3.3401070293754347</v>
      </c>
      <c r="H451" s="137">
        <f>(Main!$B$19-Current_limit!G451)*Current_limit!G451/(Main!$B$19*loop_gain!$B$17*loop_gain!$B$18)</f>
        <v>0.88618166007420429</v>
      </c>
      <c r="I451" s="137">
        <f t="shared" si="52"/>
        <v>2.9638183399257976</v>
      </c>
      <c r="J451" s="137"/>
      <c r="K451" s="138">
        <f>IF(A451&gt;$B$15,IF(I451&gt;Helper_calcs!$B$27,23,3),0)</f>
        <v>23</v>
      </c>
      <c r="L451" s="139">
        <f t="shared" si="50"/>
        <v>2</v>
      </c>
      <c r="M451" s="139">
        <f t="shared" si="53"/>
        <v>23</v>
      </c>
      <c r="N451" s="137">
        <f t="shared" si="54"/>
        <v>3.375</v>
      </c>
      <c r="O451" s="137">
        <f t="shared" si="55"/>
        <v>3.3088235294118071</v>
      </c>
      <c r="P451" s="140">
        <f>IF(OR(M451=0,M451=3),loop_gain!$B$18,IF(Current_limit!M451=1,Current_limit!$B$12/(2*(Current_limit!N451-Helper_calcs!$B$27)),IF(OR(M451=2,M451=23),(Main!$B$19-Current_limit!O451)*Current_limit!O451/(Main!$B$19*loop_gain!$B$17*(Helper_calcs!$B$26-Helper_calcs!$B$27)),x)))</f>
        <v>370969.67497616715</v>
      </c>
      <c r="Q451" s="137"/>
    </row>
    <row r="452" spans="1:17" x14ac:dyDescent="0.25">
      <c r="A452">
        <f t="shared" si="56"/>
        <v>5.1099999999999346</v>
      </c>
      <c r="B452">
        <f>Main!$B$20/A452</f>
        <v>0.97847358121331973</v>
      </c>
      <c r="D452" s="137">
        <f t="shared" si="49"/>
        <v>0.97847358121331973</v>
      </c>
      <c r="E452" s="137">
        <f>-B452*Main!$B$19-2*Main!$B$19*loop_gain!$B$17*loop_gain!$B$18</f>
        <v>-77.021682974559823</v>
      </c>
      <c r="F452" s="137">
        <f>2*Main!$B$19*loop_gain!$B$17*loop_gain!$B$18*Helper_calcs!$B$26*Current_limit!B452</f>
        <v>245.91780821918118</v>
      </c>
      <c r="G452" s="137">
        <f t="shared" si="51"/>
        <v>3.3340538329209317</v>
      </c>
      <c r="H452" s="137">
        <f>(Main!$B$19-Current_limit!G452)*Current_limit!G452/(Main!$B$19*loop_gain!$B$17*loop_gain!$B$18)</f>
        <v>0.88519396550969465</v>
      </c>
      <c r="I452" s="137">
        <f t="shared" si="52"/>
        <v>2.9648060344903016</v>
      </c>
      <c r="J452" s="137"/>
      <c r="K452" s="138">
        <f>IF(A452&gt;$B$15,IF(I452&gt;Helper_calcs!$B$27,23,3),0)</f>
        <v>23</v>
      </c>
      <c r="L452" s="139">
        <f t="shared" si="50"/>
        <v>2</v>
      </c>
      <c r="M452" s="139">
        <f t="shared" si="53"/>
        <v>23</v>
      </c>
      <c r="N452" s="137">
        <f t="shared" si="54"/>
        <v>3.375</v>
      </c>
      <c r="O452" s="137">
        <f t="shared" si="55"/>
        <v>3.302348336594954</v>
      </c>
      <c r="P452" s="140">
        <f>IF(OR(M452=0,M452=3),loop_gain!$B$18,IF(Current_limit!M452=1,Current_limit!$B$12/(2*(Current_limit!N452-Helper_calcs!$B$27)),IF(OR(M452=2,M452=23),(Main!$B$19-Current_limit!O452)*Current_limit!O452/(Main!$B$19*loop_gain!$B$17*(Helper_calcs!$B$26-Helper_calcs!$B$27)),x)))</f>
        <v>370519.54983137239</v>
      </c>
      <c r="Q452" s="137"/>
    </row>
    <row r="453" spans="1:17" x14ac:dyDescent="0.25">
      <c r="A453">
        <f t="shared" si="56"/>
        <v>5.1199999999999344</v>
      </c>
      <c r="B453">
        <f>Main!$B$20/A453</f>
        <v>0.97656250000001255</v>
      </c>
      <c r="D453" s="137">
        <f t="shared" si="49"/>
        <v>0.97656250000001255</v>
      </c>
      <c r="E453" s="137">
        <f>-B453*Main!$B$19-2*Main!$B$19*loop_gain!$B$17*loop_gain!$B$18</f>
        <v>-76.998750000000143</v>
      </c>
      <c r="F453" s="137">
        <f>2*Main!$B$19*loop_gain!$B$17*loop_gain!$B$18*Helper_calcs!$B$26*Current_limit!B453</f>
        <v>245.4375000000031</v>
      </c>
      <c r="G453" s="137">
        <f t="shared" si="51"/>
        <v>3.3280235465244994</v>
      </c>
      <c r="H453" s="137">
        <f>(Main!$B$19-Current_limit!G453)*Current_limit!G453/(Main!$B$19*loop_gain!$B$17*loop_gain!$B$18)</f>
        <v>0.88420777671790729</v>
      </c>
      <c r="I453" s="137">
        <f t="shared" si="52"/>
        <v>2.9657922232820901</v>
      </c>
      <c r="J453" s="137"/>
      <c r="K453" s="138">
        <f>IF(A453&gt;$B$15,IF(I453&gt;Helper_calcs!$B$27,23,3),0)</f>
        <v>23</v>
      </c>
      <c r="L453" s="139">
        <f t="shared" si="50"/>
        <v>2</v>
      </c>
      <c r="M453" s="139">
        <f t="shared" si="53"/>
        <v>23</v>
      </c>
      <c r="N453" s="137">
        <f t="shared" si="54"/>
        <v>3.375</v>
      </c>
      <c r="O453" s="137">
        <f t="shared" si="55"/>
        <v>3.2958984375000422</v>
      </c>
      <c r="P453" s="140">
        <f>IF(OR(M453=0,M453=3),loop_gain!$B$18,IF(Current_limit!M453=1,Current_limit!$B$12/(2*(Current_limit!N453-Helper_calcs!$B$27)),IF(OR(M453=2,M453=23),(Main!$B$19-Current_limit!O453)*Current_limit!O453/(Main!$B$19*loop_gain!$B$17*(Helper_calcs!$B$26-Helper_calcs!$B$27)),x)))</f>
        <v>370070.10758107953</v>
      </c>
      <c r="Q453" s="137"/>
    </row>
    <row r="454" spans="1:17" x14ac:dyDescent="0.25">
      <c r="A454">
        <f t="shared" si="56"/>
        <v>5.1299999999999342</v>
      </c>
      <c r="B454">
        <f>Main!$B$20/A454</f>
        <v>0.97465886939572399</v>
      </c>
      <c r="D454" s="137">
        <f t="shared" si="49"/>
        <v>0.97465886939572399</v>
      </c>
      <c r="E454" s="137">
        <f>-B454*Main!$B$19-2*Main!$B$19*loop_gain!$B$17*loop_gain!$B$18</f>
        <v>-76.975906432748673</v>
      </c>
      <c r="F454" s="137">
        <f>2*Main!$B$19*loop_gain!$B$17*loop_gain!$B$18*Helper_calcs!$B$26*Current_limit!B454</f>
        <v>244.95906432748848</v>
      </c>
      <c r="G454" s="137">
        <f t="shared" si="51"/>
        <v>3.3220160346697929</v>
      </c>
      <c r="H454" s="137">
        <f>(Main!$B$19-Current_limit!G454)*Current_limit!G454/(Main!$B$19*loop_gain!$B$17*loop_gain!$B$18)</f>
        <v>0.88322309685766853</v>
      </c>
      <c r="I454" s="137">
        <f t="shared" si="52"/>
        <v>2.9667769031423297</v>
      </c>
      <c r="J454" s="137"/>
      <c r="K454" s="138">
        <f>IF(A454&gt;$B$15,IF(I454&gt;Helper_calcs!$B$27,23,3),0)</f>
        <v>23</v>
      </c>
      <c r="L454" s="139">
        <f t="shared" si="50"/>
        <v>2</v>
      </c>
      <c r="M454" s="139">
        <f t="shared" si="53"/>
        <v>23</v>
      </c>
      <c r="N454" s="137">
        <f t="shared" si="54"/>
        <v>3.375</v>
      </c>
      <c r="O454" s="137">
        <f t="shared" si="55"/>
        <v>3.2894736842105683</v>
      </c>
      <c r="P454" s="140">
        <f>IF(OR(M454=0,M454=3),loop_gain!$B$18,IF(Current_limit!M454=1,Current_limit!$B$12/(2*(Current_limit!N454-Helper_calcs!$B$27)),IF(OR(M454=2,M454=23),(Main!$B$19-Current_limit!O454)*Current_limit!O454/(Main!$B$19*loop_gain!$B$17*(Helper_calcs!$B$26-Helper_calcs!$B$27)),x)))</f>
        <v>369621.35050842323</v>
      </c>
      <c r="Q454" s="137"/>
    </row>
    <row r="455" spans="1:17" x14ac:dyDescent="0.25">
      <c r="A455">
        <f t="shared" si="56"/>
        <v>5.139999999999934</v>
      </c>
      <c r="B455">
        <f>Main!$B$20/A455</f>
        <v>0.97276264591440942</v>
      </c>
      <c r="D455" s="137">
        <f t="shared" si="49"/>
        <v>0.97276264591440942</v>
      </c>
      <c r="E455" s="137">
        <f>-B455*Main!$B$19-2*Main!$B$19*loop_gain!$B$17*loop_gain!$B$18</f>
        <v>-76.953151750972893</v>
      </c>
      <c r="F455" s="137">
        <f>2*Main!$B$19*loop_gain!$B$17*loop_gain!$B$18*Helper_calcs!$B$26*Current_limit!B455</f>
        <v>244.48249027237665</v>
      </c>
      <c r="G455" s="137">
        <f t="shared" si="51"/>
        <v>3.316031162949943</v>
      </c>
      <c r="H455" s="137">
        <f>(Main!$B$19-Current_limit!G455)*Current_limit!G455/(Main!$B$19*loop_gain!$B$17*loop_gain!$B$18)</f>
        <v>0.88223992897500514</v>
      </c>
      <c r="I455" s="137">
        <f t="shared" si="52"/>
        <v>2.967760071024995</v>
      </c>
      <c r="J455" s="137"/>
      <c r="K455" s="138">
        <f>IF(A455&gt;$B$15,IF(I455&gt;Helper_calcs!$B$27,23,3),0)</f>
        <v>23</v>
      </c>
      <c r="L455" s="139">
        <f t="shared" si="50"/>
        <v>2</v>
      </c>
      <c r="M455" s="139">
        <f t="shared" si="53"/>
        <v>23</v>
      </c>
      <c r="N455" s="137">
        <f t="shared" si="54"/>
        <v>3.375</v>
      </c>
      <c r="O455" s="137">
        <f t="shared" si="55"/>
        <v>3.283073929961132</v>
      </c>
      <c r="P455" s="140">
        <f>IF(OR(M455=0,M455=3),loop_gain!$B$18,IF(Current_limit!M455=1,Current_limit!$B$12/(2*(Current_limit!N455-Helper_calcs!$B$27)),IF(OR(M455=2,M455=23),(Main!$B$19-Current_limit!O455)*Current_limit!O455/(Main!$B$19*loop_gain!$B$17*(Helper_calcs!$B$26-Helper_calcs!$B$27)),x)))</f>
        <v>369173.28083002003</v>
      </c>
      <c r="Q455" s="137"/>
    </row>
    <row r="456" spans="1:17" x14ac:dyDescent="0.25">
      <c r="A456">
        <f t="shared" si="56"/>
        <v>5.1499999999999337</v>
      </c>
      <c r="B456">
        <f>Main!$B$20/A456</f>
        <v>0.97087378640777944</v>
      </c>
      <c r="D456" s="137">
        <f t="shared" si="49"/>
        <v>0.97087378640777944</v>
      </c>
      <c r="E456" s="137">
        <f>-B456*Main!$B$19-2*Main!$B$19*loop_gain!$B$17*loop_gain!$B$18</f>
        <v>-76.930485436893335</v>
      </c>
      <c r="F456" s="137">
        <f>2*Main!$B$19*loop_gain!$B$17*loop_gain!$B$18*Helper_calcs!$B$26*Current_limit!B456</f>
        <v>244.00776699029433</v>
      </c>
      <c r="G456" s="137">
        <f t="shared" si="51"/>
        <v>3.3100687980558092</v>
      </c>
      <c r="H456" s="137">
        <f>(Main!$B$19-Current_limit!G456)*Current_limit!G456/(Main!$B$19*loop_gain!$B$17*loop_gain!$B$18)</f>
        <v>0.88125827600511908</v>
      </c>
      <c r="I456" s="137">
        <f t="shared" si="52"/>
        <v>2.9687417239948801</v>
      </c>
      <c r="J456" s="137"/>
      <c r="K456" s="138">
        <f>IF(A456&gt;$B$15,IF(I456&gt;Helper_calcs!$B$27,23,3),0)</f>
        <v>23</v>
      </c>
      <c r="L456" s="139">
        <f t="shared" si="50"/>
        <v>2</v>
      </c>
      <c r="M456" s="139">
        <f t="shared" si="53"/>
        <v>23</v>
      </c>
      <c r="N456" s="137">
        <f t="shared" si="54"/>
        <v>3.375</v>
      </c>
      <c r="O456" s="137">
        <f t="shared" si="55"/>
        <v>3.2766990291262554</v>
      </c>
      <c r="P456" s="140">
        <f>IF(OR(M456=0,M456=3),loop_gain!$B$18,IF(Current_limit!M456=1,Current_limit!$B$12/(2*(Current_limit!N456-Helper_calcs!$B$27)),IF(OR(M456=2,M456=23),(Main!$B$19-Current_limit!O456)*Current_limit!O456/(Main!$B$19*loop_gain!$B$17*(Helper_calcs!$B$26-Helper_calcs!$B$27)),x)))</f>
        <v>368725.90069708612</v>
      </c>
      <c r="Q456" s="137"/>
    </row>
    <row r="457" spans="1:17" x14ac:dyDescent="0.25">
      <c r="A457">
        <f t="shared" si="56"/>
        <v>5.1599999999999335</v>
      </c>
      <c r="B457">
        <f>Main!$B$20/A457</f>
        <v>0.96899224806202799</v>
      </c>
      <c r="D457" s="137">
        <f t="shared" si="49"/>
        <v>0.96899224806202799</v>
      </c>
      <c r="E457" s="137">
        <f>-B457*Main!$B$19-2*Main!$B$19*loop_gain!$B$17*loop_gain!$B$18</f>
        <v>-76.907906976744329</v>
      </c>
      <c r="F457" s="137">
        <f>2*Main!$B$19*loop_gain!$B$17*loop_gain!$B$18*Helper_calcs!$B$26*Current_limit!B457</f>
        <v>243.53488372093332</v>
      </c>
      <c r="G457" s="137">
        <f t="shared" si="51"/>
        <v>3.3041288077644126</v>
      </c>
      <c r="H457" s="137">
        <f>(Main!$B$19-Current_limit!G457)*Current_limit!G457/(Main!$B$19*loop_gain!$B$17*loop_gain!$B$18)</f>
        <v>0.88027814077433453</v>
      </c>
      <c r="I457" s="137">
        <f t="shared" si="52"/>
        <v>2.9697218592256629</v>
      </c>
      <c r="J457" s="137"/>
      <c r="K457" s="138">
        <f>IF(A457&gt;$B$15,IF(I457&gt;Helper_calcs!$B$27,23,3),0)</f>
        <v>23</v>
      </c>
      <c r="L457" s="139">
        <f t="shared" si="50"/>
        <v>2</v>
      </c>
      <c r="M457" s="139">
        <f t="shared" si="53"/>
        <v>23</v>
      </c>
      <c r="N457" s="137">
        <f t="shared" si="54"/>
        <v>3.375</v>
      </c>
      <c r="O457" s="137">
        <f t="shared" si="55"/>
        <v>3.2703488372093443</v>
      </c>
      <c r="P457" s="140">
        <f>IF(OR(M457=0,M457=3),loop_gain!$B$18,IF(Current_limit!M457=1,Current_limit!$B$12/(2*(Current_limit!N457-Helper_calcs!$B$27)),IF(OR(M457=2,M457=23),(Main!$B$19-Current_limit!O457)*Current_limit!O457/(Main!$B$19*loop_gain!$B$17*(Helper_calcs!$B$26-Helper_calcs!$B$27)),x)))</f>
        <v>368279.21219653799</v>
      </c>
      <c r="Q457" s="137"/>
    </row>
    <row r="458" spans="1:17" x14ac:dyDescent="0.25">
      <c r="A458">
        <f t="shared" si="56"/>
        <v>5.1699999999999333</v>
      </c>
      <c r="B458">
        <f>Main!$B$20/A458</f>
        <v>0.96711798839459662</v>
      </c>
      <c r="D458" s="137">
        <f t="shared" si="49"/>
        <v>0.96711798839459662</v>
      </c>
      <c r="E458" s="137">
        <f>-B458*Main!$B$19-2*Main!$B$19*loop_gain!$B$17*loop_gain!$B$18</f>
        <v>-76.885415860735151</v>
      </c>
      <c r="F458" s="137">
        <f>2*Main!$B$19*loop_gain!$B$17*loop_gain!$B$18*Helper_calcs!$B$26*Current_limit!B458</f>
        <v>243.06382978723713</v>
      </c>
      <c r="G458" s="137">
        <f t="shared" si="51"/>
        <v>3.2982110609275042</v>
      </c>
      <c r="H458" s="137">
        <f>(Main!$B$19-Current_limit!G458)*Current_limit!G458/(Main!$B$19*loop_gain!$B$17*loop_gain!$B$18)</f>
        <v>0.87929952600200756</v>
      </c>
      <c r="I458" s="137">
        <f t="shared" si="52"/>
        <v>2.9707004739979914</v>
      </c>
      <c r="J458" s="137"/>
      <c r="K458" s="138">
        <f>IF(A458&gt;$B$15,IF(I458&gt;Helper_calcs!$B$27,23,3),0)</f>
        <v>23</v>
      </c>
      <c r="L458" s="139">
        <f t="shared" si="50"/>
        <v>2</v>
      </c>
      <c r="M458" s="139">
        <f t="shared" si="53"/>
        <v>23</v>
      </c>
      <c r="N458" s="137">
        <f t="shared" si="54"/>
        <v>3.375</v>
      </c>
      <c r="O458" s="137">
        <f t="shared" si="55"/>
        <v>3.2640232108317635</v>
      </c>
      <c r="P458" s="140">
        <f>IF(OR(M458=0,M458=3),loop_gain!$B$18,IF(Current_limit!M458=1,Current_limit!$B$12/(2*(Current_limit!N458-Helper_calcs!$B$27)),IF(OR(M458=2,M458=23),(Main!$B$19-Current_limit!O458)*Current_limit!O458/(Main!$B$19*loop_gain!$B$17*(Helper_calcs!$B$26-Helper_calcs!$B$27)),x)))</f>
        <v>367833.21735207265</v>
      </c>
      <c r="Q458" s="137"/>
    </row>
    <row r="459" spans="1:17" x14ac:dyDescent="0.25">
      <c r="A459">
        <f t="shared" si="56"/>
        <v>5.1799999999999331</v>
      </c>
      <c r="B459">
        <f>Main!$B$20/A459</f>
        <v>0.96525096525097775</v>
      </c>
      <c r="D459" s="137">
        <f t="shared" si="49"/>
        <v>0.96525096525097775</v>
      </c>
      <c r="E459" s="137">
        <f>-B459*Main!$B$19-2*Main!$B$19*loop_gain!$B$17*loop_gain!$B$18</f>
        <v>-76.863011583011712</v>
      </c>
      <c r="F459" s="137">
        <f>2*Main!$B$19*loop_gain!$B$17*loop_gain!$B$18*Helper_calcs!$B$26*Current_limit!B459</f>
        <v>242.59459459459768</v>
      </c>
      <c r="G459" s="137">
        <f t="shared" si="51"/>
        <v>3.2923154274602764</v>
      </c>
      <c r="H459" s="137">
        <f>(Main!$B$19-Current_limit!G459)*Current_limit!G459/(Main!$B$19*loop_gain!$B$17*loop_gain!$B$18)</f>
        <v>0.87832243430240131</v>
      </c>
      <c r="I459" s="137">
        <f t="shared" si="52"/>
        <v>2.9716775656976018</v>
      </c>
      <c r="J459" s="137"/>
      <c r="K459" s="138">
        <f>IF(A459&gt;$B$15,IF(I459&gt;Helper_calcs!$B$27,23,3),0)</f>
        <v>23</v>
      </c>
      <c r="L459" s="139">
        <f t="shared" si="50"/>
        <v>2</v>
      </c>
      <c r="M459" s="139">
        <f t="shared" si="53"/>
        <v>23</v>
      </c>
      <c r="N459" s="137">
        <f t="shared" si="54"/>
        <v>3.375</v>
      </c>
      <c r="O459" s="137">
        <f t="shared" si="55"/>
        <v>3.2577220077220499</v>
      </c>
      <c r="P459" s="140">
        <f>IF(OR(M459=0,M459=3),loop_gain!$B$18,IF(Current_limit!M459=1,Current_limit!$B$12/(2*(Current_limit!N459-Helper_calcs!$B$27)),IF(OR(M459=2,M459=23),(Main!$B$19-Current_limit!O459)*Current_limit!O459/(Main!$B$19*loop_gain!$B$17*(Helper_calcs!$B$26-Helper_calcs!$B$27)),x)))</f>
        <v>367387.91812523239</v>
      </c>
      <c r="Q459" s="137"/>
    </row>
    <row r="460" spans="1:17" x14ac:dyDescent="0.25">
      <c r="A460">
        <f t="shared" si="56"/>
        <v>5.1899999999999329</v>
      </c>
      <c r="B460">
        <f>Main!$B$20/A460</f>
        <v>0.96339113680155386</v>
      </c>
      <c r="D460" s="137">
        <f t="shared" si="49"/>
        <v>0.96339113680155386</v>
      </c>
      <c r="E460" s="137">
        <f>-B460*Main!$B$19-2*Main!$B$19*loop_gain!$B$17*loop_gain!$B$18</f>
        <v>-76.840693641618628</v>
      </c>
      <c r="F460" s="137">
        <f>2*Main!$B$19*loop_gain!$B$17*loop_gain!$B$18*Helper_calcs!$B$26*Current_limit!B460</f>
        <v>242.12716763006088</v>
      </c>
      <c r="G460" s="137">
        <f t="shared" si="51"/>
        <v>3.2864417783302335</v>
      </c>
      <c r="H460" s="137">
        <f>(Main!$B$19-Current_limit!G460)*Current_limit!G460/(Main!$B$19*loop_gain!$B$17*loop_gain!$B$18)</f>
        <v>0.8773468681865324</v>
      </c>
      <c r="I460" s="137">
        <f t="shared" si="52"/>
        <v>2.9726531318134719</v>
      </c>
      <c r="J460" s="137"/>
      <c r="K460" s="138">
        <f>IF(A460&gt;$B$15,IF(I460&gt;Helper_calcs!$B$27,23,3),0)</f>
        <v>23</v>
      </c>
      <c r="L460" s="139">
        <f t="shared" si="50"/>
        <v>2</v>
      </c>
      <c r="M460" s="139">
        <f t="shared" si="53"/>
        <v>23</v>
      </c>
      <c r="N460" s="137">
        <f t="shared" si="54"/>
        <v>3.375</v>
      </c>
      <c r="O460" s="137">
        <f t="shared" si="55"/>
        <v>3.2514450867052442</v>
      </c>
      <c r="P460" s="140">
        <f>IF(OR(M460=0,M460=3),loop_gain!$B$18,IF(Current_limit!M460=1,Current_limit!$B$12/(2*(Current_limit!N460-Helper_calcs!$B$27)),IF(OR(M460=2,M460=23),(Main!$B$19-Current_limit!O460)*Current_limit!O460/(Main!$B$19*loop_gain!$B$17*(Helper_calcs!$B$26-Helper_calcs!$B$27)),x)))</f>
        <v>366943.31641645066</v>
      </c>
      <c r="Q460" s="137"/>
    </row>
    <row r="461" spans="1:17" x14ac:dyDescent="0.25">
      <c r="A461">
        <f t="shared" si="56"/>
        <v>5.1999999999999327</v>
      </c>
      <c r="B461">
        <f>Main!$B$20/A461</f>
        <v>0.961538461538474</v>
      </c>
      <c r="D461" s="137">
        <f t="shared" si="49"/>
        <v>0.961538461538474</v>
      </c>
      <c r="E461" s="137">
        <f>-B461*Main!$B$19-2*Main!$B$19*loop_gain!$B$17*loop_gain!$B$18</f>
        <v>-76.818461538461676</v>
      </c>
      <c r="F461" s="137">
        <f>2*Main!$B$19*loop_gain!$B$17*loop_gain!$B$18*Helper_calcs!$B$26*Current_limit!B461</f>
        <v>241.66153846154154</v>
      </c>
      <c r="G461" s="137">
        <f t="shared" si="51"/>
        <v>3.2805899855462037</v>
      </c>
      <c r="H461" s="137">
        <f>(Main!$B$19-Current_limit!G461)*Current_limit!G461/(Main!$B$19*loop_gain!$B$17*loop_gain!$B$18)</f>
        <v>0.87637283006398314</v>
      </c>
      <c r="I461" s="137">
        <f t="shared" si="52"/>
        <v>2.9736271699360164</v>
      </c>
      <c r="J461" s="137"/>
      <c r="K461" s="138">
        <f>IF(A461&gt;$B$15,IF(I461&gt;Helper_calcs!$B$27,23,3),0)</f>
        <v>23</v>
      </c>
      <c r="L461" s="139">
        <f t="shared" si="50"/>
        <v>2</v>
      </c>
      <c r="M461" s="139">
        <f t="shared" si="53"/>
        <v>23</v>
      </c>
      <c r="N461" s="137">
        <f t="shared" si="54"/>
        <v>3.375</v>
      </c>
      <c r="O461" s="137">
        <f t="shared" si="55"/>
        <v>3.2451923076923497</v>
      </c>
      <c r="P461" s="140">
        <f>IF(OR(M461=0,M461=3),loop_gain!$B$18,IF(Current_limit!M461=1,Current_limit!$B$12/(2*(Current_limit!N461-Helper_calcs!$B$27)),IF(OR(M461=2,M461=23),(Main!$B$19-Current_limit!O461)*Current_limit!O461/(Main!$B$19*loop_gain!$B$17*(Helper_calcs!$B$26-Helper_calcs!$B$27)),x)))</f>
        <v>366499.41406608099</v>
      </c>
      <c r="Q461" s="137"/>
    </row>
    <row r="462" spans="1:17" x14ac:dyDescent="0.25">
      <c r="A462">
        <f t="shared" si="56"/>
        <v>5.2099999999999325</v>
      </c>
      <c r="B462">
        <f>Main!$B$20/A462</f>
        <v>0.95969289827256521</v>
      </c>
      <c r="D462" s="137">
        <f t="shared" si="49"/>
        <v>0.95969289827256521</v>
      </c>
      <c r="E462" s="137">
        <f>-B462*Main!$B$19-2*Main!$B$19*loop_gain!$B$17*loop_gain!$B$18</f>
        <v>-76.796314779270773</v>
      </c>
      <c r="F462" s="137">
        <f>2*Main!$B$19*loop_gain!$B$17*loop_gain!$B$18*Helper_calcs!$B$26*Current_limit!B462</f>
        <v>241.19769673704721</v>
      </c>
      <c r="G462" s="137">
        <f t="shared" si="51"/>
        <v>3.274759922147505</v>
      </c>
      <c r="H462" s="137">
        <f>(Main!$B$19-Current_limit!G462)*Current_limit!G462/(Main!$B$19*loop_gain!$B$17*loop_gain!$B$18)</f>
        <v>0.87540032224468556</v>
      </c>
      <c r="I462" s="137">
        <f t="shared" si="52"/>
        <v>2.9745996777553136</v>
      </c>
      <c r="J462" s="137"/>
      <c r="K462" s="138">
        <f>IF(A462&gt;$B$15,IF(I462&gt;Helper_calcs!$B$27,23,3),0)</f>
        <v>23</v>
      </c>
      <c r="L462" s="139">
        <f t="shared" si="50"/>
        <v>2</v>
      </c>
      <c r="M462" s="139">
        <f t="shared" si="53"/>
        <v>23</v>
      </c>
      <c r="N462" s="137">
        <f t="shared" si="54"/>
        <v>3.375</v>
      </c>
      <c r="O462" s="137">
        <f t="shared" si="55"/>
        <v>3.2389635316699077</v>
      </c>
      <c r="P462" s="140">
        <f>IF(OR(M462=0,M462=3),loop_gain!$B$18,IF(Current_limit!M462=1,Current_limit!$B$12/(2*(Current_limit!N462-Helper_calcs!$B$27)),IF(OR(M462=2,M462=23),(Main!$B$19-Current_limit!O462)*Current_limit!O462/(Main!$B$19*loop_gain!$B$17*(Helper_calcs!$B$26-Helper_calcs!$B$27)),x)))</f>
        <v>366056.21285540878</v>
      </c>
      <c r="Q462" s="137"/>
    </row>
    <row r="463" spans="1:17" x14ac:dyDescent="0.25">
      <c r="A463">
        <f t="shared" si="56"/>
        <v>5.2199999999999322</v>
      </c>
      <c r="B463">
        <f>Main!$B$20/A463</f>
        <v>0.95785440613028061</v>
      </c>
      <c r="D463" s="137">
        <f t="shared" si="49"/>
        <v>0.95785440613028061</v>
      </c>
      <c r="E463" s="137">
        <f>-B463*Main!$B$19-2*Main!$B$19*loop_gain!$B$17*loop_gain!$B$18</f>
        <v>-76.774252873563356</v>
      </c>
      <c r="F463" s="137">
        <f>2*Main!$B$19*loop_gain!$B$17*loop_gain!$B$18*Helper_calcs!$B$26*Current_limit!B463</f>
        <v>240.73563218391112</v>
      </c>
      <c r="G463" s="137">
        <f t="shared" si="51"/>
        <v>3.2689514621932112</v>
      </c>
      <c r="H463" s="137">
        <f>(Main!$B$19-Current_limit!G463)*Current_limit!G463/(Main!$B$19*loop_gain!$B$17*loop_gain!$B$18)</f>
        <v>0.8744293469406681</v>
      </c>
      <c r="I463" s="137">
        <f t="shared" si="52"/>
        <v>2.975570653059334</v>
      </c>
      <c r="J463" s="137"/>
      <c r="K463" s="138">
        <f>IF(A463&gt;$B$15,IF(I463&gt;Helper_calcs!$B$27,23,3),0)</f>
        <v>23</v>
      </c>
      <c r="L463" s="139">
        <f t="shared" si="50"/>
        <v>2</v>
      </c>
      <c r="M463" s="139">
        <f t="shared" si="53"/>
        <v>23</v>
      </c>
      <c r="N463" s="137">
        <f t="shared" si="54"/>
        <v>3.375</v>
      </c>
      <c r="O463" s="137">
        <f t="shared" si="55"/>
        <v>3.232758620689697</v>
      </c>
      <c r="P463" s="140">
        <f>IF(OR(M463=0,M463=3),loop_gain!$B$18,IF(Current_limit!M463=1,Current_limit!$B$12/(2*(Current_limit!N463-Helper_calcs!$B$27)),IF(OR(M463=2,M463=23),(Main!$B$19-Current_limit!O463)*Current_limit!O463/(Main!$B$19*loop_gain!$B$17*(Helper_calcs!$B$26-Helper_calcs!$B$27)),x)))</f>
        <v>365613.71450764721</v>
      </c>
      <c r="Q463" s="137"/>
    </row>
    <row r="464" spans="1:17" x14ac:dyDescent="0.25">
      <c r="A464">
        <f t="shared" si="56"/>
        <v>5.229999999999932</v>
      </c>
      <c r="B464">
        <f>Main!$B$20/A464</f>
        <v>0.9560229445506816</v>
      </c>
      <c r="D464" s="137">
        <f t="shared" si="49"/>
        <v>0.9560229445506816</v>
      </c>
      <c r="E464" s="137">
        <f>-B464*Main!$B$19-2*Main!$B$19*loop_gain!$B$17*loop_gain!$B$18</f>
        <v>-76.752275334608171</v>
      </c>
      <c r="F464" s="137">
        <f>2*Main!$B$19*loop_gain!$B$17*loop_gain!$B$18*Helper_calcs!$B$26*Current_limit!B464</f>
        <v>240.27533460803366</v>
      </c>
      <c r="G464" s="137">
        <f t="shared" si="51"/>
        <v>3.2631644807515863</v>
      </c>
      <c r="H464" s="137">
        <f>(Main!$B$19-Current_limit!G464)*Current_limit!G464/(Main!$B$19*loop_gain!$B$17*loop_gain!$B$18)</f>
        <v>0.87345990626777792</v>
      </c>
      <c r="I464" s="137">
        <f t="shared" si="52"/>
        <v>2.9765400937322264</v>
      </c>
      <c r="J464" s="137"/>
      <c r="K464" s="138">
        <f>IF(A464&gt;$B$15,IF(I464&gt;Helper_calcs!$B$27,23,3),0)</f>
        <v>23</v>
      </c>
      <c r="L464" s="139">
        <f t="shared" si="50"/>
        <v>2</v>
      </c>
      <c r="M464" s="139">
        <f t="shared" si="53"/>
        <v>23</v>
      </c>
      <c r="N464" s="137">
        <f t="shared" si="54"/>
        <v>3.375</v>
      </c>
      <c r="O464" s="137">
        <f t="shared" si="55"/>
        <v>3.2265774378585506</v>
      </c>
      <c r="P464" s="140">
        <f>IF(OR(M464=0,M464=3),loop_gain!$B$18,IF(Current_limit!M464=1,Current_limit!$B$12/(2*(Current_limit!N464-Helper_calcs!$B$27)),IF(OR(M464=2,M464=23),(Main!$B$19-Current_limit!O464)*Current_limit!O464/(Main!$B$19*loop_gain!$B$17*(Helper_calcs!$B$26-Helper_calcs!$B$27)),x)))</f>
        <v>365171.92068891588</v>
      </c>
      <c r="Q464" s="137"/>
    </row>
    <row r="465" spans="1:17" x14ac:dyDescent="0.25">
      <c r="A465">
        <f t="shared" si="56"/>
        <v>5.2399999999999318</v>
      </c>
      <c r="B465">
        <f>Main!$B$20/A465</f>
        <v>0.95419847328245522</v>
      </c>
      <c r="D465" s="137">
        <f t="shared" si="49"/>
        <v>0.95419847328245522</v>
      </c>
      <c r="E465" s="137">
        <f>-B465*Main!$B$19-2*Main!$B$19*loop_gain!$B$17*loop_gain!$B$18</f>
        <v>-76.730381679389453</v>
      </c>
      <c r="F465" s="137">
        <f>2*Main!$B$19*loop_gain!$B$17*loop_gain!$B$18*Helper_calcs!$B$26*Current_limit!B465</f>
        <v>239.81679389313285</v>
      </c>
      <c r="G465" s="137">
        <f t="shared" si="51"/>
        <v>3.2573988538896583</v>
      </c>
      <c r="H465" s="137">
        <f>(Main!$B$19-Current_limit!G465)*Current_limit!G465/(Main!$B$19*loop_gain!$B$17*loop_gain!$B$18)</f>
        <v>0.87249200224737278</v>
      </c>
      <c r="I465" s="137">
        <f t="shared" si="52"/>
        <v>2.9775079977526309</v>
      </c>
      <c r="J465" s="137"/>
      <c r="K465" s="138">
        <f>IF(A465&gt;$B$15,IF(I465&gt;Helper_calcs!$B$27,23,3),0)</f>
        <v>23</v>
      </c>
      <c r="L465" s="139">
        <f t="shared" si="50"/>
        <v>2</v>
      </c>
      <c r="M465" s="139">
        <f t="shared" si="53"/>
        <v>23</v>
      </c>
      <c r="N465" s="137">
        <f t="shared" si="54"/>
        <v>3.375</v>
      </c>
      <c r="O465" s="137">
        <f t="shared" si="55"/>
        <v>3.2204198473282863</v>
      </c>
      <c r="P465" s="140">
        <f>IF(OR(M465=0,M465=3),loop_gain!$B$18,IF(Current_limit!M465=1,Current_limit!$B$12/(2*(Current_limit!N465-Helper_calcs!$B$27)),IF(OR(M465=2,M465=23),(Main!$B$19-Current_limit!O465)*Current_limit!O465/(Main!$B$19*loop_gain!$B$17*(Helper_calcs!$B$26-Helper_calcs!$B$27)),x)))</f>
        <v>364730.8330092039</v>
      </c>
      <c r="Q465" s="137"/>
    </row>
    <row r="466" spans="1:17" x14ac:dyDescent="0.25">
      <c r="A466">
        <f t="shared" si="56"/>
        <v>5.2499999999999316</v>
      </c>
      <c r="B466">
        <f>Main!$B$20/A466</f>
        <v>0.95238095238096476</v>
      </c>
      <c r="D466" s="137">
        <f t="shared" si="49"/>
        <v>0.95238095238096476</v>
      </c>
      <c r="E466" s="137">
        <f>-B466*Main!$B$19-2*Main!$B$19*loop_gain!$B$17*loop_gain!$B$18</f>
        <v>-76.70857142857156</v>
      </c>
      <c r="F466" s="137">
        <f>2*Main!$B$19*loop_gain!$B$17*loop_gain!$B$18*Helper_calcs!$B$26*Current_limit!B466</f>
        <v>239.36000000000305</v>
      </c>
      <c r="G466" s="137">
        <f t="shared" si="51"/>
        <v>3.2516544586629039</v>
      </c>
      <c r="H466" s="137">
        <f>(Main!$B$19-Current_limit!G466)*Current_limit!G466/(Main!$B$19*loop_gain!$B$17*loop_gain!$B$18)</f>
        <v>0.87152563680798134</v>
      </c>
      <c r="I466" s="137">
        <f t="shared" si="52"/>
        <v>2.9784743631920141</v>
      </c>
      <c r="J466" s="137"/>
      <c r="K466" s="138">
        <f>IF(A466&gt;$B$15,IF(I466&gt;Helper_calcs!$B$27,23,3),0)</f>
        <v>23</v>
      </c>
      <c r="L466" s="139">
        <f t="shared" si="50"/>
        <v>2</v>
      </c>
      <c r="M466" s="139">
        <f t="shared" si="53"/>
        <v>23</v>
      </c>
      <c r="N466" s="137">
        <f t="shared" si="54"/>
        <v>3.375</v>
      </c>
      <c r="O466" s="137">
        <f t="shared" si="55"/>
        <v>3.2142857142857562</v>
      </c>
      <c r="P466" s="140">
        <f>IF(OR(M466=0,M466=3),loop_gain!$B$18,IF(Current_limit!M466=1,Current_limit!$B$12/(2*(Current_limit!N466-Helper_calcs!$B$27)),IF(OR(M466=2,M466=23),(Main!$B$19-Current_limit!O466)*Current_limit!O466/(Main!$B$19*loop_gain!$B$17*(Helper_calcs!$B$26-Helper_calcs!$B$27)),x)))</f>
        <v>364290.45302331756</v>
      </c>
      <c r="Q466" s="137"/>
    </row>
    <row r="467" spans="1:17" x14ac:dyDescent="0.25">
      <c r="A467">
        <f t="shared" si="56"/>
        <v>5.2599999999999314</v>
      </c>
      <c r="B467">
        <f>Main!$B$20/A467</f>
        <v>0.95057034220533554</v>
      </c>
      <c r="D467" s="137">
        <f t="shared" si="49"/>
        <v>0.95057034220533554</v>
      </c>
      <c r="E467" s="137">
        <f>-B467*Main!$B$19-2*Main!$B$19*loop_gain!$B$17*loop_gain!$B$18</f>
        <v>-76.686844106464008</v>
      </c>
      <c r="F467" s="137">
        <f>2*Main!$B$19*loop_gain!$B$17*loop_gain!$B$18*Helper_calcs!$B$26*Current_limit!B467</f>
        <v>238.90494296578251</v>
      </c>
      <c r="G467" s="137">
        <f t="shared" si="51"/>
        <v>3.2459311731051059</v>
      </c>
      <c r="H467" s="137">
        <f>(Main!$B$19-Current_limit!G467)*Current_limit!G467/(Main!$B$19*loop_gain!$B$17*loop_gain!$B$18)</f>
        <v>0.870560811786942</v>
      </c>
      <c r="I467" s="137">
        <f t="shared" si="52"/>
        <v>2.979439188213056</v>
      </c>
      <c r="J467" s="137"/>
      <c r="K467" s="138">
        <f>IF(A467&gt;$B$15,IF(I467&gt;Helper_calcs!$B$27,23,3),0)</f>
        <v>23</v>
      </c>
      <c r="L467" s="139">
        <f t="shared" si="50"/>
        <v>2</v>
      </c>
      <c r="M467" s="139">
        <f t="shared" si="53"/>
        <v>23</v>
      </c>
      <c r="N467" s="137">
        <f t="shared" si="54"/>
        <v>3.375</v>
      </c>
      <c r="O467" s="137">
        <f t="shared" si="55"/>
        <v>3.2081749049430073</v>
      </c>
      <c r="P467" s="140">
        <f>IF(OR(M467=0,M467=3),loop_gain!$B$18,IF(Current_limit!M467=1,Current_limit!$B$12/(2*(Current_limit!N467-Helper_calcs!$B$27)),IF(OR(M467=2,M467=23),(Main!$B$19-Current_limit!O467)*Current_limit!O467/(Main!$B$19*loop_gain!$B$17*(Helper_calcs!$B$26-Helper_calcs!$B$27)),x)))</f>
        <v>363850.78223181132</v>
      </c>
      <c r="Q467" s="137"/>
    </row>
    <row r="468" spans="1:17" x14ac:dyDescent="0.25">
      <c r="A468">
        <f t="shared" si="56"/>
        <v>5.2699999999999312</v>
      </c>
      <c r="B468">
        <f>Main!$B$20/A468</f>
        <v>0.94876660341557217</v>
      </c>
      <c r="D468" s="137">
        <f t="shared" si="49"/>
        <v>0.94876660341557217</v>
      </c>
      <c r="E468" s="137">
        <f>-B468*Main!$B$19-2*Main!$B$19*loop_gain!$B$17*loop_gain!$B$18</f>
        <v>-76.665199240986851</v>
      </c>
      <c r="F468" s="137">
        <f>2*Main!$B$19*loop_gain!$B$17*loop_gain!$B$18*Helper_calcs!$B$26*Current_limit!B468</f>
        <v>238.45161290322886</v>
      </c>
      <c r="G468" s="137">
        <f t="shared" si="51"/>
        <v>3.2402288762182572</v>
      </c>
      <c r="H468" s="137">
        <f>(Main!$B$19-Current_limit!G468)*Current_limit!G468/(Main!$B$19*loop_gain!$B$17*loop_gain!$B$18)</f>
        <v>0.86959752893199938</v>
      </c>
      <c r="I468" s="137">
        <f t="shared" si="52"/>
        <v>2.9804024710679986</v>
      </c>
      <c r="J468" s="137"/>
      <c r="K468" s="138">
        <f>IF(A468&gt;$B$15,IF(I468&gt;Helper_calcs!$B$27,23,3),0)</f>
        <v>23</v>
      </c>
      <c r="L468" s="139">
        <f t="shared" si="50"/>
        <v>2</v>
      </c>
      <c r="M468" s="139">
        <f t="shared" si="53"/>
        <v>23</v>
      </c>
      <c r="N468" s="137">
        <f t="shared" si="54"/>
        <v>3.375</v>
      </c>
      <c r="O468" s="137">
        <f t="shared" si="55"/>
        <v>3.202087286527556</v>
      </c>
      <c r="P468" s="140">
        <f>IF(OR(M468=0,M468=3),loop_gain!$B$18,IF(Current_limit!M468=1,Current_limit!$B$12/(2*(Current_limit!N468-Helper_calcs!$B$27)),IF(OR(M468=2,M468=23),(Main!$B$19-Current_limit!O468)*Current_limit!O468/(Main!$B$19*loop_gain!$B$17*(Helper_calcs!$B$26-Helper_calcs!$B$27)),x)))</f>
        <v>363411.82208190486</v>
      </c>
      <c r="Q468" s="137"/>
    </row>
    <row r="469" spans="1:17" x14ac:dyDescent="0.25">
      <c r="A469">
        <f t="shared" si="56"/>
        <v>5.279999999999931</v>
      </c>
      <c r="B469">
        <f>Main!$B$20/A469</f>
        <v>0.94696969696970934</v>
      </c>
      <c r="D469" s="137">
        <f t="shared" si="49"/>
        <v>0.94696969696970934</v>
      </c>
      <c r="E469" s="137">
        <f>-B469*Main!$B$19-2*Main!$B$19*loop_gain!$B$17*loop_gain!$B$18</f>
        <v>-76.643636363636503</v>
      </c>
      <c r="F469" s="137">
        <f>2*Main!$B$19*loop_gain!$B$17*loop_gain!$B$18*Helper_calcs!$B$26*Current_limit!B469</f>
        <v>238.00000000000307</v>
      </c>
      <c r="G469" s="137">
        <f t="shared" si="51"/>
        <v>3.234547447962687</v>
      </c>
      <c r="H469" s="137">
        <f>(Main!$B$19-Current_limit!G469)*Current_limit!G469/(Main!$B$19*loop_gain!$B$17*loop_gain!$B$18)</f>
        <v>0.8686357899028897</v>
      </c>
      <c r="I469" s="137">
        <f t="shared" si="52"/>
        <v>2.9813642100971078</v>
      </c>
      <c r="J469" s="137"/>
      <c r="K469" s="138">
        <f>IF(A469&gt;$B$15,IF(I469&gt;Helper_calcs!$B$27,23,3),0)</f>
        <v>23</v>
      </c>
      <c r="L469" s="139">
        <f t="shared" si="50"/>
        <v>2</v>
      </c>
      <c r="M469" s="139">
        <f t="shared" si="53"/>
        <v>23</v>
      </c>
      <c r="N469" s="137">
        <f t="shared" si="54"/>
        <v>3.375</v>
      </c>
      <c r="O469" s="137">
        <f t="shared" si="55"/>
        <v>3.1960227272727688</v>
      </c>
      <c r="P469" s="140">
        <f>IF(OR(M469=0,M469=3),loop_gain!$B$18,IF(Current_limit!M469=1,Current_limit!$B$12/(2*(Current_limit!N469-Helper_calcs!$B$27)),IF(OR(M469=2,M469=23),(Main!$B$19-Current_limit!O469)*Current_limit!O469/(Main!$B$19*loop_gain!$B$17*(Helper_calcs!$B$26-Helper_calcs!$B$27)),x)))</f>
        <v>362973.57396838436</v>
      </c>
      <c r="Q469" s="137"/>
    </row>
    <row r="470" spans="1:17" x14ac:dyDescent="0.25">
      <c r="A470">
        <f t="shared" si="56"/>
        <v>5.2899999999999308</v>
      </c>
      <c r="B470">
        <f>Main!$B$20/A470</f>
        <v>0.94517958412099534</v>
      </c>
      <c r="D470" s="137">
        <f t="shared" si="49"/>
        <v>0.94517958412099534</v>
      </c>
      <c r="E470" s="137">
        <f>-B470*Main!$B$19-2*Main!$B$19*loop_gain!$B$17*loop_gain!$B$18</f>
        <v>-76.62215500945193</v>
      </c>
      <c r="F470" s="137">
        <f>2*Main!$B$19*loop_gain!$B$17*loop_gain!$B$18*Helper_calcs!$B$26*Current_limit!B470</f>
        <v>237.55009451796147</v>
      </c>
      <c r="G470" s="137">
        <f t="shared" si="51"/>
        <v>3.228886769247258</v>
      </c>
      <c r="H470" s="137">
        <f>(Main!$B$19-Current_limit!G470)*Current_limit!G470/(Main!$B$19*loop_gain!$B$17*loop_gain!$B$18)</f>
        <v>0.86767559627288937</v>
      </c>
      <c r="I470" s="137">
        <f t="shared" si="52"/>
        <v>2.9823244037271097</v>
      </c>
      <c r="J470" s="137"/>
      <c r="K470" s="138">
        <f>IF(A470&gt;$B$15,IF(I470&gt;Helper_calcs!$B$27,23,3),0)</f>
        <v>23</v>
      </c>
      <c r="L470" s="139">
        <f t="shared" si="50"/>
        <v>2</v>
      </c>
      <c r="M470" s="139">
        <f t="shared" si="53"/>
        <v>23</v>
      </c>
      <c r="N470" s="137">
        <f t="shared" si="54"/>
        <v>3.375</v>
      </c>
      <c r="O470" s="137">
        <f t="shared" si="55"/>
        <v>3.1899810964083595</v>
      </c>
      <c r="P470" s="140">
        <f>IF(OR(M470=0,M470=3),loop_gain!$B$18,IF(Current_limit!M470=1,Current_limit!$B$12/(2*(Current_limit!N470-Helper_calcs!$B$27)),IF(OR(M470=2,M470=23),(Main!$B$19-Current_limit!O470)*Current_limit!O470/(Main!$B$19*loop_gain!$B$17*(Helper_calcs!$B$26-Helper_calcs!$B$27)),x)))</f>
        <v>362536.03923448961</v>
      </c>
      <c r="Q470" s="137"/>
    </row>
    <row r="471" spans="1:17" x14ac:dyDescent="0.25">
      <c r="A471">
        <f t="shared" si="56"/>
        <v>5.2999999999999305</v>
      </c>
      <c r="B471">
        <f>Main!$B$20/A471</f>
        <v>0.94339622641510668</v>
      </c>
      <c r="D471" s="137">
        <f t="shared" ref="D471:D534" si="57">B471</f>
        <v>0.94339622641510668</v>
      </c>
      <c r="E471" s="137">
        <f>-B471*Main!$B$19-2*Main!$B$19*loop_gain!$B$17*loop_gain!$B$18</f>
        <v>-76.600754716981271</v>
      </c>
      <c r="F471" s="137">
        <f>2*Main!$B$19*loop_gain!$B$17*loop_gain!$B$18*Helper_calcs!$B$26*Current_limit!B471</f>
        <v>237.10188679245587</v>
      </c>
      <c r="G471" s="137">
        <f t="shared" si="51"/>
        <v>3.2232467219196916</v>
      </c>
      <c r="H471" s="137">
        <f>(Main!$B$19-Current_limit!G471)*Current_limit!G471/(Main!$B$19*loop_gain!$B$17*loop_gain!$B$18)</f>
        <v>0.86671694953033906</v>
      </c>
      <c r="I471" s="137">
        <f t="shared" si="52"/>
        <v>2.9832830504696588</v>
      </c>
      <c r="J471" s="137"/>
      <c r="K471" s="138">
        <f>IF(A471&gt;$B$15,IF(I471&gt;Helper_calcs!$B$27,23,3),0)</f>
        <v>23</v>
      </c>
      <c r="L471" s="139">
        <f t="shared" ref="L471:L534" si="58">IF(A471&gt;$B$13,IF(A471&gt;$B$14,2,1),0)</f>
        <v>2</v>
      </c>
      <c r="M471" s="139">
        <f t="shared" si="53"/>
        <v>23</v>
      </c>
      <c r="N471" s="137">
        <f t="shared" si="54"/>
        <v>3.375</v>
      </c>
      <c r="O471" s="137">
        <f t="shared" si="55"/>
        <v>3.1839622641509848</v>
      </c>
      <c r="P471" s="140">
        <f>IF(OR(M471=0,M471=3),loop_gain!$B$18,IF(Current_limit!M471=1,Current_limit!$B$12/(2*(Current_limit!N471-Helper_calcs!$B$27)),IF(OR(M471=2,M471=23),(Main!$B$19-Current_limit!O471)*Current_limit!O471/(Main!$B$19*loop_gain!$B$17*(Helper_calcs!$B$26-Helper_calcs!$B$27)),x)))</f>
        <v>362099.21917278576</v>
      </c>
      <c r="Q471" s="137"/>
    </row>
    <row r="472" spans="1:17" x14ac:dyDescent="0.25">
      <c r="A472">
        <f t="shared" si="56"/>
        <v>5.3099999999999303</v>
      </c>
      <c r="B472">
        <f>Main!$B$20/A472</f>
        <v>0.94161958568739468</v>
      </c>
      <c r="D472" s="137">
        <f t="shared" si="57"/>
        <v>0.94161958568739468</v>
      </c>
      <c r="E472" s="137">
        <f>-B472*Main!$B$19-2*Main!$B$19*loop_gain!$B$17*loop_gain!$B$18</f>
        <v>-76.579435028248724</v>
      </c>
      <c r="F472" s="137">
        <f>2*Main!$B$19*loop_gain!$B$17*loop_gain!$B$18*Helper_calcs!$B$26*Current_limit!B472</f>
        <v>236.65536723164149</v>
      </c>
      <c r="G472" s="137">
        <f t="shared" ref="G472:G535" si="59">(-E472-SQRT(E472^2-4*D472*F472))/(2*D472)</f>
        <v>3.2176271887570369</v>
      </c>
      <c r="H472" s="137">
        <f>(Main!$B$19-Current_limit!G472)*Current_limit!G472/(Main!$B$19*loop_gain!$B$17*loop_gain!$B$18)</f>
        <v>0.86575985108014508</v>
      </c>
      <c r="I472" s="137">
        <f t="shared" ref="I472:I535" si="60">(G472/B472)-0.5*H472</f>
        <v>2.9842401489198558</v>
      </c>
      <c r="J472" s="137"/>
      <c r="K472" s="138">
        <f>IF(A472&gt;$B$15,IF(I472&gt;Helper_calcs!$B$27,23,3),0)</f>
        <v>23</v>
      </c>
      <c r="L472" s="139">
        <f t="shared" si="58"/>
        <v>2</v>
      </c>
      <c r="M472" s="139">
        <f t="shared" ref="M472:M535" si="61">IF($B$16="N",L472,K472)</f>
        <v>23</v>
      </c>
      <c r="N472" s="137">
        <f t="shared" ref="N472:N535" si="62">IF(OR(M472=0,M472=1),A472,IF(OR(M472=2,M472=23),$B$14,G472/B472))</f>
        <v>3.375</v>
      </c>
      <c r="O472" s="137">
        <f t="shared" ref="O472:O535" si="63">N472*B472</f>
        <v>3.177966101694957</v>
      </c>
      <c r="P472" s="140">
        <f>IF(OR(M472=0,M472=3),loop_gain!$B$18,IF(Current_limit!M472=1,Current_limit!$B$12/(2*(Current_limit!N472-Helper_calcs!$B$27)),IF(OR(M472=2,M472=23),(Main!$B$19-Current_limit!O472)*Current_limit!O472/(Main!$B$19*loop_gain!$B$17*(Helper_calcs!$B$26-Helper_calcs!$B$27)),x)))</f>
        <v>361663.11502602225</v>
      </c>
      <c r="Q472" s="137"/>
    </row>
    <row r="473" spans="1:17" x14ac:dyDescent="0.25">
      <c r="A473">
        <f t="shared" si="56"/>
        <v>5.3199999999999301</v>
      </c>
      <c r="B473">
        <f>Main!$B$20/A473</f>
        <v>0.9398496240601627</v>
      </c>
      <c r="D473" s="137">
        <f t="shared" si="57"/>
        <v>0.9398496240601627</v>
      </c>
      <c r="E473" s="137">
        <f>-B473*Main!$B$19-2*Main!$B$19*loop_gain!$B$17*loop_gain!$B$18</f>
        <v>-76.558195488721935</v>
      </c>
      <c r="F473" s="137">
        <f>2*Main!$B$19*loop_gain!$B$17*loop_gain!$B$18*Helper_calcs!$B$26*Current_limit!B473</f>
        <v>236.21052631579252</v>
      </c>
      <c r="G473" s="137">
        <f t="shared" si="59"/>
        <v>3.2120280534562213</v>
      </c>
      <c r="H473" s="137">
        <f>(Main!$B$19-Current_limit!G473)*Current_limit!G473/(Main!$B$19*loop_gain!$B$17*loop_gain!$B$18)</f>
        <v>0.86480430224524829</v>
      </c>
      <c r="I473" s="137">
        <f t="shared" si="60"/>
        <v>2.9851956977547509</v>
      </c>
      <c r="J473" s="137"/>
      <c r="K473" s="138">
        <f>IF(A473&gt;$B$15,IF(I473&gt;Helper_calcs!$B$27,23,3),0)</f>
        <v>23</v>
      </c>
      <c r="L473" s="139">
        <f t="shared" si="58"/>
        <v>2</v>
      </c>
      <c r="M473" s="139">
        <f t="shared" si="61"/>
        <v>23</v>
      </c>
      <c r="N473" s="137">
        <f t="shared" si="62"/>
        <v>3.375</v>
      </c>
      <c r="O473" s="137">
        <f t="shared" si="63"/>
        <v>3.1719924812030493</v>
      </c>
      <c r="P473" s="140">
        <f>IF(OR(M473=0,M473=3),loop_gain!$B$18,IF(Current_limit!M473=1,Current_limit!$B$12/(2*(Current_limit!N473-Helper_calcs!$B$27)),IF(OR(M473=2,M473=23),(Main!$B$19-Current_limit!O473)*Current_limit!O473/(Main!$B$19*loop_gain!$B$17*(Helper_calcs!$B$26-Helper_calcs!$B$27)),x)))</f>
        <v>361227.72798797622</v>
      </c>
      <c r="Q473" s="137"/>
    </row>
    <row r="474" spans="1:17" x14ac:dyDescent="0.25">
      <c r="A474">
        <f t="shared" si="56"/>
        <v>5.3299999999999299</v>
      </c>
      <c r="B474">
        <f>Main!$B$20/A474</f>
        <v>0.93808630393997483</v>
      </c>
      <c r="D474" s="137">
        <f t="shared" si="57"/>
        <v>0.93808630393997483</v>
      </c>
      <c r="E474" s="137">
        <f>-B474*Main!$B$19-2*Main!$B$19*loop_gain!$B$17*loop_gain!$B$18</f>
        <v>-76.53703564727968</v>
      </c>
      <c r="F474" s="137">
        <f>2*Main!$B$19*loop_gain!$B$17*loop_gain!$B$18*Helper_calcs!$B$26*Current_limit!B474</f>
        <v>235.76735459662595</v>
      </c>
      <c r="G474" s="137">
        <f t="shared" si="59"/>
        <v>3.2064492006247778</v>
      </c>
      <c r="H474" s="137">
        <f>(Main!$B$19-Current_limit!G474)*Current_limit!G474/(Main!$B$19*loop_gain!$B$17*loop_gain!$B$18)</f>
        <v>0.86385030426807785</v>
      </c>
      <c r="I474" s="137">
        <f t="shared" si="60"/>
        <v>2.9861496957319291</v>
      </c>
      <c r="J474" s="137"/>
      <c r="K474" s="138">
        <f>IF(A474&gt;$B$15,IF(I474&gt;Helper_calcs!$B$27,23,3),0)</f>
        <v>23</v>
      </c>
      <c r="L474" s="139">
        <f t="shared" si="58"/>
        <v>2</v>
      </c>
      <c r="M474" s="139">
        <f t="shared" si="61"/>
        <v>23</v>
      </c>
      <c r="N474" s="137">
        <f t="shared" si="62"/>
        <v>3.375</v>
      </c>
      <c r="O474" s="137">
        <f t="shared" si="63"/>
        <v>3.166041275797415</v>
      </c>
      <c r="P474" s="140">
        <f>IF(OR(M474=0,M474=3),loop_gain!$B$18,IF(Current_limit!M474=1,Current_limit!$B$12/(2*(Current_limit!N474-Helper_calcs!$B$27)),IF(OR(M474=2,M474=23),(Main!$B$19-Current_limit!O474)*Current_limit!O474/(Main!$B$19*loop_gain!$B$17*(Helper_calcs!$B$26-Helper_calcs!$B$27)),x)))</f>
        <v>360793.05920428346</v>
      </c>
      <c r="Q474" s="137"/>
    </row>
    <row r="475" spans="1:17" x14ac:dyDescent="0.25">
      <c r="A475">
        <f t="shared" si="56"/>
        <v>5.3399999999999297</v>
      </c>
      <c r="B475">
        <f>Main!$B$20/A475</f>
        <v>0.93632958801499355</v>
      </c>
      <c r="D475" s="137">
        <f t="shared" si="57"/>
        <v>0.93632958801499355</v>
      </c>
      <c r="E475" s="137">
        <f>-B475*Main!$B$19-2*Main!$B$19*loop_gain!$B$17*loop_gain!$B$18</f>
        <v>-76.515955056179905</v>
      </c>
      <c r="F475" s="137">
        <f>2*Main!$B$19*loop_gain!$B$17*loop_gain!$B$18*Helper_calcs!$B$26*Current_limit!B475</f>
        <v>235.32584269663224</v>
      </c>
      <c r="G475" s="137">
        <f t="shared" si="59"/>
        <v>3.2008905157715937</v>
      </c>
      <c r="H475" s="137">
        <f>(Main!$B$19-Current_limit!G475)*Current_limit!G475/(Main!$B$19*loop_gain!$B$17*loop_gain!$B$18)</f>
        <v>0.86289785831196664</v>
      </c>
      <c r="I475" s="137">
        <f t="shared" si="60"/>
        <v>2.9871021416880339</v>
      </c>
      <c r="J475" s="137"/>
      <c r="K475" s="138">
        <f>IF(A475&gt;$B$15,IF(I475&gt;Helper_calcs!$B$27,23,3),0)</f>
        <v>23</v>
      </c>
      <c r="L475" s="139">
        <f t="shared" si="58"/>
        <v>2</v>
      </c>
      <c r="M475" s="139">
        <f t="shared" si="61"/>
        <v>23</v>
      </c>
      <c r="N475" s="137">
        <f t="shared" si="62"/>
        <v>3.375</v>
      </c>
      <c r="O475" s="137">
        <f t="shared" si="63"/>
        <v>3.1601123595506033</v>
      </c>
      <c r="P475" s="140">
        <f>IF(OR(M475=0,M475=3),loop_gain!$B$18,IF(Current_limit!M475=1,Current_limit!$B$12/(2*(Current_limit!N475-Helper_calcs!$B$27)),IF(OR(M475=2,M475=23),(Main!$B$19-Current_limit!O475)*Current_limit!O475/(Main!$B$19*loop_gain!$B$17*(Helper_calcs!$B$26-Helper_calcs!$B$27)),x)))</f>
        <v>360359.10977325542</v>
      </c>
      <c r="Q475" s="137"/>
    </row>
    <row r="476" spans="1:17" x14ac:dyDescent="0.25">
      <c r="A476">
        <f t="shared" si="56"/>
        <v>5.3499999999999295</v>
      </c>
      <c r="B476">
        <f>Main!$B$20/A476</f>
        <v>0.93457943925234876</v>
      </c>
      <c r="D476" s="137">
        <f t="shared" si="57"/>
        <v>0.93457943925234876</v>
      </c>
      <c r="E476" s="137">
        <f>-B476*Main!$B$19-2*Main!$B$19*loop_gain!$B$17*loop_gain!$B$18</f>
        <v>-76.49495327102818</v>
      </c>
      <c r="F476" s="137">
        <f>2*Main!$B$19*loop_gain!$B$17*loop_gain!$B$18*Helper_calcs!$B$26*Current_limit!B476</f>
        <v>234.88598130841427</v>
      </c>
      <c r="G476" s="137">
        <f t="shared" si="59"/>
        <v>3.1953518852979066</v>
      </c>
      <c r="H476" s="137">
        <f>(Main!$B$19-Current_limit!G476)*Current_limit!G476/(Main!$B$19*loop_gain!$B$17*loop_gain!$B$18)</f>
        <v>0.86194696546256122</v>
      </c>
      <c r="I476" s="137">
        <f t="shared" si="60"/>
        <v>2.9880530345374345</v>
      </c>
      <c r="J476" s="137"/>
      <c r="K476" s="138">
        <f>IF(A476&gt;$B$15,IF(I476&gt;Helper_calcs!$B$27,23,3),0)</f>
        <v>23</v>
      </c>
      <c r="L476" s="139">
        <f t="shared" si="58"/>
        <v>2</v>
      </c>
      <c r="M476" s="139">
        <f t="shared" si="61"/>
        <v>23</v>
      </c>
      <c r="N476" s="137">
        <f t="shared" si="62"/>
        <v>3.375</v>
      </c>
      <c r="O476" s="137">
        <f t="shared" si="63"/>
        <v>3.1542056074766771</v>
      </c>
      <c r="P476" s="140">
        <f>IF(OR(M476=0,M476=3),loop_gain!$B$18,IF(Current_limit!M476=1,Current_limit!$B$12/(2*(Current_limit!N476-Helper_calcs!$B$27)),IF(OR(M476=2,M476=23),(Main!$B$19-Current_limit!O476)*Current_limit!O476/(Main!$B$19*loop_gain!$B$17*(Helper_calcs!$B$26-Helper_calcs!$B$27)),x)))</f>
        <v>359925.88074668229</v>
      </c>
      <c r="Q476" s="137"/>
    </row>
    <row r="477" spans="1:17" x14ac:dyDescent="0.25">
      <c r="A477">
        <f t="shared" si="56"/>
        <v>5.3599999999999293</v>
      </c>
      <c r="B477">
        <f>Main!$B$20/A477</f>
        <v>0.93283582089553474</v>
      </c>
      <c r="D477" s="137">
        <f t="shared" si="57"/>
        <v>0.93283582089553474</v>
      </c>
      <c r="E477" s="137">
        <f>-B477*Main!$B$19-2*Main!$B$19*loop_gain!$B$17*loop_gain!$B$18</f>
        <v>-76.474029850746405</v>
      </c>
      <c r="F477" s="137">
        <f>2*Main!$B$19*loop_gain!$B$17*loop_gain!$B$18*Helper_calcs!$B$26*Current_limit!B477</f>
        <v>234.44776119403289</v>
      </c>
      <c r="G477" s="137">
        <f t="shared" si="59"/>
        <v>3.1898331964882902</v>
      </c>
      <c r="H477" s="137">
        <f>(Main!$B$19-Current_limit!G477)*Current_limit!G477/(Main!$B$19*loop_gain!$B$17*loop_gain!$B$18)</f>
        <v>0.86099762672919067</v>
      </c>
      <c r="I477" s="137">
        <f t="shared" si="60"/>
        <v>2.9890023732708064</v>
      </c>
      <c r="J477" s="137"/>
      <c r="K477" s="138">
        <f>IF(A477&gt;$B$15,IF(I477&gt;Helper_calcs!$B$27,23,3),0)</f>
        <v>23</v>
      </c>
      <c r="L477" s="139">
        <f t="shared" si="58"/>
        <v>2</v>
      </c>
      <c r="M477" s="139">
        <f t="shared" si="61"/>
        <v>23</v>
      </c>
      <c r="N477" s="137">
        <f t="shared" si="62"/>
        <v>3.375</v>
      </c>
      <c r="O477" s="137">
        <f t="shared" si="63"/>
        <v>3.1483208955224296</v>
      </c>
      <c r="P477" s="140">
        <f>IF(OR(M477=0,M477=3),loop_gain!$B$18,IF(Current_limit!M477=1,Current_limit!$B$12/(2*(Current_limit!N477-Helper_calcs!$B$27)),IF(OR(M477=2,M477=23),(Main!$B$19-Current_limit!O477)*Current_limit!O477/(Main!$B$19*loop_gain!$B$17*(Helper_calcs!$B$26-Helper_calcs!$B$27)),x)))</f>
        <v>359493.37313062436</v>
      </c>
      <c r="Q477" s="137"/>
    </row>
    <row r="478" spans="1:17" x14ac:dyDescent="0.25">
      <c r="A478">
        <f t="shared" si="56"/>
        <v>5.3699999999999291</v>
      </c>
      <c r="B478">
        <f>Main!$B$20/A478</f>
        <v>0.93109869646183729</v>
      </c>
      <c r="D478" s="137">
        <f t="shared" si="57"/>
        <v>0.93109869646183729</v>
      </c>
      <c r="E478" s="137">
        <f>-B478*Main!$B$19-2*Main!$B$19*loop_gain!$B$17*loop_gain!$B$18</f>
        <v>-76.453184357542028</v>
      </c>
      <c r="F478" s="137">
        <f>2*Main!$B$19*loop_gain!$B$17*loop_gain!$B$18*Helper_calcs!$B$26*Current_limit!B478</f>
        <v>234.01117318436059</v>
      </c>
      <c r="G478" s="137">
        <f t="shared" si="59"/>
        <v>3.1843343375018023</v>
      </c>
      <c r="H478" s="137">
        <f>(Main!$B$19-Current_limit!G478)*Current_limit!G478/(Main!$B$19*loop_gain!$B$17*loop_gain!$B$18)</f>
        <v>0.86004984304621901</v>
      </c>
      <c r="I478" s="137">
        <f t="shared" si="60"/>
        <v>2.989950156953781</v>
      </c>
      <c r="J478" s="137"/>
      <c r="K478" s="138">
        <f>IF(A478&gt;$B$15,IF(I478&gt;Helper_calcs!$B$27,23,3),0)</f>
        <v>23</v>
      </c>
      <c r="L478" s="139">
        <f t="shared" si="58"/>
        <v>2</v>
      </c>
      <c r="M478" s="139">
        <f t="shared" si="61"/>
        <v>23</v>
      </c>
      <c r="N478" s="137">
        <f t="shared" si="62"/>
        <v>3.375</v>
      </c>
      <c r="O478" s="137">
        <f t="shared" si="63"/>
        <v>3.1424581005587009</v>
      </c>
      <c r="P478" s="140">
        <f>IF(OR(M478=0,M478=3),loop_gain!$B$18,IF(Current_limit!M478=1,Current_limit!$B$12/(2*(Current_limit!N478-Helper_calcs!$B$27)),IF(OR(M478=2,M478=23),(Main!$B$19-Current_limit!O478)*Current_limit!O478/(Main!$B$19*loop_gain!$B$17*(Helper_calcs!$B$26-Helper_calcs!$B$27)),x)))</f>
        <v>359061.58788618952</v>
      </c>
      <c r="Q478" s="137"/>
    </row>
    <row r="479" spans="1:17" x14ac:dyDescent="0.25">
      <c r="A479">
        <f t="shared" si="56"/>
        <v>5.3799999999999288</v>
      </c>
      <c r="B479">
        <f>Main!$B$20/A479</f>
        <v>0.92936802973978927</v>
      </c>
      <c r="D479" s="137">
        <f t="shared" si="57"/>
        <v>0.92936802973978927</v>
      </c>
      <c r="E479" s="137">
        <f>-B479*Main!$B$19-2*Main!$B$19*loop_gain!$B$17*loop_gain!$B$18</f>
        <v>-76.432416356877454</v>
      </c>
      <c r="F479" s="137">
        <f>2*Main!$B$19*loop_gain!$B$17*loop_gain!$B$18*Helper_calcs!$B$26*Current_limit!B479</f>
        <v>233.5762081784417</v>
      </c>
      <c r="G479" s="137">
        <f t="shared" si="59"/>
        <v>3.1788551973632537</v>
      </c>
      <c r="H479" s="137">
        <f>(Main!$B$19-Current_limit!G479)*Current_limit!G479/(Main!$B$19*loop_gain!$B$17*loop_gain!$B$18)</f>
        <v>0.8591036152743774</v>
      </c>
      <c r="I479" s="137">
        <f t="shared" si="60"/>
        <v>2.9908963847256271</v>
      </c>
      <c r="J479" s="137"/>
      <c r="K479" s="138">
        <f>IF(A479&gt;$B$15,IF(I479&gt;Helper_calcs!$B$27,23,3),0)</f>
        <v>23</v>
      </c>
      <c r="L479" s="139">
        <f t="shared" si="58"/>
        <v>2</v>
      </c>
      <c r="M479" s="139">
        <f t="shared" si="61"/>
        <v>23</v>
      </c>
      <c r="N479" s="137">
        <f t="shared" si="62"/>
        <v>3.375</v>
      </c>
      <c r="O479" s="137">
        <f t="shared" si="63"/>
        <v>3.1366171003717889</v>
      </c>
      <c r="P479" s="140">
        <f>IF(OR(M479=0,M479=3),loop_gain!$B$18,IF(Current_limit!M479=1,Current_limit!$B$12/(2*(Current_limit!N479-Helper_calcs!$B$27)),IF(OR(M479=2,M479=23),(Main!$B$19-Current_limit!O479)*Current_limit!O479/(Main!$B$19*loop_gain!$B$17*(Helper_calcs!$B$26-Helper_calcs!$B$27)),x)))</f>
        <v>358630.52593029849</v>
      </c>
      <c r="Q479" s="137"/>
    </row>
    <row r="480" spans="1:17" x14ac:dyDescent="0.25">
      <c r="A480">
        <f t="shared" si="56"/>
        <v>5.3899999999999286</v>
      </c>
      <c r="B480">
        <f>Main!$B$20/A480</f>
        <v>0.92764378478665421</v>
      </c>
      <c r="D480" s="137">
        <f t="shared" si="57"/>
        <v>0.92764378478665421</v>
      </c>
      <c r="E480" s="137">
        <f>-B480*Main!$B$19-2*Main!$B$19*loop_gain!$B$17*loop_gain!$B$18</f>
        <v>-76.41172541743984</v>
      </c>
      <c r="F480" s="137">
        <f>2*Main!$B$19*loop_gain!$B$17*loop_gain!$B$18*Helper_calcs!$B$26*Current_limit!B480</f>
        <v>233.14285714286018</v>
      </c>
      <c r="G480" s="137">
        <f t="shared" si="59"/>
        <v>3.1733956659545575</v>
      </c>
      <c r="H480" s="137">
        <f>(Main!$B$19-Current_limit!G480)*Current_limit!G480/(Main!$B$19*loop_gain!$B$17*loop_gain!$B$18)</f>
        <v>0.85815894420206873</v>
      </c>
      <c r="I480" s="137">
        <f t="shared" si="60"/>
        <v>2.9918410557979334</v>
      </c>
      <c r="J480" s="137"/>
      <c r="K480" s="138">
        <f>IF(A480&gt;$B$15,IF(I480&gt;Helper_calcs!$B$27,23,3),0)</f>
        <v>23</v>
      </c>
      <c r="L480" s="139">
        <f t="shared" si="58"/>
        <v>2</v>
      </c>
      <c r="M480" s="139">
        <f t="shared" si="61"/>
        <v>23</v>
      </c>
      <c r="N480" s="137">
        <f t="shared" si="62"/>
        <v>3.375</v>
      </c>
      <c r="O480" s="137">
        <f t="shared" si="63"/>
        <v>3.1307977736549581</v>
      </c>
      <c r="P480" s="140">
        <f>IF(OR(M480=0,M480=3),loop_gain!$B$18,IF(Current_limit!M480=1,Current_limit!$B$12/(2*(Current_limit!N480-Helper_calcs!$B$27)),IF(OR(M480=2,M480=23),(Main!$B$19-Current_limit!O480)*Current_limit!O480/(Main!$B$19*loop_gain!$B$17*(Helper_calcs!$B$26-Helper_calcs!$B$27)),x)))</f>
        <v>358200.18813643773</v>
      </c>
      <c r="Q480" s="137"/>
    </row>
    <row r="481" spans="1:17" x14ac:dyDescent="0.25">
      <c r="A481">
        <f t="shared" ref="A481:A544" si="64">A480+0.01</f>
        <v>5.3999999999999284</v>
      </c>
      <c r="B481">
        <f>Main!$B$20/A481</f>
        <v>0.92592592592593825</v>
      </c>
      <c r="D481" s="137">
        <f t="shared" si="57"/>
        <v>0.92592592592593825</v>
      </c>
      <c r="E481" s="137">
        <f>-B481*Main!$B$19-2*Main!$B$19*loop_gain!$B$17*loop_gain!$B$18</f>
        <v>-76.391111111111243</v>
      </c>
      <c r="F481" s="137">
        <f>2*Main!$B$19*loop_gain!$B$17*loop_gain!$B$18*Helper_calcs!$B$26*Current_limit!B481</f>
        <v>232.71111111111415</v>
      </c>
      <c r="G481" s="137">
        <f t="shared" si="59"/>
        <v>3.1679556340062209</v>
      </c>
      <c r="H481" s="137">
        <f>(Main!$B$19-Current_limit!G481)*Current_limit!G481/(Main!$B$19*loop_gain!$B$17*loop_gain!$B$18)</f>
        <v>0.85721583054665751</v>
      </c>
      <c r="I481" s="137">
        <f t="shared" si="60"/>
        <v>2.9927841694533446</v>
      </c>
      <c r="J481" s="137"/>
      <c r="K481" s="138">
        <f>IF(A481&gt;$B$15,IF(I481&gt;Helper_calcs!$B$27,23,3),0)</f>
        <v>23</v>
      </c>
      <c r="L481" s="139">
        <f t="shared" si="58"/>
        <v>2</v>
      </c>
      <c r="M481" s="139">
        <f t="shared" si="61"/>
        <v>23</v>
      </c>
      <c r="N481" s="137">
        <f t="shared" si="62"/>
        <v>3.375</v>
      </c>
      <c r="O481" s="137">
        <f t="shared" si="63"/>
        <v>3.1250000000000417</v>
      </c>
      <c r="P481" s="140">
        <f>IF(OR(M481=0,M481=3),loop_gain!$B$18,IF(Current_limit!M481=1,Current_limit!$B$12/(2*(Current_limit!N481-Helper_calcs!$B$27)),IF(OR(M481=2,M481=23),(Main!$B$19-Current_limit!O481)*Current_limit!O481/(Main!$B$19*loop_gain!$B$17*(Helper_calcs!$B$26-Helper_calcs!$B$27)),x)))</f>
        <v>357770.57533540035</v>
      </c>
      <c r="Q481" s="137"/>
    </row>
    <row r="482" spans="1:17" x14ac:dyDescent="0.25">
      <c r="A482">
        <f t="shared" si="64"/>
        <v>5.4099999999999282</v>
      </c>
      <c r="B482">
        <f>Main!$B$20/A482</f>
        <v>0.92421441774492907</v>
      </c>
      <c r="D482" s="137">
        <f t="shared" si="57"/>
        <v>0.92421441774492907</v>
      </c>
      <c r="E482" s="137">
        <f>-B482*Main!$B$19-2*Main!$B$19*loop_gain!$B$17*loop_gain!$B$18</f>
        <v>-76.370573012939133</v>
      </c>
      <c r="F482" s="137">
        <f>2*Main!$B$19*loop_gain!$B$17*loop_gain!$B$18*Helper_calcs!$B$26*Current_limit!B482</f>
        <v>232.28096118299749</v>
      </c>
      <c r="G482" s="137">
        <f t="shared" si="59"/>
        <v>3.1625349930888915</v>
      </c>
      <c r="H482" s="137">
        <f>(Main!$B$19-Current_limit!G482)*Current_limit!G482/(Main!$B$19*loop_gain!$B$17*loop_gain!$B$18)</f>
        <v>0.8562742749557275</v>
      </c>
      <c r="I482" s="137">
        <f t="shared" si="60"/>
        <v>2.9937257250442717</v>
      </c>
      <c r="J482" s="137"/>
      <c r="K482" s="138">
        <f>IF(A482&gt;$B$15,IF(I482&gt;Helper_calcs!$B$27,23,3),0)</f>
        <v>23</v>
      </c>
      <c r="L482" s="139">
        <f t="shared" si="58"/>
        <v>2</v>
      </c>
      <c r="M482" s="139">
        <f t="shared" si="61"/>
        <v>23</v>
      </c>
      <c r="N482" s="137">
        <f t="shared" si="62"/>
        <v>3.375</v>
      </c>
      <c r="O482" s="137">
        <f t="shared" si="63"/>
        <v>3.1192236598891356</v>
      </c>
      <c r="P482" s="140">
        <f>IF(OR(M482=0,M482=3),loop_gain!$B$18,IF(Current_limit!M482=1,Current_limit!$B$12/(2*(Current_limit!N482-Helper_calcs!$B$27)),IF(OR(M482=2,M482=23),(Main!$B$19-Current_limit!O482)*Current_limit!O482/(Main!$B$19*loop_gain!$B$17*(Helper_calcs!$B$26-Helper_calcs!$B$27)),x)))</f>
        <v>357341.6883160146</v>
      </c>
      <c r="Q482" s="137"/>
    </row>
    <row r="483" spans="1:17" x14ac:dyDescent="0.25">
      <c r="A483">
        <f t="shared" si="64"/>
        <v>5.419999999999928</v>
      </c>
      <c r="B483">
        <f>Main!$B$20/A483</f>
        <v>0.92250922509226319</v>
      </c>
      <c r="D483" s="137">
        <f t="shared" si="57"/>
        <v>0.92250922509226319</v>
      </c>
      <c r="E483" s="137">
        <f>-B483*Main!$B$19-2*Main!$B$19*loop_gain!$B$17*loop_gain!$B$18</f>
        <v>-76.350110701107141</v>
      </c>
      <c r="F483" s="137">
        <f>2*Main!$B$19*loop_gain!$B$17*loop_gain!$B$18*Helper_calcs!$B$26*Current_limit!B483</f>
        <v>231.85239852398828</v>
      </c>
      <c r="G483" s="137">
        <f t="shared" si="59"/>
        <v>3.1571336356050557</v>
      </c>
      <c r="H483" s="137">
        <f>(Main!$B$19-Current_limit!G483)*Current_limit!G483/(Main!$B$19*loop_gain!$B$17*loop_gain!$B$18)</f>
        <v>0.85533427800832951</v>
      </c>
      <c r="I483" s="137">
        <f t="shared" si="60"/>
        <v>2.9946657219916704</v>
      </c>
      <c r="J483" s="137"/>
      <c r="K483" s="138">
        <f>IF(A483&gt;$B$15,IF(I483&gt;Helper_calcs!$B$27,23,3),0)</f>
        <v>23</v>
      </c>
      <c r="L483" s="139">
        <f t="shared" si="58"/>
        <v>2</v>
      </c>
      <c r="M483" s="139">
        <f t="shared" si="61"/>
        <v>23</v>
      </c>
      <c r="N483" s="137">
        <f t="shared" si="62"/>
        <v>3.375</v>
      </c>
      <c r="O483" s="137">
        <f t="shared" si="63"/>
        <v>3.1134686346863885</v>
      </c>
      <c r="P483" s="140">
        <f>IF(OR(M483=0,M483=3),loop_gain!$B$18,IF(Current_limit!M483=1,Current_limit!$B$12/(2*(Current_limit!N483-Helper_calcs!$B$27)),IF(OR(M483=2,M483=23),(Main!$B$19-Current_limit!O483)*Current_limit!O483/(Main!$B$19*loop_gain!$B$17*(Helper_calcs!$B$26-Helper_calcs!$B$27)),x)))</f>
        <v>356913.52782586089</v>
      </c>
      <c r="Q483" s="137"/>
    </row>
    <row r="484" spans="1:17" x14ac:dyDescent="0.25">
      <c r="A484">
        <f t="shared" si="64"/>
        <v>5.4299999999999278</v>
      </c>
      <c r="B484">
        <f>Main!$B$20/A484</f>
        <v>0.92081031307551864</v>
      </c>
      <c r="D484" s="137">
        <f t="shared" si="57"/>
        <v>0.92081031307551864</v>
      </c>
      <c r="E484" s="137">
        <f>-B484*Main!$B$19-2*Main!$B$19*loop_gain!$B$17*loop_gain!$B$18</f>
        <v>-76.329723756906205</v>
      </c>
      <c r="F484" s="137">
        <f>2*Main!$B$19*loop_gain!$B$17*loop_gain!$B$18*Helper_calcs!$B$26*Current_limit!B484</f>
        <v>231.4254143646439</v>
      </c>
      <c r="G484" s="137">
        <f t="shared" si="59"/>
        <v>3.1517514547807934</v>
      </c>
      <c r="H484" s="137">
        <f>(Main!$B$19-Current_limit!G484)*Current_limit!G484/(Main!$B$19*loop_gain!$B$17*loop_gain!$B$18)</f>
        <v>0.8543958402161973</v>
      </c>
      <c r="I484" s="137">
        <f t="shared" si="60"/>
        <v>2.9956041597837979</v>
      </c>
      <c r="J484" s="137"/>
      <c r="K484" s="138">
        <f>IF(A484&gt;$B$15,IF(I484&gt;Helper_calcs!$B$27,23,3),0)</f>
        <v>23</v>
      </c>
      <c r="L484" s="139">
        <f t="shared" si="58"/>
        <v>2</v>
      </c>
      <c r="M484" s="139">
        <f t="shared" si="61"/>
        <v>23</v>
      </c>
      <c r="N484" s="137">
        <f t="shared" si="62"/>
        <v>3.375</v>
      </c>
      <c r="O484" s="137">
        <f t="shared" si="63"/>
        <v>3.1077348066298756</v>
      </c>
      <c r="P484" s="140">
        <f>IF(OR(M484=0,M484=3),loop_gain!$B$18,IF(Current_limit!M484=1,Current_limit!$B$12/(2*(Current_limit!N484-Helper_calcs!$B$27)),IF(OR(M484=2,M484=23),(Main!$B$19-Current_limit!O484)*Current_limit!O484/(Main!$B$19*loop_gain!$B$17*(Helper_calcs!$B$26-Helper_calcs!$B$27)),x)))</f>
        <v>356486.09457197727</v>
      </c>
      <c r="Q484" s="137"/>
    </row>
    <row r="485" spans="1:17" x14ac:dyDescent="0.25">
      <c r="A485">
        <f t="shared" si="64"/>
        <v>5.4399999999999276</v>
      </c>
      <c r="B485">
        <f>Main!$B$20/A485</f>
        <v>0.91911764705883581</v>
      </c>
      <c r="D485" s="137">
        <f t="shared" si="57"/>
        <v>0.91911764705883581</v>
      </c>
      <c r="E485" s="137">
        <f>-B485*Main!$B$19-2*Main!$B$19*loop_gain!$B$17*loop_gain!$B$18</f>
        <v>-76.309411764706013</v>
      </c>
      <c r="F485" s="137">
        <f>2*Main!$B$19*loop_gain!$B$17*loop_gain!$B$18*Helper_calcs!$B$26*Current_limit!B485</f>
        <v>231.00000000000304</v>
      </c>
      <c r="G485" s="137">
        <f t="shared" si="59"/>
        <v>3.1463883446576886</v>
      </c>
      <c r="H485" s="137">
        <f>(Main!$B$19-Current_limit!G485)*Current_limit!G485/(Main!$B$19*loop_gain!$B$17*loop_gain!$B$18)</f>
        <v>0.85345896202495464</v>
      </c>
      <c r="I485" s="137">
        <f t="shared" si="60"/>
        <v>2.9965410379750419</v>
      </c>
      <c r="J485" s="137"/>
      <c r="K485" s="138">
        <f>IF(A485&gt;$B$15,IF(I485&gt;Helper_calcs!$B$27,23,3),0)</f>
        <v>23</v>
      </c>
      <c r="L485" s="139">
        <f t="shared" si="58"/>
        <v>2</v>
      </c>
      <c r="M485" s="139">
        <f t="shared" si="61"/>
        <v>23</v>
      </c>
      <c r="N485" s="137">
        <f t="shared" si="62"/>
        <v>3.375</v>
      </c>
      <c r="O485" s="137">
        <f t="shared" si="63"/>
        <v>3.1020220588235707</v>
      </c>
      <c r="P485" s="140">
        <f>IF(OR(M485=0,M485=3),loop_gain!$B$18,IF(Current_limit!M485=1,Current_limit!$B$12/(2*(Current_limit!N485-Helper_calcs!$B$27)),IF(OR(M485=2,M485=23),(Main!$B$19-Current_limit!O485)*Current_limit!O485/(Main!$B$19*loop_gain!$B$17*(Helper_calcs!$B$26-Helper_calcs!$B$27)),x)))</f>
        <v>356059.3892215534</v>
      </c>
      <c r="Q485" s="137"/>
    </row>
    <row r="486" spans="1:17" x14ac:dyDescent="0.25">
      <c r="A486">
        <f t="shared" si="64"/>
        <v>5.4499999999999273</v>
      </c>
      <c r="B486">
        <f>Main!$B$20/A486</f>
        <v>0.91743119266056272</v>
      </c>
      <c r="D486" s="137">
        <f t="shared" si="57"/>
        <v>0.91743119266056272</v>
      </c>
      <c r="E486" s="137">
        <f>-B486*Main!$B$19-2*Main!$B$19*loop_gain!$B$17*loop_gain!$B$18</f>
        <v>-76.289174311926743</v>
      </c>
      <c r="F486" s="137">
        <f>2*Main!$B$19*loop_gain!$B$17*loop_gain!$B$18*Helper_calcs!$B$26*Current_limit!B486</f>
        <v>230.57614678899387</v>
      </c>
      <c r="G486" s="137">
        <f t="shared" si="59"/>
        <v>3.1410442000847731</v>
      </c>
      <c r="H486" s="137">
        <f>(Main!$B$19-Current_limit!G486)*Current_limit!G486/(Main!$B$19*loop_gain!$B$17*loop_gain!$B$18)</f>
        <v>0.85252364381529078</v>
      </c>
      <c r="I486" s="137">
        <f t="shared" si="60"/>
        <v>2.9974763561847118</v>
      </c>
      <c r="J486" s="137"/>
      <c r="K486" s="138">
        <f>IF(A486&gt;$B$15,IF(I486&gt;Helper_calcs!$B$27,23,3),0)</f>
        <v>23</v>
      </c>
      <c r="L486" s="139">
        <f t="shared" si="58"/>
        <v>2</v>
      </c>
      <c r="M486" s="139">
        <f t="shared" si="61"/>
        <v>23</v>
      </c>
      <c r="N486" s="137">
        <f t="shared" si="62"/>
        <v>3.375</v>
      </c>
      <c r="O486" s="137">
        <f t="shared" si="63"/>
        <v>3.0963302752293993</v>
      </c>
      <c r="P486" s="140">
        <f>IF(OR(M486=0,M486=3),loop_gain!$B$18,IF(Current_limit!M486=1,Current_limit!$B$12/(2*(Current_limit!N486-Helper_calcs!$B$27)),IF(OR(M486=2,M486=23),(Main!$B$19-Current_limit!O486)*Current_limit!O486/(Main!$B$19*loop_gain!$B$17*(Helper_calcs!$B$26-Helper_calcs!$B$27)),x)))</f>
        <v>355633.41240261385</v>
      </c>
      <c r="Q486" s="137"/>
    </row>
    <row r="487" spans="1:17" x14ac:dyDescent="0.25">
      <c r="A487">
        <f t="shared" si="64"/>
        <v>5.4599999999999271</v>
      </c>
      <c r="B487">
        <f>Main!$B$20/A487</f>
        <v>0.91575091575092793</v>
      </c>
      <c r="D487" s="137">
        <f t="shared" si="57"/>
        <v>0.91575091575092793</v>
      </c>
      <c r="E487" s="137">
        <f>-B487*Main!$B$19-2*Main!$B$19*loop_gain!$B$17*loop_gain!$B$18</f>
        <v>-76.269010989011122</v>
      </c>
      <c r="F487" s="137">
        <f>2*Main!$B$19*loop_gain!$B$17*loop_gain!$B$18*Helper_calcs!$B$26*Current_limit!B487</f>
        <v>230.15384615384917</v>
      </c>
      <c r="G487" s="137">
        <f t="shared" si="59"/>
        <v>3.1357189167106072</v>
      </c>
      <c r="H487" s="137">
        <f>(Main!$B$19-Current_limit!G487)*Current_limit!G487/(Main!$B$19*loop_gain!$B$17*loop_gain!$B$18)</f>
        <v>0.85158988590412221</v>
      </c>
      <c r="I487" s="137">
        <f t="shared" si="60"/>
        <v>2.9984101140958765</v>
      </c>
      <c r="J487" s="137"/>
      <c r="K487" s="138">
        <f>IF(A487&gt;$B$15,IF(I487&gt;Helper_calcs!$B$27,23,3),0)</f>
        <v>23</v>
      </c>
      <c r="L487" s="139">
        <f t="shared" si="58"/>
        <v>2</v>
      </c>
      <c r="M487" s="139">
        <f t="shared" si="61"/>
        <v>23</v>
      </c>
      <c r="N487" s="137">
        <f t="shared" si="62"/>
        <v>3.375</v>
      </c>
      <c r="O487" s="137">
        <f t="shared" si="63"/>
        <v>3.0906593406593816</v>
      </c>
      <c r="P487" s="140">
        <f>IF(OR(M487=0,M487=3),loop_gain!$B$18,IF(Current_limit!M487=1,Current_limit!$B$12/(2*(Current_limit!N487-Helper_calcs!$B$27)),IF(OR(M487=2,M487=23),(Main!$B$19-Current_limit!O487)*Current_limit!O487/(Main!$B$19*loop_gain!$B$17*(Helper_calcs!$B$26-Helper_calcs!$B$27)),x)))</f>
        <v>355208.164704689</v>
      </c>
      <c r="Q487" s="137"/>
    </row>
    <row r="488" spans="1:17" x14ac:dyDescent="0.25">
      <c r="A488">
        <f t="shared" si="64"/>
        <v>5.4699999999999269</v>
      </c>
      <c r="B488">
        <f>Main!$B$20/A488</f>
        <v>0.914076782449738</v>
      </c>
      <c r="D488" s="137">
        <f t="shared" si="57"/>
        <v>0.914076782449738</v>
      </c>
      <c r="E488" s="137">
        <f>-B488*Main!$B$19-2*Main!$B$19*loop_gain!$B$17*loop_gain!$B$18</f>
        <v>-76.248921389396841</v>
      </c>
      <c r="F488" s="137">
        <f>2*Main!$B$19*loop_gain!$B$17*loop_gain!$B$18*Helper_calcs!$B$26*Current_limit!B488</f>
        <v>229.7330895795277</v>
      </c>
      <c r="G488" s="137">
        <f t="shared" si="59"/>
        <v>3.1304123909754789</v>
      </c>
      <c r="H488" s="137">
        <f>(Main!$B$19-Current_limit!G488)*Current_limit!G488/(Main!$B$19*loop_gain!$B$17*loop_gain!$B$18)</f>
        <v>0.85065768854573942</v>
      </c>
      <c r="I488" s="137">
        <f t="shared" si="60"/>
        <v>2.9993423114542583</v>
      </c>
      <c r="J488" s="137"/>
      <c r="K488" s="138">
        <f>IF(A488&gt;$B$15,IF(I488&gt;Helper_calcs!$B$27,23,3),0)</f>
        <v>23</v>
      </c>
      <c r="L488" s="139">
        <f t="shared" si="58"/>
        <v>2</v>
      </c>
      <c r="M488" s="139">
        <f t="shared" si="61"/>
        <v>23</v>
      </c>
      <c r="N488" s="137">
        <f t="shared" si="62"/>
        <v>3.375</v>
      </c>
      <c r="O488" s="137">
        <f t="shared" si="63"/>
        <v>3.0850091407678657</v>
      </c>
      <c r="P488" s="140">
        <f>IF(OR(M488=0,M488=3),loop_gain!$B$18,IF(Current_limit!M488=1,Current_limit!$B$12/(2*(Current_limit!N488-Helper_calcs!$B$27)),IF(OR(M488=2,M488=23),(Main!$B$19-Current_limit!O488)*Current_limit!O488/(Main!$B$19*loop_gain!$B$17*(Helper_calcs!$B$26-Helper_calcs!$B$27)),x)))</f>
        <v>354783.64667947753</v>
      </c>
      <c r="Q488" s="137"/>
    </row>
    <row r="489" spans="1:17" x14ac:dyDescent="0.25">
      <c r="A489">
        <f t="shared" si="64"/>
        <v>5.4799999999999267</v>
      </c>
      <c r="B489">
        <f>Main!$B$20/A489</f>
        <v>0.9124087591240998</v>
      </c>
      <c r="D489" s="137">
        <f t="shared" si="57"/>
        <v>0.9124087591240998</v>
      </c>
      <c r="E489" s="137">
        <f>-B489*Main!$B$19-2*Main!$B$19*loop_gain!$B$17*loop_gain!$B$18</f>
        <v>-76.22890510948919</v>
      </c>
      <c r="F489" s="137">
        <f>2*Main!$B$19*loop_gain!$B$17*loop_gain!$B$18*Helper_calcs!$B$26*Current_limit!B489</f>
        <v>229.31386861314169</v>
      </c>
      <c r="G489" s="137">
        <f t="shared" si="59"/>
        <v>3.1251245201036322</v>
      </c>
      <c r="H489" s="137">
        <f>(Main!$B$19-Current_limit!G489)*Current_limit!G489/(Main!$B$19*loop_gain!$B$17*loop_gain!$B$18)</f>
        <v>0.84972705193292386</v>
      </c>
      <c r="I489" s="137">
        <f t="shared" si="60"/>
        <v>3.0002729480670727</v>
      </c>
      <c r="J489" s="137"/>
      <c r="K489" s="138">
        <f>IF(A489&gt;$B$15,IF(I489&gt;Helper_calcs!$B$27,23,3),0)</f>
        <v>23</v>
      </c>
      <c r="L489" s="139">
        <f t="shared" si="58"/>
        <v>2</v>
      </c>
      <c r="M489" s="139">
        <f t="shared" si="61"/>
        <v>23</v>
      </c>
      <c r="N489" s="137">
        <f t="shared" si="62"/>
        <v>3.375</v>
      </c>
      <c r="O489" s="137">
        <f t="shared" si="63"/>
        <v>3.0793795620438367</v>
      </c>
      <c r="P489" s="140">
        <f>IF(OR(M489=0,M489=3),loop_gain!$B$18,IF(Current_limit!M489=1,Current_limit!$B$12/(2*(Current_limit!N489-Helper_calcs!$B$27)),IF(OR(M489=2,M489=23),(Main!$B$19-Current_limit!O489)*Current_limit!O489/(Main!$B$19*loop_gain!$B$17*(Helper_calcs!$B$26-Helper_calcs!$B$27)),x)))</f>
        <v>354359.8588414957</v>
      </c>
      <c r="Q489" s="137"/>
    </row>
    <row r="490" spans="1:17" x14ac:dyDescent="0.25">
      <c r="A490">
        <f t="shared" si="64"/>
        <v>5.4899999999999265</v>
      </c>
      <c r="B490">
        <f>Main!$B$20/A490</f>
        <v>0.91074681238616884</v>
      </c>
      <c r="D490" s="137">
        <f t="shared" si="57"/>
        <v>0.91074681238616884</v>
      </c>
      <c r="E490" s="137">
        <f>-B490*Main!$B$19-2*Main!$B$19*loop_gain!$B$17*loop_gain!$B$18</f>
        <v>-76.20896174863401</v>
      </c>
      <c r="F490" s="137">
        <f>2*Main!$B$19*loop_gain!$B$17*loop_gain!$B$18*Helper_calcs!$B$26*Current_limit!B490</f>
        <v>228.896174863391</v>
      </c>
      <c r="G490" s="137">
        <f t="shared" si="59"/>
        <v>3.1198552020956498</v>
      </c>
      <c r="H490" s="137">
        <f>(Main!$B$19-Current_limit!G490)*Current_limit!G490/(Main!$B$19*loop_gain!$B$17*loop_gain!$B$18)</f>
        <v>0.84879797619805497</v>
      </c>
      <c r="I490" s="137">
        <f t="shared" si="60"/>
        <v>3.0012020238019503</v>
      </c>
      <c r="J490" s="137"/>
      <c r="K490" s="138">
        <f>IF(A490&gt;$B$15,IF(I490&gt;Helper_calcs!$B$27,23,3),0)</f>
        <v>23</v>
      </c>
      <c r="L490" s="139">
        <f t="shared" si="58"/>
        <v>2</v>
      </c>
      <c r="M490" s="139">
        <f t="shared" si="61"/>
        <v>23</v>
      </c>
      <c r="N490" s="137">
        <f t="shared" si="62"/>
        <v>3.375</v>
      </c>
      <c r="O490" s="137">
        <f t="shared" si="63"/>
        <v>3.07377049180332</v>
      </c>
      <c r="P490" s="140">
        <f>IF(OR(M490=0,M490=3),loop_gain!$B$18,IF(Current_limit!M490=1,Current_limit!$B$12/(2*(Current_limit!N490-Helper_calcs!$B$27)),IF(OR(M490=2,M490=23),(Main!$B$19-Current_limit!O490)*Current_limit!O490/(Main!$B$19*loop_gain!$B$17*(Helper_calcs!$B$26-Helper_calcs!$B$27)),x)))</f>
        <v>353936.80166871799</v>
      </c>
      <c r="Q490" s="137"/>
    </row>
    <row r="491" spans="1:17" x14ac:dyDescent="0.25">
      <c r="A491">
        <f t="shared" si="64"/>
        <v>5.4999999999999263</v>
      </c>
      <c r="B491">
        <f>Main!$B$20/A491</f>
        <v>0.90909090909092127</v>
      </c>
      <c r="D491" s="137">
        <f t="shared" si="57"/>
        <v>0.90909090909092127</v>
      </c>
      <c r="E491" s="137">
        <f>-B491*Main!$B$19-2*Main!$B$19*loop_gain!$B$17*loop_gain!$B$18</f>
        <v>-76.18909090909105</v>
      </c>
      <c r="F491" s="137">
        <f>2*Main!$B$19*loop_gain!$B$17*loop_gain!$B$18*Helper_calcs!$B$26*Current_limit!B491</f>
        <v>228.480000000003</v>
      </c>
      <c r="G491" s="137">
        <f t="shared" si="59"/>
        <v>3.1146043357208648</v>
      </c>
      <c r="H491" s="137">
        <f>(Main!$B$19-Current_limit!G491)*Current_limit!G491/(Main!$B$19*loop_gain!$B$17*loop_gain!$B$18)</f>
        <v>0.84787046141419042</v>
      </c>
      <c r="I491" s="137">
        <f t="shared" si="60"/>
        <v>3.0021295385858102</v>
      </c>
      <c r="J491" s="137"/>
      <c r="K491" s="138">
        <f>IF(A491&gt;$B$15,IF(I491&gt;Helper_calcs!$B$27,23,3),0)</f>
        <v>23</v>
      </c>
      <c r="L491" s="139">
        <f t="shared" si="58"/>
        <v>2</v>
      </c>
      <c r="M491" s="139">
        <f t="shared" si="61"/>
        <v>23</v>
      </c>
      <c r="N491" s="137">
        <f t="shared" si="62"/>
        <v>3.375</v>
      </c>
      <c r="O491" s="137">
        <f t="shared" si="63"/>
        <v>3.0681818181818592</v>
      </c>
      <c r="P491" s="140">
        <f>IF(OR(M491=0,M491=3),loop_gain!$B$18,IF(Current_limit!M491=1,Current_limit!$B$12/(2*(Current_limit!N491-Helper_calcs!$B$27)),IF(OR(M491=2,M491=23),(Main!$B$19-Current_limit!O491)*Current_limit!O491/(Main!$B$19*loop_gain!$B$17*(Helper_calcs!$B$26-Helper_calcs!$B$27)),x)))</f>
        <v>353514.47560320649</v>
      </c>
      <c r="Q491" s="137"/>
    </row>
    <row r="492" spans="1:17" x14ac:dyDescent="0.25">
      <c r="A492">
        <f t="shared" si="64"/>
        <v>5.5099999999999261</v>
      </c>
      <c r="B492">
        <f>Main!$B$20/A492</f>
        <v>0.90744101633395047</v>
      </c>
      <c r="D492" s="137">
        <f t="shared" si="57"/>
        <v>0.90744101633395047</v>
      </c>
      <c r="E492" s="137">
        <f>-B492*Main!$B$19-2*Main!$B$19*loop_gain!$B$17*loop_gain!$B$18</f>
        <v>-76.16929219600739</v>
      </c>
      <c r="F492" s="137">
        <f>2*Main!$B$19*loop_gain!$B$17*loop_gain!$B$18*Helper_calcs!$B$26*Current_limit!B492</f>
        <v>228.06533575317906</v>
      </c>
      <c r="G492" s="137">
        <f t="shared" si="59"/>
        <v>3.1093718205099572</v>
      </c>
      <c r="H492" s="137">
        <f>(Main!$B$19-Current_limit!G492)*Current_limit!G492/(Main!$B$19*loop_gain!$B$17*loop_gain!$B$18)</f>
        <v>0.84694450759614248</v>
      </c>
      <c r="I492" s="137">
        <f t="shared" si="60"/>
        <v>3.0030554924038557</v>
      </c>
      <c r="J492" s="137"/>
      <c r="K492" s="138">
        <f>IF(A492&gt;$B$15,IF(I492&gt;Helper_calcs!$B$27,23,3),0)</f>
        <v>23</v>
      </c>
      <c r="L492" s="139">
        <f t="shared" si="58"/>
        <v>2</v>
      </c>
      <c r="M492" s="139">
        <f t="shared" si="61"/>
        <v>23</v>
      </c>
      <c r="N492" s="137">
        <f t="shared" si="62"/>
        <v>3.375</v>
      </c>
      <c r="O492" s="137">
        <f t="shared" si="63"/>
        <v>3.0626134301270826</v>
      </c>
      <c r="P492" s="140">
        <f>IF(OR(M492=0,M492=3),loop_gain!$B$18,IF(Current_limit!M492=1,Current_limit!$B$12/(2*(Current_limit!N492-Helper_calcs!$B$27)),IF(OR(M492=2,M492=23),(Main!$B$19-Current_limit!O492)*Current_limit!O492/(Main!$B$19*loop_gain!$B$17*(Helper_calcs!$B$26-Helper_calcs!$B$27)),x)))</f>
        <v>353092.88105173135</v>
      </c>
      <c r="Q492" s="137"/>
    </row>
    <row r="493" spans="1:17" x14ac:dyDescent="0.25">
      <c r="A493">
        <f t="shared" si="64"/>
        <v>5.5199999999999259</v>
      </c>
      <c r="B493">
        <f>Main!$B$20/A493</f>
        <v>0.90579710144928749</v>
      </c>
      <c r="D493" s="137">
        <f t="shared" si="57"/>
        <v>0.90579710144928749</v>
      </c>
      <c r="E493" s="137">
        <f>-B493*Main!$B$19-2*Main!$B$19*loop_gain!$B$17*loop_gain!$B$18</f>
        <v>-76.149565217391441</v>
      </c>
      <c r="F493" s="137">
        <f>2*Main!$B$19*loop_gain!$B$17*loop_gain!$B$18*Helper_calcs!$B$26*Current_limit!B493</f>
        <v>227.65217391304648</v>
      </c>
      <c r="G493" s="137">
        <f t="shared" si="59"/>
        <v>3.1041575567475381</v>
      </c>
      <c r="H493" s="137">
        <f>(Main!$B$19-Current_limit!G493)*Current_limit!G493/(Main!$B$19*loop_gain!$B$17*loop_gain!$B$18)</f>
        <v>0.84602011470152017</v>
      </c>
      <c r="I493" s="137">
        <f t="shared" si="60"/>
        <v>3.003979885298476</v>
      </c>
      <c r="J493" s="137"/>
      <c r="K493" s="138">
        <f>IF(A493&gt;$B$15,IF(I493&gt;Helper_calcs!$B$27,23,3),0)</f>
        <v>23</v>
      </c>
      <c r="L493" s="139">
        <f t="shared" si="58"/>
        <v>2</v>
      </c>
      <c r="M493" s="139">
        <f t="shared" si="61"/>
        <v>23</v>
      </c>
      <c r="N493" s="137">
        <f t="shared" si="62"/>
        <v>3.375</v>
      </c>
      <c r="O493" s="137">
        <f t="shared" si="63"/>
        <v>3.0570652173913451</v>
      </c>
      <c r="P493" s="140">
        <f>IF(OR(M493=0,M493=3),loop_gain!$B$18,IF(Current_limit!M493=1,Current_limit!$B$12/(2*(Current_limit!N493-Helper_calcs!$B$27)),IF(OR(M493=2,M493=23),(Main!$B$19-Current_limit!O493)*Current_limit!O493/(Main!$B$19*loop_gain!$B$17*(Helper_calcs!$B$26-Helper_calcs!$B$27)),x)))</f>
        <v>352672.01838637958</v>
      </c>
      <c r="Q493" s="137"/>
    </row>
    <row r="494" spans="1:17" x14ac:dyDescent="0.25">
      <c r="A494">
        <f t="shared" si="64"/>
        <v>5.5299999999999256</v>
      </c>
      <c r="B494">
        <f>Main!$B$20/A494</f>
        <v>0.9041591320072454</v>
      </c>
      <c r="D494" s="137">
        <f t="shared" si="57"/>
        <v>0.9041591320072454</v>
      </c>
      <c r="E494" s="137">
        <f>-B494*Main!$B$19-2*Main!$B$19*loop_gain!$B$17*loop_gain!$B$18</f>
        <v>-76.129909584086931</v>
      </c>
      <c r="F494" s="137">
        <f>2*Main!$B$19*loop_gain!$B$17*loop_gain!$B$18*Helper_calcs!$B$26*Current_limit!B494</f>
        <v>227.24050632911693</v>
      </c>
      <c r="G494" s="137">
        <f t="shared" si="59"/>
        <v>3.0989614454648806</v>
      </c>
      <c r="H494" s="137">
        <f>(Main!$B$19-Current_limit!G494)*Current_limit!G494/(Main!$B$19*loop_gain!$B$17*loop_gain!$B$18)</f>
        <v>0.84509728263176442</v>
      </c>
      <c r="I494" s="137">
        <f t="shared" si="60"/>
        <v>3.0049027173682297</v>
      </c>
      <c r="J494" s="137"/>
      <c r="K494" s="138">
        <f>IF(A494&gt;$B$15,IF(I494&gt;Helper_calcs!$B$27,23,3),0)</f>
        <v>23</v>
      </c>
      <c r="L494" s="139">
        <f t="shared" si="58"/>
        <v>2</v>
      </c>
      <c r="M494" s="139">
        <f t="shared" si="61"/>
        <v>23</v>
      </c>
      <c r="N494" s="137">
        <f t="shared" si="62"/>
        <v>3.375</v>
      </c>
      <c r="O494" s="137">
        <f t="shared" si="63"/>
        <v>3.0515370705244531</v>
      </c>
      <c r="P494" s="140">
        <f>IF(OR(M494=0,M494=3),loop_gain!$B$18,IF(Current_limit!M494=1,Current_limit!$B$12/(2*(Current_limit!N494-Helper_calcs!$B$27)),IF(OR(M494=2,M494=23),(Main!$B$19-Current_limit!O494)*Current_limit!O494/(Main!$B$19*loop_gain!$B$17*(Helper_calcs!$B$26-Helper_calcs!$B$27)),x)))</f>
        <v>352251.88794515579</v>
      </c>
      <c r="Q494" s="137"/>
    </row>
    <row r="495" spans="1:17" x14ac:dyDescent="0.25">
      <c r="A495">
        <f t="shared" si="64"/>
        <v>5.5399999999999254</v>
      </c>
      <c r="B495">
        <f>Main!$B$20/A495</f>
        <v>0.90252707581228653</v>
      </c>
      <c r="D495" s="137">
        <f t="shared" si="57"/>
        <v>0.90252707581228653</v>
      </c>
      <c r="E495" s="137">
        <f>-B495*Main!$B$19-2*Main!$B$19*loop_gain!$B$17*loop_gain!$B$18</f>
        <v>-76.110324909747419</v>
      </c>
      <c r="F495" s="137">
        <f>2*Main!$B$19*loop_gain!$B$17*loop_gain!$B$18*Helper_calcs!$B$26*Current_limit!B495</f>
        <v>226.83032490975029</v>
      </c>
      <c r="G495" s="137">
        <f t="shared" si="59"/>
        <v>3.0937833884327288</v>
      </c>
      <c r="H495" s="137">
        <f>(Main!$B$19-Current_limit!G495)*Current_limit!G495/(Main!$B$19*loop_gain!$B$17*loop_gain!$B$18)</f>
        <v>0.84417601123316333</v>
      </c>
      <c r="I495" s="137">
        <f t="shared" si="60"/>
        <v>3.0058239887668359</v>
      </c>
      <c r="J495" s="137"/>
      <c r="K495" s="138">
        <f>IF(A495&gt;$B$15,IF(I495&gt;Helper_calcs!$B$27,23,3),0)</f>
        <v>23</v>
      </c>
      <c r="L495" s="139">
        <f t="shared" si="58"/>
        <v>2</v>
      </c>
      <c r="M495" s="139">
        <f t="shared" si="61"/>
        <v>23</v>
      </c>
      <c r="N495" s="137">
        <f t="shared" si="62"/>
        <v>3.375</v>
      </c>
      <c r="O495" s="137">
        <f t="shared" si="63"/>
        <v>3.0460288808664671</v>
      </c>
      <c r="P495" s="140">
        <f>IF(OR(M495=0,M495=3),loop_gain!$B$18,IF(Current_limit!M495=1,Current_limit!$B$12/(2*(Current_limit!N495-Helper_calcs!$B$27)),IF(OR(M495=2,M495=23),(Main!$B$19-Current_limit!O495)*Current_limit!O495/(Main!$B$19*loop_gain!$B$17*(Helper_calcs!$B$26-Helper_calcs!$B$27)),x)))</f>
        <v>351832.49003257201</v>
      </c>
      <c r="Q495" s="137"/>
    </row>
    <row r="496" spans="1:17" x14ac:dyDescent="0.25">
      <c r="A496">
        <f t="shared" si="64"/>
        <v>5.5499999999999252</v>
      </c>
      <c r="B496">
        <f>Main!$B$20/A496</f>
        <v>0.90090090090091302</v>
      </c>
      <c r="D496" s="137">
        <f t="shared" si="57"/>
        <v>0.90090090090091302</v>
      </c>
      <c r="E496" s="137">
        <f>-B496*Main!$B$19-2*Main!$B$19*loop_gain!$B$17*loop_gain!$B$18</f>
        <v>-76.09081081081095</v>
      </c>
      <c r="F496" s="137">
        <f>2*Main!$B$19*loop_gain!$B$17*loop_gain!$B$18*Helper_calcs!$B$26*Current_limit!B496</f>
        <v>226.42162162162461</v>
      </c>
      <c r="G496" s="137">
        <f t="shared" si="59"/>
        <v>3.0886232881541638</v>
      </c>
      <c r="H496" s="137">
        <f>(Main!$B$19-Current_limit!G496)*Current_limit!G496/(Main!$B$19*loop_gain!$B$17*loop_gain!$B$18)</f>
        <v>0.84325630029784715</v>
      </c>
      <c r="I496" s="137">
        <f t="shared" si="60"/>
        <v>3.0067436997021519</v>
      </c>
      <c r="J496" s="137"/>
      <c r="K496" s="138">
        <f>IF(A496&gt;$B$15,IF(I496&gt;Helper_calcs!$B$27,23,3),0)</f>
        <v>23</v>
      </c>
      <c r="L496" s="139">
        <f t="shared" si="58"/>
        <v>2</v>
      </c>
      <c r="M496" s="139">
        <f t="shared" si="61"/>
        <v>23</v>
      </c>
      <c r="N496" s="137">
        <f t="shared" si="62"/>
        <v>3.375</v>
      </c>
      <c r="O496" s="137">
        <f t="shared" si="63"/>
        <v>3.0405405405405812</v>
      </c>
      <c r="P496" s="140">
        <f>IF(OR(M496=0,M496=3),loop_gain!$B$18,IF(Current_limit!M496=1,Current_limit!$B$12/(2*(Current_limit!N496-Helper_calcs!$B$27)),IF(OR(M496=2,M496=23),(Main!$B$19-Current_limit!O496)*Current_limit!O496/(Main!$B$19*loop_gain!$B$17*(Helper_calcs!$B$26-Helper_calcs!$B$27)),x)))</f>
        <v>351413.82492022915</v>
      </c>
      <c r="Q496" s="137"/>
    </row>
    <row r="497" spans="1:17" x14ac:dyDescent="0.25">
      <c r="A497">
        <f t="shared" si="64"/>
        <v>5.559999999999925</v>
      </c>
      <c r="B497">
        <f>Main!$B$20/A497</f>
        <v>0.89928057553958052</v>
      </c>
      <c r="D497" s="137">
        <f t="shared" si="57"/>
        <v>0.89928057553958052</v>
      </c>
      <c r="E497" s="137">
        <f>-B497*Main!$B$19-2*Main!$B$19*loop_gain!$B$17*loop_gain!$B$18</f>
        <v>-76.07136690647495</v>
      </c>
      <c r="F497" s="137">
        <f>2*Main!$B$19*loop_gain!$B$17*loop_gain!$B$18*Helper_calcs!$B$26*Current_limit!B497</f>
        <v>226.01438848921165</v>
      </c>
      <c r="G497" s="137">
        <f t="shared" si="59"/>
        <v>3.0834810478576107</v>
      </c>
      <c r="H497" s="137">
        <f>(Main!$B$19-Current_limit!G497)*Current_limit!G497/(Main!$B$19*loop_gain!$B$17*loop_gain!$B$18)</f>
        <v>0.84233814956477537</v>
      </c>
      <c r="I497" s="137">
        <f t="shared" si="60"/>
        <v>3.007661850435229</v>
      </c>
      <c r="J497" s="137"/>
      <c r="K497" s="138">
        <f>IF(A497&gt;$B$15,IF(I497&gt;Helper_calcs!$B$27,23,3),0)</f>
        <v>23</v>
      </c>
      <c r="L497" s="139">
        <f t="shared" si="58"/>
        <v>2</v>
      </c>
      <c r="M497" s="139">
        <f t="shared" si="61"/>
        <v>23</v>
      </c>
      <c r="N497" s="137">
        <f t="shared" si="62"/>
        <v>3.375</v>
      </c>
      <c r="O497" s="137">
        <f t="shared" si="63"/>
        <v>3.0350719424460841</v>
      </c>
      <c r="P497" s="140">
        <f>IF(OR(M497=0,M497=3),loop_gain!$B$18,IF(Current_limit!M497=1,Current_limit!$B$12/(2*(Current_limit!N497-Helper_calcs!$B$27)),IF(OR(M497=2,M497=23),(Main!$B$19-Current_limit!O497)*Current_limit!O497/(Main!$B$19*loop_gain!$B$17*(Helper_calcs!$B$26-Helper_calcs!$B$27)),x)))</f>
        <v>350995.89284738858</v>
      </c>
      <c r="Q497" s="137"/>
    </row>
    <row r="498" spans="1:17" x14ac:dyDescent="0.25">
      <c r="A498">
        <f t="shared" si="64"/>
        <v>5.5699999999999248</v>
      </c>
      <c r="B498">
        <f>Main!$B$20/A498</f>
        <v>0.89766606822263328</v>
      </c>
      <c r="D498" s="137">
        <f t="shared" si="57"/>
        <v>0.89766606822263328</v>
      </c>
      <c r="E498" s="137">
        <f>-B498*Main!$B$19-2*Main!$B$19*loop_gain!$B$17*loop_gain!$B$18</f>
        <v>-76.051992818671579</v>
      </c>
      <c r="F498" s="137">
        <f>2*Main!$B$19*loop_gain!$B$17*loop_gain!$B$18*Helper_calcs!$B$26*Current_limit!B498</f>
        <v>225.60861759425794</v>
      </c>
      <c r="G498" s="137">
        <f t="shared" si="59"/>
        <v>3.0783565714898602</v>
      </c>
      <c r="H498" s="137">
        <f>(Main!$B$19-Current_limit!G498)*Current_limit!G498/(Main!$B$19*loop_gain!$B$17*loop_gain!$B$18)</f>
        <v>0.84142155872069613</v>
      </c>
      <c r="I498" s="137">
        <f t="shared" si="60"/>
        <v>3.00857844127931</v>
      </c>
      <c r="J498" s="137"/>
      <c r="K498" s="138">
        <f>IF(A498&gt;$B$15,IF(I498&gt;Helper_calcs!$B$27,23,3),0)</f>
        <v>23</v>
      </c>
      <c r="L498" s="139">
        <f t="shared" si="58"/>
        <v>2</v>
      </c>
      <c r="M498" s="139">
        <f t="shared" si="61"/>
        <v>23</v>
      </c>
      <c r="N498" s="137">
        <f t="shared" si="62"/>
        <v>3.375</v>
      </c>
      <c r="O498" s="137">
        <f t="shared" si="63"/>
        <v>3.0296229802513874</v>
      </c>
      <c r="P498" s="140">
        <f>IF(OR(M498=0,M498=3),loop_gain!$B$18,IF(Current_limit!M498=1,Current_limit!$B$12/(2*(Current_limit!N498-Helper_calcs!$B$27)),IF(OR(M498=2,M498=23),(Main!$B$19-Current_limit!O498)*Current_limit!O498/(Main!$B$19*loop_gain!$B$17*(Helper_calcs!$B$26-Helper_calcs!$B$27)),x)))</f>
        <v>350578.69402153447</v>
      </c>
      <c r="Q498" s="137"/>
    </row>
    <row r="499" spans="1:17" x14ac:dyDescent="0.25">
      <c r="A499">
        <f t="shared" si="64"/>
        <v>5.5799999999999246</v>
      </c>
      <c r="B499">
        <f>Main!$B$20/A499</f>
        <v>0.89605734767026302</v>
      </c>
      <c r="D499" s="137">
        <f t="shared" si="57"/>
        <v>0.89605734767026302</v>
      </c>
      <c r="E499" s="137">
        <f>-B499*Main!$B$19-2*Main!$B$19*loop_gain!$B$17*loop_gain!$B$18</f>
        <v>-76.032688172043137</v>
      </c>
      <c r="F499" s="137">
        <f>2*Main!$B$19*loop_gain!$B$17*loop_gain!$B$18*Helper_calcs!$B$26*Current_limit!B499</f>
        <v>225.20430107527181</v>
      </c>
      <c r="G499" s="137">
        <f t="shared" si="59"/>
        <v>3.0732497637092249</v>
      </c>
      <c r="H499" s="137">
        <f>(Main!$B$19-Current_limit!G499)*Current_limit!G499/(Main!$B$19*loop_gain!$B$17*loop_gain!$B$18)</f>
        <v>0.84050652740109988</v>
      </c>
      <c r="I499" s="137">
        <f t="shared" si="60"/>
        <v>3.0094934725988987</v>
      </c>
      <c r="J499" s="137"/>
      <c r="K499" s="138">
        <f>IF(A499&gt;$B$15,IF(I499&gt;Helper_calcs!$B$27,23,3),0)</f>
        <v>23</v>
      </c>
      <c r="L499" s="139">
        <f t="shared" si="58"/>
        <v>2</v>
      </c>
      <c r="M499" s="139">
        <f t="shared" si="61"/>
        <v>23</v>
      </c>
      <c r="N499" s="137">
        <f t="shared" si="62"/>
        <v>3.375</v>
      </c>
      <c r="O499" s="137">
        <f t="shared" si="63"/>
        <v>3.0241935483871378</v>
      </c>
      <c r="P499" s="140">
        <f>IF(OR(M499=0,M499=3),loop_gain!$B$18,IF(Current_limit!M499=1,Current_limit!$B$12/(2*(Current_limit!N499-Helper_calcs!$B$27)),IF(OR(M499=2,M499=23),(Main!$B$19-Current_limit!O499)*Current_limit!O499/(Main!$B$19*loop_gain!$B$17*(Helper_calcs!$B$26-Helper_calcs!$B$27)),x)))</f>
        <v>350162.22861892753</v>
      </c>
      <c r="Q499" s="137"/>
    </row>
    <row r="500" spans="1:17" x14ac:dyDescent="0.25">
      <c r="A500">
        <f t="shared" si="64"/>
        <v>5.5899999999999244</v>
      </c>
      <c r="B500">
        <f>Main!$B$20/A500</f>
        <v>0.89445438282648793</v>
      </c>
      <c r="D500" s="137">
        <f t="shared" si="57"/>
        <v>0.89445438282648793</v>
      </c>
      <c r="E500" s="137">
        <f>-B500*Main!$B$19-2*Main!$B$19*loop_gain!$B$17*loop_gain!$B$18</f>
        <v>-76.013452593917847</v>
      </c>
      <c r="F500" s="137">
        <f>2*Main!$B$19*loop_gain!$B$17*loop_gain!$B$18*Helper_calcs!$B$26*Current_limit!B500</f>
        <v>224.80143112701552</v>
      </c>
      <c r="G500" s="137">
        <f t="shared" si="59"/>
        <v>3.0681605298787722</v>
      </c>
      <c r="H500" s="137">
        <f>(Main!$B$19-Current_limit!G500)*Current_limit!G500/(Main!$B$19*loop_gain!$B$17*loop_gain!$B$18)</f>
        <v>0.83959305519115446</v>
      </c>
      <c r="I500" s="137">
        <f t="shared" si="60"/>
        <v>3.0104069448088437</v>
      </c>
      <c r="J500" s="137"/>
      <c r="K500" s="138">
        <f>IF(A500&gt;$B$15,IF(I500&gt;Helper_calcs!$B$27,23,3),0)</f>
        <v>23</v>
      </c>
      <c r="L500" s="139">
        <f t="shared" si="58"/>
        <v>2</v>
      </c>
      <c r="M500" s="139">
        <f t="shared" si="61"/>
        <v>23</v>
      </c>
      <c r="N500" s="137">
        <f t="shared" si="62"/>
        <v>3.375</v>
      </c>
      <c r="O500" s="137">
        <f t="shared" si="63"/>
        <v>3.0187835420393969</v>
      </c>
      <c r="P500" s="140">
        <f>IF(OR(M500=0,M500=3),loop_gain!$B$18,IF(Current_limit!M500=1,Current_limit!$B$12/(2*(Current_limit!N500-Helper_calcs!$B$27)),IF(OR(M500=2,M500=23),(Main!$B$19-Current_limit!O500)*Current_limit!O500/(Main!$B$19*loop_gain!$B$17*(Helper_calcs!$B$26-Helper_calcs!$B$27)),x)))</f>
        <v>349746.49678515008</v>
      </c>
      <c r="Q500" s="137"/>
    </row>
    <row r="501" spans="1:17" x14ac:dyDescent="0.25">
      <c r="A501">
        <f t="shared" si="64"/>
        <v>5.5999999999999241</v>
      </c>
      <c r="B501">
        <f>Main!$B$20/A501</f>
        <v>0.89285714285715501</v>
      </c>
      <c r="D501" s="137">
        <f t="shared" si="57"/>
        <v>0.89285714285715501</v>
      </c>
      <c r="E501" s="137">
        <f>-B501*Main!$B$19-2*Main!$B$19*loop_gain!$B$17*loop_gain!$B$18</f>
        <v>-75.994285714285851</v>
      </c>
      <c r="F501" s="137">
        <f>2*Main!$B$19*loop_gain!$B$17*loop_gain!$B$18*Helper_calcs!$B$26*Current_limit!B501</f>
        <v>224.40000000000302</v>
      </c>
      <c r="G501" s="137">
        <f t="shared" si="59"/>
        <v>3.0630887760595913</v>
      </c>
      <c r="H501" s="137">
        <f>(Main!$B$19-Current_limit!G501)*Current_limit!G501/(Main!$B$19*loop_gain!$B$17*loop_gain!$B$18)</f>
        <v>0.83868114162661944</v>
      </c>
      <c r="I501" s="137">
        <f t="shared" si="60"/>
        <v>3.0113188583733859</v>
      </c>
      <c r="J501" s="137"/>
      <c r="K501" s="138">
        <f>IF(A501&gt;$B$15,IF(I501&gt;Helper_calcs!$B$27,23,3),0)</f>
        <v>23</v>
      </c>
      <c r="L501" s="139">
        <f t="shared" si="58"/>
        <v>2</v>
      </c>
      <c r="M501" s="139">
        <f t="shared" si="61"/>
        <v>23</v>
      </c>
      <c r="N501" s="137">
        <f t="shared" si="62"/>
        <v>3.375</v>
      </c>
      <c r="O501" s="137">
        <f t="shared" si="63"/>
        <v>3.0133928571428981</v>
      </c>
      <c r="P501" s="140">
        <f>IF(OR(M501=0,M501=3),loop_gain!$B$18,IF(Current_limit!M501=1,Current_limit!$B$12/(2*(Current_limit!N501-Helper_calcs!$B$27)),IF(OR(M501=2,M501=23),(Main!$B$19-Current_limit!O501)*Current_limit!O501/(Main!$B$19*loop_gain!$B$17*(Helper_calcs!$B$26-Helper_calcs!$B$27)),x)))</f>
        <v>349331.49863564159</v>
      </c>
      <c r="Q501" s="137"/>
    </row>
    <row r="502" spans="1:17" x14ac:dyDescent="0.25">
      <c r="A502">
        <f t="shared" si="64"/>
        <v>5.6099999999999239</v>
      </c>
      <c r="B502">
        <f>Main!$B$20/A502</f>
        <v>0.89126559714796216</v>
      </c>
      <c r="D502" s="137">
        <f t="shared" si="57"/>
        <v>0.89126559714796216</v>
      </c>
      <c r="E502" s="137">
        <f>-B502*Main!$B$19-2*Main!$B$19*loop_gain!$B$17*loop_gain!$B$18</f>
        <v>-75.975187165775537</v>
      </c>
      <c r="F502" s="137">
        <f>2*Main!$B$19*loop_gain!$B$17*loop_gain!$B$18*Helper_calcs!$B$26*Current_limit!B502</f>
        <v>224.00000000000298</v>
      </c>
      <c r="G502" s="137">
        <f t="shared" si="59"/>
        <v>3.0580344090041662</v>
      </c>
      <c r="H502" s="137">
        <f>(Main!$B$19-Current_limit!G502)*Current_limit!G502/(Main!$B$19*loop_gain!$B$17*loop_gain!$B$18)</f>
        <v>0.83777078619474699</v>
      </c>
      <c r="I502" s="137">
        <f t="shared" si="60"/>
        <v>3.0122292138052549</v>
      </c>
      <c r="J502" s="137"/>
      <c r="K502" s="138">
        <f>IF(A502&gt;$B$15,IF(I502&gt;Helper_calcs!$B$27,23,3),0)</f>
        <v>23</v>
      </c>
      <c r="L502" s="139">
        <f t="shared" si="58"/>
        <v>2</v>
      </c>
      <c r="M502" s="139">
        <f t="shared" si="61"/>
        <v>23</v>
      </c>
      <c r="N502" s="137">
        <f t="shared" si="62"/>
        <v>3.375</v>
      </c>
      <c r="O502" s="137">
        <f t="shared" si="63"/>
        <v>3.0080213903743722</v>
      </c>
      <c r="P502" s="140">
        <f>IF(OR(M502=0,M502=3),loop_gain!$B$18,IF(Current_limit!M502=1,Current_limit!$B$12/(2*(Current_limit!N502-Helper_calcs!$B$27)),IF(OR(M502=2,M502=23),(Main!$B$19-Current_limit!O502)*Current_limit!O502/(Main!$B$19*loop_gain!$B$17*(Helper_calcs!$B$26-Helper_calcs!$B$27)),x)))</f>
        <v>348917.23425622669</v>
      </c>
      <c r="Q502" s="137"/>
    </row>
    <row r="503" spans="1:17" x14ac:dyDescent="0.25">
      <c r="A503">
        <f t="shared" si="64"/>
        <v>5.6199999999999237</v>
      </c>
      <c r="B503">
        <f>Main!$B$20/A503</f>
        <v>0.88967971530250323</v>
      </c>
      <c r="D503" s="137">
        <f t="shared" si="57"/>
        <v>0.88967971530250323</v>
      </c>
      <c r="E503" s="137">
        <f>-B503*Main!$B$19-2*Main!$B$19*loop_gain!$B$17*loop_gain!$B$18</f>
        <v>-75.956156583630019</v>
      </c>
      <c r="F503" s="137">
        <f>2*Main!$B$19*loop_gain!$B$17*loop_gain!$B$18*Helper_calcs!$B$26*Current_limit!B503</f>
        <v>223.60142348754749</v>
      </c>
      <c r="G503" s="137">
        <f t="shared" si="59"/>
        <v>3.0529973361498755</v>
      </c>
      <c r="H503" s="137">
        <f>(Main!$B$19-Current_limit!G503)*Current_limit!G503/(Main!$B$19*loop_gain!$B$17*loop_gain!$B$18)</f>
        <v>0.83686198833518</v>
      </c>
      <c r="I503" s="137">
        <f t="shared" si="60"/>
        <v>3.0131380116648234</v>
      </c>
      <c r="J503" s="137"/>
      <c r="K503" s="138">
        <f>IF(A503&gt;$B$15,IF(I503&gt;Helper_calcs!$B$27,23,3),0)</f>
        <v>23</v>
      </c>
      <c r="L503" s="139">
        <f t="shared" si="58"/>
        <v>2</v>
      </c>
      <c r="M503" s="139">
        <f t="shared" si="61"/>
        <v>23</v>
      </c>
      <c r="N503" s="137">
        <f t="shared" si="62"/>
        <v>3.375</v>
      </c>
      <c r="O503" s="137">
        <f t="shared" si="63"/>
        <v>3.0026690391459483</v>
      </c>
      <c r="P503" s="140">
        <f>IF(OR(M503=0,M503=3),loop_gain!$B$18,IF(Current_limit!M503=1,Current_limit!$B$12/(2*(Current_limit!N503-Helper_calcs!$B$27)),IF(OR(M503=2,M503=23),(Main!$B$19-Current_limit!O503)*Current_limit!O503/(Main!$B$19*loop_gain!$B$17*(Helper_calcs!$B$26-Helper_calcs!$B$27)),x)))</f>
        <v>348503.70370363427</v>
      </c>
      <c r="Q503" s="137"/>
    </row>
    <row r="504" spans="1:17" x14ac:dyDescent="0.25">
      <c r="A504">
        <f t="shared" si="64"/>
        <v>5.6299999999999235</v>
      </c>
      <c r="B504">
        <f>Main!$B$20/A504</f>
        <v>0.88809946714033183</v>
      </c>
      <c r="D504" s="137">
        <f t="shared" si="57"/>
        <v>0.88809946714033183</v>
      </c>
      <c r="E504" s="137">
        <f>-B504*Main!$B$19-2*Main!$B$19*loop_gain!$B$17*loop_gain!$B$18</f>
        <v>-75.937193605683973</v>
      </c>
      <c r="F504" s="137">
        <f>2*Main!$B$19*loop_gain!$B$17*loop_gain!$B$18*Helper_calcs!$B$26*Current_limit!B504</f>
        <v>223.20426287744527</v>
      </c>
      <c r="G504" s="137">
        <f t="shared" si="59"/>
        <v>3.0479774656124654</v>
      </c>
      <c r="H504" s="137">
        <f>(Main!$B$19-Current_limit!G504)*Current_limit!G504/(Main!$B$19*loop_gain!$B$17*loop_gain!$B$18)</f>
        <v>0.83595474744081499</v>
      </c>
      <c r="I504" s="137">
        <f t="shared" si="60"/>
        <v>3.0140452525591819</v>
      </c>
      <c r="J504" s="137"/>
      <c r="K504" s="138">
        <f>IF(A504&gt;$B$15,IF(I504&gt;Helper_calcs!$B$27,23,3),0)</f>
        <v>23</v>
      </c>
      <c r="L504" s="139">
        <f t="shared" si="58"/>
        <v>2</v>
      </c>
      <c r="M504" s="139">
        <f t="shared" si="61"/>
        <v>23</v>
      </c>
      <c r="N504" s="137">
        <f t="shared" si="62"/>
        <v>3.375</v>
      </c>
      <c r="O504" s="137">
        <f t="shared" si="63"/>
        <v>2.9973357015986197</v>
      </c>
      <c r="P504" s="140">
        <f>IF(OR(M504=0,M504=3),loop_gain!$B$18,IF(Current_limit!M504=1,Current_limit!$B$12/(2*(Current_limit!N504-Helper_calcs!$B$27)),IF(OR(M504=2,M504=23),(Main!$B$19-Current_limit!O504)*Current_limit!O504/(Main!$B$19*loop_gain!$B$17*(Helper_calcs!$B$26-Helper_calcs!$B$27)),x)))</f>
        <v>348090.90700600814</v>
      </c>
      <c r="Q504" s="137"/>
    </row>
    <row r="505" spans="1:17" x14ac:dyDescent="0.25">
      <c r="A505">
        <f t="shared" si="64"/>
        <v>5.6399999999999233</v>
      </c>
      <c r="B505">
        <f>Main!$B$20/A505</f>
        <v>0.88652482269504751</v>
      </c>
      <c r="D505" s="137">
        <f t="shared" si="57"/>
        <v>0.88652482269504751</v>
      </c>
      <c r="E505" s="137">
        <f>-B505*Main!$B$19-2*Main!$B$19*loop_gain!$B$17*loop_gain!$B$18</f>
        <v>-75.91829787234056</v>
      </c>
      <c r="F505" s="137">
        <f>2*Main!$B$19*loop_gain!$B$17*loop_gain!$B$18*Helper_calcs!$B$26*Current_limit!B505</f>
        <v>222.80851063830085</v>
      </c>
      <c r="G505" s="137">
        <f t="shared" si="59"/>
        <v>3.0429747061797054</v>
      </c>
      <c r="H505" s="137">
        <f>(Main!$B$19-Current_limit!G505)*Current_limit!G505/(Main!$B$19*loop_gain!$B$17*loop_gain!$B$18)</f>
        <v>0.83504906285867053</v>
      </c>
      <c r="I505" s="137">
        <f t="shared" si="60"/>
        <v>3.0149509371413257</v>
      </c>
      <c r="J505" s="137"/>
      <c r="K505" s="138">
        <f>IF(A505&gt;$B$15,IF(I505&gt;Helper_calcs!$B$27,23,3),0)</f>
        <v>23</v>
      </c>
      <c r="L505" s="139">
        <f t="shared" si="58"/>
        <v>2</v>
      </c>
      <c r="M505" s="139">
        <f t="shared" si="61"/>
        <v>23</v>
      </c>
      <c r="N505" s="137">
        <f t="shared" si="62"/>
        <v>3.375</v>
      </c>
      <c r="O505" s="137">
        <f t="shared" si="63"/>
        <v>2.9920212765957852</v>
      </c>
      <c r="P505" s="140">
        <f>IF(OR(M505=0,M505=3),loop_gain!$B$18,IF(Current_limit!M505=1,Current_limit!$B$12/(2*(Current_limit!N505-Helper_calcs!$B$27)),IF(OR(M505=2,M505=23),(Main!$B$19-Current_limit!O505)*Current_limit!O505/(Main!$B$19*loop_gain!$B$17*(Helper_calcs!$B$26-Helper_calcs!$B$27)),x)))</f>
        <v>347678.84416341002</v>
      </c>
      <c r="Q505" s="137"/>
    </row>
    <row r="506" spans="1:17" x14ac:dyDescent="0.25">
      <c r="A506">
        <f t="shared" si="64"/>
        <v>5.6499999999999231</v>
      </c>
      <c r="B506">
        <f>Main!$B$20/A506</f>
        <v>0.88495575221240141</v>
      </c>
      <c r="D506" s="137">
        <f t="shared" si="57"/>
        <v>0.88495575221240141</v>
      </c>
      <c r="E506" s="137">
        <f>-B506*Main!$B$19-2*Main!$B$19*loop_gain!$B$17*loop_gain!$B$18</f>
        <v>-75.8994690265488</v>
      </c>
      <c r="F506" s="137">
        <f>2*Main!$B$19*loop_gain!$B$17*loop_gain!$B$18*Helper_calcs!$B$26*Current_limit!B506</f>
        <v>222.41415929203836</v>
      </c>
      <c r="G506" s="137">
        <f t="shared" si="59"/>
        <v>3.0379889673050293</v>
      </c>
      <c r="H506" s="137">
        <f>(Main!$B$19-Current_limit!G506)*Current_limit!G506/(Main!$B$19*loop_gain!$B$17*loop_gain!$B$18)</f>
        <v>0.83414493389072542</v>
      </c>
      <c r="I506" s="137">
        <f t="shared" si="60"/>
        <v>3.0158550661092738</v>
      </c>
      <c r="J506" s="137"/>
      <c r="K506" s="138">
        <f>IF(A506&gt;$B$15,IF(I506&gt;Helper_calcs!$B$27,23,3),0)</f>
        <v>23</v>
      </c>
      <c r="L506" s="139">
        <f t="shared" si="58"/>
        <v>2</v>
      </c>
      <c r="M506" s="139">
        <f t="shared" si="61"/>
        <v>23</v>
      </c>
      <c r="N506" s="137">
        <f t="shared" si="62"/>
        <v>3.375</v>
      </c>
      <c r="O506" s="137">
        <f t="shared" si="63"/>
        <v>2.9867256637168547</v>
      </c>
      <c r="P506" s="140">
        <f>IF(OR(M506=0,M506=3),loop_gain!$B$18,IF(Current_limit!M506=1,Current_limit!$B$12/(2*(Current_limit!N506-Helper_calcs!$B$27)),IF(OR(M506=2,M506=23),(Main!$B$19-Current_limit!O506)*Current_limit!O506/(Main!$B$19*loop_gain!$B$17*(Helper_calcs!$B$26-Helper_calcs!$B$27)),x)))</f>
        <v>347267.51514831488</v>
      </c>
      <c r="Q506" s="137"/>
    </row>
    <row r="507" spans="1:17" x14ac:dyDescent="0.25">
      <c r="A507">
        <f t="shared" si="64"/>
        <v>5.6599999999999229</v>
      </c>
      <c r="B507">
        <f>Main!$B$20/A507</f>
        <v>0.88339222614842194</v>
      </c>
      <c r="D507" s="137">
        <f t="shared" si="57"/>
        <v>0.88339222614842194</v>
      </c>
      <c r="E507" s="137">
        <f>-B507*Main!$B$19-2*Main!$B$19*loop_gain!$B$17*loop_gain!$B$18</f>
        <v>-75.880706713781052</v>
      </c>
      <c r="F507" s="137">
        <f>2*Main!$B$19*loop_gain!$B$17*loop_gain!$B$18*Helper_calcs!$B$26*Current_limit!B507</f>
        <v>222.02120141343053</v>
      </c>
      <c r="G507" s="137">
        <f t="shared" si="59"/>
        <v>3.0330201591012966</v>
      </c>
      <c r="H507" s="137">
        <f>(Main!$B$19-Current_limit!G507)*Current_limit!G507/(Main!$B$19*loop_gain!$B$17*loop_gain!$B$18)</f>
        <v>0.83324235979475214</v>
      </c>
      <c r="I507" s="137">
        <f t="shared" si="60"/>
        <v>3.0167576402052445</v>
      </c>
      <c r="J507" s="137"/>
      <c r="K507" s="138">
        <f>IF(A507&gt;$B$15,IF(I507&gt;Helper_calcs!$B$27,23,3),0)</f>
        <v>23</v>
      </c>
      <c r="L507" s="139">
        <f t="shared" si="58"/>
        <v>2</v>
      </c>
      <c r="M507" s="139">
        <f t="shared" si="61"/>
        <v>23</v>
      </c>
      <c r="N507" s="137">
        <f t="shared" si="62"/>
        <v>3.375</v>
      </c>
      <c r="O507" s="137">
        <f t="shared" si="63"/>
        <v>2.9814487632509241</v>
      </c>
      <c r="P507" s="140">
        <f>IF(OR(M507=0,M507=3),loop_gain!$B$18,IF(Current_limit!M507=1,Current_limit!$B$12/(2*(Current_limit!N507-Helper_calcs!$B$27)),IF(OR(M507=2,M507=23),(Main!$B$19-Current_limit!O507)*Current_limit!O507/(Main!$B$19*loop_gain!$B$17*(Helper_calcs!$B$26-Helper_calcs!$B$27)),x)))</f>
        <v>346856.91990609682</v>
      </c>
      <c r="Q507" s="137"/>
    </row>
    <row r="508" spans="1:17" x14ac:dyDescent="0.25">
      <c r="A508">
        <f t="shared" si="64"/>
        <v>5.6699999999999227</v>
      </c>
      <c r="B508">
        <f>Main!$B$20/A508</f>
        <v>0.88183421516756055</v>
      </c>
      <c r="D508" s="137">
        <f t="shared" si="57"/>
        <v>0.88183421516756055</v>
      </c>
      <c r="E508" s="137">
        <f>-B508*Main!$B$19-2*Main!$B$19*loop_gain!$B$17*loop_gain!$B$18</f>
        <v>-75.862010582010711</v>
      </c>
      <c r="F508" s="137">
        <f>2*Main!$B$19*loop_gain!$B$17*loop_gain!$B$18*Helper_calcs!$B$26*Current_limit!B508</f>
        <v>221.6296296296326</v>
      </c>
      <c r="G508" s="137">
        <f t="shared" si="59"/>
        <v>3.0280681923346315</v>
      </c>
      <c r="H508" s="137">
        <f>(Main!$B$19-Current_limit!G508)*Current_limit!G508/(Main!$B$19*loop_gain!$B$17*loop_gain!$B$18)</f>
        <v>0.83234133978513669</v>
      </c>
      <c r="I508" s="137">
        <f t="shared" si="60"/>
        <v>3.017658660214857</v>
      </c>
      <c r="J508" s="137"/>
      <c r="K508" s="138">
        <f>IF(A508&gt;$B$15,IF(I508&gt;Helper_calcs!$B$27,23,3),0)</f>
        <v>23</v>
      </c>
      <c r="L508" s="139">
        <f t="shared" si="58"/>
        <v>2</v>
      </c>
      <c r="M508" s="139">
        <f t="shared" si="61"/>
        <v>23</v>
      </c>
      <c r="N508" s="137">
        <f t="shared" si="62"/>
        <v>3.375</v>
      </c>
      <c r="O508" s="137">
        <f t="shared" si="63"/>
        <v>2.9761904761905167</v>
      </c>
      <c r="P508" s="140">
        <f>IF(OR(M508=0,M508=3),loop_gain!$B$18,IF(Current_limit!M508=1,Current_limit!$B$12/(2*(Current_limit!N508-Helper_calcs!$B$27)),IF(OR(M508=2,M508=23),(Main!$B$19-Current_limit!O508)*Current_limit!O508/(Main!$B$19*loop_gain!$B$17*(Helper_calcs!$B$26-Helper_calcs!$B$27)),x)))</f>
        <v>346447.05835550907</v>
      </c>
      <c r="Q508" s="137"/>
    </row>
    <row r="509" spans="1:17" x14ac:dyDescent="0.25">
      <c r="A509">
        <f t="shared" si="64"/>
        <v>5.6799999999999224</v>
      </c>
      <c r="B509">
        <f>Main!$B$20/A509</f>
        <v>0.88028169014085711</v>
      </c>
      <c r="D509" s="137">
        <f t="shared" si="57"/>
        <v>0.88028169014085711</v>
      </c>
      <c r="E509" s="137">
        <f>-B509*Main!$B$19-2*Main!$B$19*loop_gain!$B$17*loop_gain!$B$18</f>
        <v>-75.843380281690273</v>
      </c>
      <c r="F509" s="137">
        <f>2*Main!$B$19*loop_gain!$B$17*loop_gain!$B$18*Helper_calcs!$B$26*Current_limit!B509</f>
        <v>221.23943661972129</v>
      </c>
      <c r="G509" s="137">
        <f t="shared" si="59"/>
        <v>3.0231329784183161</v>
      </c>
      <c r="H509" s="137">
        <f>(Main!$B$19-Current_limit!G509)*Current_limit!G509/(Main!$B$19*loop_gain!$B$17*loop_gain!$B$18)</f>
        <v>0.83144187303368267</v>
      </c>
      <c r="I509" s="137">
        <f t="shared" si="60"/>
        <v>3.0185581269663189</v>
      </c>
      <c r="J509" s="137"/>
      <c r="K509" s="138">
        <f>IF(A509&gt;$B$15,IF(I509&gt;Helper_calcs!$B$27,23,3),0)</f>
        <v>23</v>
      </c>
      <c r="L509" s="139">
        <f t="shared" si="58"/>
        <v>2</v>
      </c>
      <c r="M509" s="139">
        <f t="shared" si="61"/>
        <v>23</v>
      </c>
      <c r="N509" s="137">
        <f t="shared" si="62"/>
        <v>3.375</v>
      </c>
      <c r="O509" s="137">
        <f t="shared" si="63"/>
        <v>2.9709507042253929</v>
      </c>
      <c r="P509" s="140">
        <f>IF(OR(M509=0,M509=3),loop_gain!$B$18,IF(Current_limit!M509=1,Current_limit!$B$12/(2*(Current_limit!N509-Helper_calcs!$B$27)),IF(OR(M509=2,M509=23),(Main!$B$19-Current_limit!O509)*Current_limit!O509/(Main!$B$19*loop_gain!$B$17*(Helper_calcs!$B$26-Helper_calcs!$B$27)),x)))</f>
        <v>346037.93038915575</v>
      </c>
      <c r="Q509" s="137"/>
    </row>
    <row r="510" spans="1:17" x14ac:dyDescent="0.25">
      <c r="A510">
        <f t="shared" si="64"/>
        <v>5.6899999999999222</v>
      </c>
      <c r="B510">
        <f>Main!$B$20/A510</f>
        <v>0.87873462214412446</v>
      </c>
      <c r="D510" s="137">
        <f t="shared" si="57"/>
        <v>0.87873462214412446</v>
      </c>
      <c r="E510" s="137">
        <f>-B510*Main!$B$19-2*Main!$B$19*loop_gain!$B$17*loop_gain!$B$18</f>
        <v>-75.824815465729486</v>
      </c>
      <c r="F510" s="137">
        <f>2*Main!$B$19*loop_gain!$B$17*loop_gain!$B$18*Helper_calcs!$B$26*Current_limit!B510</f>
        <v>220.85061511423845</v>
      </c>
      <c r="G510" s="137">
        <f t="shared" si="59"/>
        <v>3.0182144294067195</v>
      </c>
      <c r="H510" s="137">
        <f>(Main!$B$19-Current_limit!G510)*Current_limit!G510/(Main!$B$19*loop_gain!$B$17*loop_gain!$B$18)</f>
        <v>0.83054395867039554</v>
      </c>
      <c r="I510" s="137">
        <f t="shared" si="60"/>
        <v>3.0194560413296019</v>
      </c>
      <c r="J510" s="137"/>
      <c r="K510" s="138">
        <f>IF(A510&gt;$B$15,IF(I510&gt;Helper_calcs!$B$27,23,3),0)</f>
        <v>23</v>
      </c>
      <c r="L510" s="139">
        <f t="shared" si="58"/>
        <v>2</v>
      </c>
      <c r="M510" s="139">
        <f t="shared" si="61"/>
        <v>23</v>
      </c>
      <c r="N510" s="137">
        <f t="shared" si="62"/>
        <v>3.375</v>
      </c>
      <c r="O510" s="137">
        <f t="shared" si="63"/>
        <v>2.9657293497364199</v>
      </c>
      <c r="P510" s="140">
        <f>IF(OR(M510=0,M510=3),loop_gain!$B$18,IF(Current_limit!M510=1,Current_limit!$B$12/(2*(Current_limit!N510-Helper_calcs!$B$27)),IF(OR(M510=2,M510=23),(Main!$B$19-Current_limit!O510)*Current_limit!O510/(Main!$B$19*loop_gain!$B$17*(Helper_calcs!$B$26-Helper_calcs!$B$27)),x)))</f>
        <v>345629.53587395546</v>
      </c>
      <c r="Q510" s="137"/>
    </row>
    <row r="511" spans="1:17" x14ac:dyDescent="0.25">
      <c r="A511">
        <f t="shared" si="64"/>
        <v>5.699999999999922</v>
      </c>
      <c r="B511">
        <f>Main!$B$20/A511</f>
        <v>0.8771929824561524</v>
      </c>
      <c r="D511" s="137">
        <f t="shared" si="57"/>
        <v>0.8771929824561524</v>
      </c>
      <c r="E511" s="137">
        <f>-B511*Main!$B$19-2*Main!$B$19*loop_gain!$B$17*loop_gain!$B$18</f>
        <v>-75.806315789473814</v>
      </c>
      <c r="F511" s="137">
        <f>2*Main!$B$19*loop_gain!$B$17*loop_gain!$B$18*Helper_calcs!$B$26*Current_limit!B511</f>
        <v>220.46315789473982</v>
      </c>
      <c r="G511" s="137">
        <f t="shared" si="59"/>
        <v>3.0133124579893957</v>
      </c>
      <c r="H511" s="137">
        <f>(Main!$B$19-Current_limit!G511)*Current_limit!G511/(Main!$B$19*loop_gain!$B$17*loop_gain!$B$18)</f>
        <v>0.82964759578427261</v>
      </c>
      <c r="I511" s="137">
        <f t="shared" si="60"/>
        <v>3.0203524042157275</v>
      </c>
      <c r="J511" s="137"/>
      <c r="K511" s="138">
        <f>IF(A511&gt;$B$15,IF(I511&gt;Helper_calcs!$B$27,23,3),0)</f>
        <v>23</v>
      </c>
      <c r="L511" s="139">
        <f t="shared" si="58"/>
        <v>2</v>
      </c>
      <c r="M511" s="139">
        <f t="shared" si="61"/>
        <v>23</v>
      </c>
      <c r="N511" s="137">
        <f t="shared" si="62"/>
        <v>3.375</v>
      </c>
      <c r="O511" s="137">
        <f t="shared" si="63"/>
        <v>2.9605263157895143</v>
      </c>
      <c r="P511" s="140">
        <f>IF(OR(M511=0,M511=3),loop_gain!$B$18,IF(Current_limit!M511=1,Current_limit!$B$12/(2*(Current_limit!N511-Helper_calcs!$B$27)),IF(OR(M511=2,M511=23),(Main!$B$19-Current_limit!O511)*Current_limit!O511/(Main!$B$19*loop_gain!$B$17*(Helper_calcs!$B$26-Helper_calcs!$B$27)),x)))</f>
        <v>345221.87465159874</v>
      </c>
      <c r="Q511" s="137"/>
    </row>
    <row r="512" spans="1:17" x14ac:dyDescent="0.25">
      <c r="A512">
        <f t="shared" si="64"/>
        <v>5.7099999999999218</v>
      </c>
      <c r="B512">
        <f>Main!$B$20/A512</f>
        <v>0.87565674255692971</v>
      </c>
      <c r="D512" s="137">
        <f t="shared" si="57"/>
        <v>0.87565674255692971</v>
      </c>
      <c r="E512" s="137">
        <f>-B512*Main!$B$19-2*Main!$B$19*loop_gain!$B$17*loop_gain!$B$18</f>
        <v>-75.787880910683143</v>
      </c>
      <c r="F512" s="137">
        <f>2*Main!$B$19*loop_gain!$B$17*loop_gain!$B$18*Helper_calcs!$B$26*Current_limit!B512</f>
        <v>220.07705779334799</v>
      </c>
      <c r="G512" s="137">
        <f t="shared" si="59"/>
        <v>3.0084269774851258</v>
      </c>
      <c r="H512" s="137">
        <f>(Main!$B$19-Current_limit!G512)*Current_limit!G512/(Main!$B$19*loop_gain!$B$17*loop_gain!$B$18)</f>
        <v>0.82875278342405723</v>
      </c>
      <c r="I512" s="137">
        <f t="shared" si="60"/>
        <v>3.0212472165759379</v>
      </c>
      <c r="J512" s="137"/>
      <c r="K512" s="138">
        <f>IF(A512&gt;$B$15,IF(I512&gt;Helper_calcs!$B$27,23,3),0)</f>
        <v>23</v>
      </c>
      <c r="L512" s="139">
        <f t="shared" si="58"/>
        <v>2</v>
      </c>
      <c r="M512" s="139">
        <f t="shared" si="61"/>
        <v>23</v>
      </c>
      <c r="N512" s="137">
        <f t="shared" si="62"/>
        <v>3.375</v>
      </c>
      <c r="O512" s="137">
        <f t="shared" si="63"/>
        <v>2.955341506129638</v>
      </c>
      <c r="P512" s="140">
        <f>IF(OR(M512=0,M512=3),loop_gain!$B$18,IF(Current_limit!M512=1,Current_limit!$B$12/(2*(Current_limit!N512-Helper_calcs!$B$27)),IF(OR(M512=2,M512=23),(Main!$B$19-Current_limit!O512)*Current_limit!O512/(Main!$B$19*loop_gain!$B$17*(Helper_calcs!$B$26-Helper_calcs!$B$27)),x)))</f>
        <v>344814.94653899712</v>
      </c>
      <c r="Q512" s="137"/>
    </row>
    <row r="513" spans="1:17" x14ac:dyDescent="0.25">
      <c r="A513">
        <f t="shared" si="64"/>
        <v>5.7199999999999216</v>
      </c>
      <c r="B513">
        <f>Main!$B$20/A513</f>
        <v>0.87412587412588616</v>
      </c>
      <c r="D513" s="137">
        <f t="shared" si="57"/>
        <v>0.87412587412588616</v>
      </c>
      <c r="E513" s="137">
        <f>-B513*Main!$B$19-2*Main!$B$19*loop_gain!$B$17*loop_gain!$B$18</f>
        <v>-75.769510489510623</v>
      </c>
      <c r="F513" s="137">
        <f>2*Main!$B$19*loop_gain!$B$17*loop_gain!$B$18*Helper_calcs!$B$26*Current_limit!B513</f>
        <v>219.69230769231066</v>
      </c>
      <c r="G513" s="137">
        <f t="shared" si="59"/>
        <v>3.0035579018361447</v>
      </c>
      <c r="H513" s="137">
        <f>(Main!$B$19-Current_limit!G513)*Current_limit!G513/(Main!$B$19*loop_gain!$B$17*loop_gain!$B$18)</f>
        <v>0.82785952059900114</v>
      </c>
      <c r="I513" s="137">
        <f t="shared" si="60"/>
        <v>3.0221404794010014</v>
      </c>
      <c r="J513" s="137"/>
      <c r="K513" s="138">
        <f>IF(A513&gt;$B$15,IF(I513&gt;Helper_calcs!$B$27,23,3),0)</f>
        <v>23</v>
      </c>
      <c r="L513" s="139">
        <f t="shared" si="58"/>
        <v>2</v>
      </c>
      <c r="M513" s="139">
        <f t="shared" si="61"/>
        <v>23</v>
      </c>
      <c r="N513" s="137">
        <f t="shared" si="62"/>
        <v>3.375</v>
      </c>
      <c r="O513" s="137">
        <f t="shared" si="63"/>
        <v>2.9501748251748658</v>
      </c>
      <c r="P513" s="140">
        <f>IF(OR(M513=0,M513=3),loop_gain!$B$18,IF(Current_limit!M513=1,Current_limit!$B$12/(2*(Current_limit!N513-Helper_calcs!$B$27)),IF(OR(M513=2,M513=23),(Main!$B$19-Current_limit!O513)*Current_limit!O513/(Main!$B$19*loop_gain!$B$17*(Helper_calcs!$B$26-Helper_calcs!$B$27)),x)))</f>
        <v>344408.75132872601</v>
      </c>
      <c r="Q513" s="137"/>
    </row>
    <row r="514" spans="1:17" x14ac:dyDescent="0.25">
      <c r="A514">
        <f t="shared" si="64"/>
        <v>5.7299999999999214</v>
      </c>
      <c r="B514">
        <f>Main!$B$20/A514</f>
        <v>0.8726003490401516</v>
      </c>
      <c r="D514" s="137">
        <f t="shared" si="57"/>
        <v>0.8726003490401516</v>
      </c>
      <c r="E514" s="137">
        <f>-B514*Main!$B$19-2*Main!$B$19*loop_gain!$B$17*loop_gain!$B$18</f>
        <v>-75.751204188481807</v>
      </c>
      <c r="F514" s="137">
        <f>2*Main!$B$19*loop_gain!$B$17*loop_gain!$B$18*Helper_calcs!$B$26*Current_limit!B514</f>
        <v>219.30890052356318</v>
      </c>
      <c r="G514" s="137">
        <f t="shared" si="59"/>
        <v>2.9987051456023113</v>
      </c>
      <c r="H514" s="137">
        <f>(Main!$B$19-Current_limit!G514)*Current_limit!G514/(Main!$B$19*loop_gain!$B$17*loop_gain!$B$18)</f>
        <v>0.82696780627959432</v>
      </c>
      <c r="I514" s="137">
        <f t="shared" si="60"/>
        <v>3.0230321937204043</v>
      </c>
      <c r="J514" s="137"/>
      <c r="K514" s="138">
        <f>IF(A514&gt;$B$15,IF(I514&gt;Helper_calcs!$B$27,23,3),0)</f>
        <v>23</v>
      </c>
      <c r="L514" s="139">
        <f t="shared" si="58"/>
        <v>2</v>
      </c>
      <c r="M514" s="139">
        <f t="shared" si="61"/>
        <v>23</v>
      </c>
      <c r="N514" s="137">
        <f t="shared" si="62"/>
        <v>3.375</v>
      </c>
      <c r="O514" s="137">
        <f t="shared" si="63"/>
        <v>2.9450261780105116</v>
      </c>
      <c r="P514" s="140">
        <f>IF(OR(M514=0,M514=3),loop_gain!$B$18,IF(Current_limit!M514=1,Current_limit!$B$12/(2*(Current_limit!N514-Helper_calcs!$B$27)),IF(OR(M514=2,M514=23),(Main!$B$19-Current_limit!O514)*Current_limit!O514/(Main!$B$19*loop_gain!$B$17*(Helper_calcs!$B$26-Helper_calcs!$B$27)),x)))</f>
        <v>344003.28878945997</v>
      </c>
      <c r="Q514" s="137"/>
    </row>
    <row r="515" spans="1:17" x14ac:dyDescent="0.25">
      <c r="A515">
        <f t="shared" si="64"/>
        <v>5.7399999999999212</v>
      </c>
      <c r="B515">
        <f>Main!$B$20/A515</f>
        <v>0.87108013937283424</v>
      </c>
      <c r="D515" s="137">
        <f t="shared" si="57"/>
        <v>0.87108013937283424</v>
      </c>
      <c r="E515" s="137">
        <f>-B515*Main!$B$19-2*Main!$B$19*loop_gain!$B$17*loop_gain!$B$18</f>
        <v>-75.732961672474005</v>
      </c>
      <c r="F515" s="137">
        <f>2*Main!$B$19*loop_gain!$B$17*loop_gain!$B$18*Helper_calcs!$B$26*Current_limit!B515</f>
        <v>218.92682926829565</v>
      </c>
      <c r="G515" s="137">
        <f t="shared" si="59"/>
        <v>2.9938686239554833</v>
      </c>
      <c r="H515" s="137">
        <f>(Main!$B$19-Current_limit!G515)*Current_limit!G515/(Main!$B$19*loop_gain!$B$17*loop_gain!$B$18)</f>
        <v>0.82607763939830592</v>
      </c>
      <c r="I515" s="137">
        <f t="shared" si="60"/>
        <v>3.0239223606016949</v>
      </c>
      <c r="J515" s="137"/>
      <c r="K515" s="138">
        <f>IF(A515&gt;$B$15,IF(I515&gt;Helper_calcs!$B$27,23,3),0)</f>
        <v>23</v>
      </c>
      <c r="L515" s="139">
        <f t="shared" si="58"/>
        <v>2</v>
      </c>
      <c r="M515" s="139">
        <f t="shared" si="61"/>
        <v>23</v>
      </c>
      <c r="N515" s="137">
        <f t="shared" si="62"/>
        <v>3.375</v>
      </c>
      <c r="O515" s="137">
        <f t="shared" si="63"/>
        <v>2.9398954703833153</v>
      </c>
      <c r="P515" s="140">
        <f>IF(OR(M515=0,M515=3),loop_gain!$B$18,IF(Current_limit!M515=1,Current_limit!$B$12/(2*(Current_limit!N515-Helper_calcs!$B$27)),IF(OR(M515=2,M515=23),(Main!$B$19-Current_limit!O515)*Current_limit!O515/(Main!$B$19*loop_gain!$B$17*(Helper_calcs!$B$26-Helper_calcs!$B$27)),x)))</f>
        <v>343598.55866640148</v>
      </c>
      <c r="Q515" s="137"/>
    </row>
    <row r="516" spans="1:17" x14ac:dyDescent="0.25">
      <c r="A516">
        <f t="shared" si="64"/>
        <v>5.749999999999921</v>
      </c>
      <c r="B516">
        <f>Main!$B$20/A516</f>
        <v>0.86956521739131631</v>
      </c>
      <c r="D516" s="137">
        <f t="shared" si="57"/>
        <v>0.86956521739131631</v>
      </c>
      <c r="E516" s="137">
        <f>-B516*Main!$B$19-2*Main!$B$19*loop_gain!$B$17*loop_gain!$B$18</f>
        <v>-75.714782608695785</v>
      </c>
      <c r="F516" s="137">
        <f>2*Main!$B$19*loop_gain!$B$17*loop_gain!$B$18*Helper_calcs!$B$26*Current_limit!B516</f>
        <v>218.5460869565247</v>
      </c>
      <c r="G516" s="137">
        <f t="shared" si="59"/>
        <v>2.9890482526738285</v>
      </c>
      <c r="H516" s="137">
        <f>(Main!$B$19-Current_limit!G516)*Current_limit!G516/(Main!$B$19*loop_gain!$B$17*loop_gain!$B$18)</f>
        <v>0.82518901885029039</v>
      </c>
      <c r="I516" s="137">
        <f t="shared" si="60"/>
        <v>3.0248109811497104</v>
      </c>
      <c r="J516" s="137"/>
      <c r="K516" s="138">
        <f>IF(A516&gt;$B$15,IF(I516&gt;Helper_calcs!$B$27,23,3),0)</f>
        <v>23</v>
      </c>
      <c r="L516" s="139">
        <f t="shared" si="58"/>
        <v>2</v>
      </c>
      <c r="M516" s="139">
        <f t="shared" si="61"/>
        <v>23</v>
      </c>
      <c r="N516" s="137">
        <f t="shared" si="62"/>
        <v>3.375</v>
      </c>
      <c r="O516" s="137">
        <f t="shared" si="63"/>
        <v>2.9347826086956927</v>
      </c>
      <c r="P516" s="140">
        <f>IF(OR(M516=0,M516=3),loop_gain!$B$18,IF(Current_limit!M516=1,Current_limit!$B$12/(2*(Current_limit!N516-Helper_calcs!$B$27)),IF(OR(M516=2,M516=23),(Main!$B$19-Current_limit!O516)*Current_limit!O516/(Main!$B$19*loop_gain!$B$17*(Helper_calcs!$B$26-Helper_calcs!$B$27)),x)))</f>
        <v>343194.56068170298</v>
      </c>
      <c r="Q516" s="137"/>
    </row>
    <row r="517" spans="1:17" x14ac:dyDescent="0.25">
      <c r="A517">
        <f t="shared" si="64"/>
        <v>5.7599999999999207</v>
      </c>
      <c r="B517">
        <f>Main!$B$20/A517</f>
        <v>0.86805555555556746</v>
      </c>
      <c r="D517" s="137">
        <f t="shared" si="57"/>
        <v>0.86805555555556746</v>
      </c>
      <c r="E517" s="137">
        <f>-B517*Main!$B$19-2*Main!$B$19*loop_gain!$B$17*loop_gain!$B$18</f>
        <v>-75.6966666666668</v>
      </c>
      <c r="F517" s="137">
        <f>2*Main!$B$19*loop_gain!$B$17*loop_gain!$B$18*Helper_calcs!$B$26*Current_limit!B517</f>
        <v>218.16666666666961</v>
      </c>
      <c r="G517" s="137">
        <f t="shared" si="59"/>
        <v>2.9842439481362826</v>
      </c>
      <c r="H517" s="137">
        <f>(Main!$B$19-Current_limit!G517)*Current_limit!G517/(Main!$B$19*loop_gain!$B$17*loop_gain!$B$18)</f>
        <v>0.82430194349409847</v>
      </c>
      <c r="I517" s="137">
        <f t="shared" si="60"/>
        <v>3.0256980565059015</v>
      </c>
      <c r="J517" s="137"/>
      <c r="K517" s="138">
        <f>IF(A517&gt;$B$15,IF(I517&gt;Helper_calcs!$B$27,23,3),0)</f>
        <v>23</v>
      </c>
      <c r="L517" s="139">
        <f t="shared" si="58"/>
        <v>2</v>
      </c>
      <c r="M517" s="139">
        <f t="shared" si="61"/>
        <v>23</v>
      </c>
      <c r="N517" s="137">
        <f t="shared" si="62"/>
        <v>3.375</v>
      </c>
      <c r="O517" s="137">
        <f t="shared" si="63"/>
        <v>2.92968750000004</v>
      </c>
      <c r="P517" s="140">
        <f>IF(OR(M517=0,M517=3),loop_gain!$B$18,IF(Current_limit!M517=1,Current_limit!$B$12/(2*(Current_limit!N517-Helper_calcs!$B$27)),IF(OR(M517=2,M517=23),(Main!$B$19-Current_limit!O517)*Current_limit!O517/(Main!$B$19*loop_gain!$B$17*(Helper_calcs!$B$26-Helper_calcs!$B$27)),x)))</f>
        <v>342791.29453488131</v>
      </c>
      <c r="Q517" s="137"/>
    </row>
    <row r="518" spans="1:17" x14ac:dyDescent="0.25">
      <c r="A518">
        <f t="shared" si="64"/>
        <v>5.7699999999999205</v>
      </c>
      <c r="B518">
        <f>Main!$B$20/A518</f>
        <v>0.86655112651647637</v>
      </c>
      <c r="D518" s="137">
        <f t="shared" si="57"/>
        <v>0.86655112651647637</v>
      </c>
      <c r="E518" s="137">
        <f>-B518*Main!$B$19-2*Main!$B$19*loop_gain!$B$17*loop_gain!$B$18</f>
        <v>-75.678613518197707</v>
      </c>
      <c r="F518" s="137">
        <f>2*Main!$B$19*loop_gain!$B$17*loop_gain!$B$18*Helper_calcs!$B$26*Current_limit!B518</f>
        <v>217.78856152513293</v>
      </c>
      <c r="G518" s="137">
        <f t="shared" si="59"/>
        <v>2.9794556273170389</v>
      </c>
      <c r="H518" s="137">
        <f>(Main!$B$19-Current_limit!G518)*Current_limit!G518/(Main!$B$19*loop_gain!$B$17*loop_gain!$B$18)</f>
        <v>0.82341641215236827</v>
      </c>
      <c r="I518" s="137">
        <f t="shared" si="60"/>
        <v>3.0265835878476315</v>
      </c>
      <c r="J518" s="137"/>
      <c r="K518" s="138">
        <f>IF(A518&gt;$B$15,IF(I518&gt;Helper_calcs!$B$27,23,3),0)</f>
        <v>23</v>
      </c>
      <c r="L518" s="139">
        <f t="shared" si="58"/>
        <v>2</v>
      </c>
      <c r="M518" s="139">
        <f t="shared" si="61"/>
        <v>23</v>
      </c>
      <c r="N518" s="137">
        <f t="shared" si="62"/>
        <v>3.375</v>
      </c>
      <c r="O518" s="137">
        <f t="shared" si="63"/>
        <v>2.9246100519931075</v>
      </c>
      <c r="P518" s="140">
        <f>IF(OR(M518=0,M518=3),loop_gain!$B$18,IF(Current_limit!M518=1,Current_limit!$B$12/(2*(Current_limit!N518-Helper_calcs!$B$27)),IF(OR(M518=2,M518=23),(Main!$B$19-Current_limit!O518)*Current_limit!O518/(Main!$B$19*loop_gain!$B$17*(Helper_calcs!$B$26-Helper_calcs!$B$27)),x)))</f>
        <v>342388.75990322704</v>
      </c>
      <c r="Q518" s="137"/>
    </row>
    <row r="519" spans="1:17" x14ac:dyDescent="0.25">
      <c r="A519">
        <f t="shared" si="64"/>
        <v>5.7799999999999203</v>
      </c>
      <c r="B519">
        <f>Main!$B$20/A519</f>
        <v>0.86505190311419877</v>
      </c>
      <c r="D519" s="137">
        <f t="shared" si="57"/>
        <v>0.86505190311419877</v>
      </c>
      <c r="E519" s="137">
        <f>-B519*Main!$B$19-2*Main!$B$19*loop_gain!$B$17*loop_gain!$B$18</f>
        <v>-75.660622837370369</v>
      </c>
      <c r="F519" s="137">
        <f>2*Main!$B$19*loop_gain!$B$17*loop_gain!$B$18*Helper_calcs!$B$26*Current_limit!B519</f>
        <v>217.4117647058853</v>
      </c>
      <c r="G519" s="137">
        <f t="shared" si="59"/>
        <v>2.9746832077800991</v>
      </c>
      <c r="H519" s="137">
        <f>(Main!$B$19-Current_limit!G519)*Current_limit!G519/(Main!$B$19*loop_gain!$B$17*loop_gain!$B$18)</f>
        <v>0.822532423612509</v>
      </c>
      <c r="I519" s="137">
        <f t="shared" si="60"/>
        <v>3.0274675763874925</v>
      </c>
      <c r="J519" s="137"/>
      <c r="K519" s="138">
        <f>IF(A519&gt;$B$15,IF(I519&gt;Helper_calcs!$B$27,23,3),0)</f>
        <v>23</v>
      </c>
      <c r="L519" s="139">
        <f t="shared" si="58"/>
        <v>2</v>
      </c>
      <c r="M519" s="139">
        <f t="shared" si="61"/>
        <v>23</v>
      </c>
      <c r="N519" s="137">
        <f t="shared" si="62"/>
        <v>3.375</v>
      </c>
      <c r="O519" s="137">
        <f t="shared" si="63"/>
        <v>2.9195501730104207</v>
      </c>
      <c r="P519" s="140">
        <f>IF(OR(M519=0,M519=3),loop_gain!$B$18,IF(Current_limit!M519=1,Current_limit!$B$12/(2*(Current_limit!N519-Helper_calcs!$B$27)),IF(OR(M519=2,M519=23),(Main!$B$19-Current_limit!O519)*Current_limit!O519/(Main!$B$19*loop_gain!$B$17*(Helper_calcs!$B$26-Helper_calcs!$B$27)),x)))</f>
        <v>341986.95644220675</v>
      </c>
      <c r="Q519" s="137"/>
    </row>
    <row r="520" spans="1:17" x14ac:dyDescent="0.25">
      <c r="A520">
        <f t="shared" si="64"/>
        <v>5.7899999999999201</v>
      </c>
      <c r="B520">
        <f>Main!$B$20/A520</f>
        <v>0.8635578583765231</v>
      </c>
      <c r="D520" s="137">
        <f t="shared" si="57"/>
        <v>0.8635578583765231</v>
      </c>
      <c r="E520" s="137">
        <f>-B520*Main!$B$19-2*Main!$B$19*loop_gain!$B$17*loop_gain!$B$18</f>
        <v>-75.642694300518258</v>
      </c>
      <c r="F520" s="137">
        <f>2*Main!$B$19*loop_gain!$B$17*loop_gain!$B$18*Helper_calcs!$B$26*Current_limit!B520</f>
        <v>217.03626943005474</v>
      </c>
      <c r="G520" s="137">
        <f t="shared" si="59"/>
        <v>2.9699266076738917</v>
      </c>
      <c r="H520" s="137">
        <f>(Main!$B$19-Current_limit!G520)*Current_limit!G520/(Main!$B$19*loop_gain!$B$17*loop_gain!$B$18)</f>
        <v>0.82164997662737005</v>
      </c>
      <c r="I520" s="137">
        <f t="shared" si="60"/>
        <v>3.0283500233726341</v>
      </c>
      <c r="J520" s="137"/>
      <c r="K520" s="138">
        <f>IF(A520&gt;$B$15,IF(I520&gt;Helper_calcs!$B$27,23,3),0)</f>
        <v>23</v>
      </c>
      <c r="L520" s="139">
        <f t="shared" si="58"/>
        <v>2</v>
      </c>
      <c r="M520" s="139">
        <f t="shared" si="61"/>
        <v>23</v>
      </c>
      <c r="N520" s="137">
        <f t="shared" si="62"/>
        <v>3.375</v>
      </c>
      <c r="O520" s="137">
        <f t="shared" si="63"/>
        <v>2.9145077720207655</v>
      </c>
      <c r="P520" s="140">
        <f>IF(OR(M520=0,M520=3),loop_gain!$B$18,IF(Current_limit!M520=1,Current_limit!$B$12/(2*(Current_limit!N520-Helper_calcs!$B$27)),IF(OR(M520=2,M520=23),(Main!$B$19-Current_limit!O520)*Current_limit!O520/(Main!$B$19*loop_gain!$B$17*(Helper_calcs!$B$26-Helper_calcs!$B$27)),x)))</f>
        <v>341585.88378585834</v>
      </c>
      <c r="Q520" s="137"/>
    </row>
    <row r="521" spans="1:17" x14ac:dyDescent="0.25">
      <c r="A521">
        <f t="shared" si="64"/>
        <v>5.7999999999999199</v>
      </c>
      <c r="B521">
        <f>Main!$B$20/A521</f>
        <v>0.86206896551725332</v>
      </c>
      <c r="D521" s="137">
        <f t="shared" si="57"/>
        <v>0.86206896551725332</v>
      </c>
      <c r="E521" s="137">
        <f>-B521*Main!$B$19-2*Main!$B$19*loop_gain!$B$17*loop_gain!$B$18</f>
        <v>-75.624827586207033</v>
      </c>
      <c r="F521" s="137">
        <f>2*Main!$B$19*loop_gain!$B$17*loop_gain!$B$18*Helper_calcs!$B$26*Current_limit!B521</f>
        <v>216.66206896552021</v>
      </c>
      <c r="G521" s="137">
        <f t="shared" si="59"/>
        <v>2.9651857457259476</v>
      </c>
      <c r="H521" s="137">
        <f>(Main!$B$19-Current_limit!G521)*Current_limit!G521/(Main!$B$19*loop_gain!$B$17*loop_gain!$B$18)</f>
        <v>0.82076906991590182</v>
      </c>
      <c r="I521" s="137">
        <f t="shared" si="60"/>
        <v>3.0292309300841005</v>
      </c>
      <c r="J521" s="137"/>
      <c r="K521" s="138">
        <f>IF(A521&gt;$B$15,IF(I521&gt;Helper_calcs!$B$27,23,3),0)</f>
        <v>23</v>
      </c>
      <c r="L521" s="139">
        <f t="shared" si="58"/>
        <v>2</v>
      </c>
      <c r="M521" s="139">
        <f t="shared" si="61"/>
        <v>23</v>
      </c>
      <c r="N521" s="137">
        <f t="shared" si="62"/>
        <v>3.375</v>
      </c>
      <c r="O521" s="137">
        <f t="shared" si="63"/>
        <v>2.9094827586207299</v>
      </c>
      <c r="P521" s="140">
        <f>IF(OR(M521=0,M521=3),loop_gain!$B$18,IF(Current_limit!M521=1,Current_limit!$B$12/(2*(Current_limit!N521-Helper_calcs!$B$27)),IF(OR(M521=2,M521=23),(Main!$B$19-Current_limit!O521)*Current_limit!O521/(Main!$B$19*loop_gain!$B$17*(Helper_calcs!$B$26-Helper_calcs!$B$27)),x)))</f>
        <v>341185.54154718097</v>
      </c>
      <c r="Q521" s="137"/>
    </row>
    <row r="522" spans="1:17" x14ac:dyDescent="0.25">
      <c r="A522">
        <f t="shared" si="64"/>
        <v>5.8099999999999197</v>
      </c>
      <c r="B522">
        <f>Main!$B$20/A522</f>
        <v>0.86058519793460742</v>
      </c>
      <c r="D522" s="137">
        <f t="shared" si="57"/>
        <v>0.86058519793460742</v>
      </c>
      <c r="E522" s="137">
        <f>-B522*Main!$B$19-2*Main!$B$19*loop_gain!$B$17*loop_gain!$B$18</f>
        <v>-75.60702237521528</v>
      </c>
      <c r="F522" s="137">
        <f>2*Main!$B$19*loop_gain!$B$17*loop_gain!$B$18*Helper_calcs!$B$26*Current_limit!B522</f>
        <v>216.28915662650897</v>
      </c>
      <c r="G522" s="137">
        <f t="shared" si="59"/>
        <v>2.9604605412376421</v>
      </c>
      <c r="H522" s="137">
        <f>(Main!$B$19-Current_limit!G522)*Current_limit!G522/(Main!$B$19*loop_gain!$B$17*loop_gain!$B$18)</f>
        <v>0.8198897021638063</v>
      </c>
      <c r="I522" s="137">
        <f t="shared" si="60"/>
        <v>3.0301102978361896</v>
      </c>
      <c r="J522" s="137"/>
      <c r="K522" s="138">
        <f>IF(A522&gt;$B$15,IF(I522&gt;Helper_calcs!$B$27,23,3),0)</f>
        <v>23</v>
      </c>
      <c r="L522" s="139">
        <f t="shared" si="58"/>
        <v>2</v>
      </c>
      <c r="M522" s="139">
        <f t="shared" si="61"/>
        <v>23</v>
      </c>
      <c r="N522" s="137">
        <f t="shared" si="62"/>
        <v>3.375</v>
      </c>
      <c r="O522" s="137">
        <f t="shared" si="63"/>
        <v>2.9044750430292998</v>
      </c>
      <c r="P522" s="140">
        <f>IF(OR(M522=0,M522=3),loop_gain!$B$18,IF(Current_limit!M522=1,Current_limit!$B$12/(2*(Current_limit!N522-Helper_calcs!$B$27)),IF(OR(M522=2,M522=23),(Main!$B$19-Current_limit!O522)*Current_limit!O522/(Main!$B$19*loop_gain!$B$17*(Helper_calcs!$B$26-Helper_calcs!$B$27)),x)))</f>
        <v>340785.92931851832</v>
      </c>
      <c r="Q522" s="137"/>
    </row>
    <row r="523" spans="1:17" x14ac:dyDescent="0.25">
      <c r="A523">
        <f t="shared" si="64"/>
        <v>5.8199999999999195</v>
      </c>
      <c r="B523">
        <f>Main!$B$20/A523</f>
        <v>0.85910652920963393</v>
      </c>
      <c r="D523" s="137">
        <f t="shared" si="57"/>
        <v>0.85910652920963393</v>
      </c>
      <c r="E523" s="137">
        <f>-B523*Main!$B$19-2*Main!$B$19*loop_gain!$B$17*loop_gain!$B$18</f>
        <v>-75.589278350515599</v>
      </c>
      <c r="F523" s="137">
        <f>2*Main!$B$19*loop_gain!$B$17*loop_gain!$B$18*Helper_calcs!$B$26*Current_limit!B523</f>
        <v>215.91752577319883</v>
      </c>
      <c r="G523" s="137">
        <f t="shared" si="59"/>
        <v>2.955750914079005</v>
      </c>
      <c r="H523" s="137">
        <f>(Main!$B$19-Current_limit!G523)*Current_limit!G523/(Main!$B$19*loop_gain!$B$17*loop_gain!$B$18)</f>
        <v>0.81901187202417869</v>
      </c>
      <c r="I523" s="137">
        <f t="shared" si="60"/>
        <v>3.0309881279758248</v>
      </c>
      <c r="J523" s="137"/>
      <c r="K523" s="138">
        <f>IF(A523&gt;$B$15,IF(I523&gt;Helper_calcs!$B$27,23,3),0)</f>
        <v>23</v>
      </c>
      <c r="L523" s="139">
        <f t="shared" si="58"/>
        <v>2</v>
      </c>
      <c r="M523" s="139">
        <f t="shared" si="61"/>
        <v>23</v>
      </c>
      <c r="N523" s="137">
        <f t="shared" si="62"/>
        <v>3.375</v>
      </c>
      <c r="O523" s="137">
        <f t="shared" si="63"/>
        <v>2.8994845360825146</v>
      </c>
      <c r="P523" s="140">
        <f>IF(OR(M523=0,M523=3),loop_gain!$B$18,IF(Current_limit!M523=1,Current_limit!$B$12/(2*(Current_limit!N523-Helper_calcs!$B$27)),IF(OR(M523=2,M523=23),(Main!$B$19-Current_limit!O523)*Current_limit!O523/(Main!$B$19*loop_gain!$B$17*(Helper_calcs!$B$26-Helper_calcs!$B$27)),x)))</f>
        <v>340387.04667193681</v>
      </c>
      <c r="Q523" s="137"/>
    </row>
    <row r="524" spans="1:17" x14ac:dyDescent="0.25">
      <c r="A524">
        <f t="shared" si="64"/>
        <v>5.8299999999999192</v>
      </c>
      <c r="B524">
        <f>Main!$B$20/A524</f>
        <v>0.85763293310464306</v>
      </c>
      <c r="D524" s="137">
        <f t="shared" si="57"/>
        <v>0.85763293310464306</v>
      </c>
      <c r="E524" s="137">
        <f>-B524*Main!$B$19-2*Main!$B$19*loop_gain!$B$17*loop_gain!$B$18</f>
        <v>-75.571595197255704</v>
      </c>
      <c r="F524" s="137">
        <f>2*Main!$B$19*loop_gain!$B$17*loop_gain!$B$18*Helper_calcs!$B$26*Current_limit!B524</f>
        <v>215.5471698113237</v>
      </c>
      <c r="G524" s="137">
        <f t="shared" si="59"/>
        <v>2.9510567846835221</v>
      </c>
      <c r="H524" s="137">
        <f>(Main!$B$19-Current_limit!G524)*Current_limit!G524/(Main!$B$19*loop_gain!$B$17*loop_gain!$B$18)</f>
        <v>0.81813557811812565</v>
      </c>
      <c r="I524" s="137">
        <f t="shared" si="60"/>
        <v>3.0318644218818762</v>
      </c>
      <c r="J524" s="137"/>
      <c r="K524" s="138">
        <f>IF(A524&gt;$B$15,IF(I524&gt;Helper_calcs!$B$27,23,3),0)</f>
        <v>23</v>
      </c>
      <c r="L524" s="139">
        <f t="shared" si="58"/>
        <v>2</v>
      </c>
      <c r="M524" s="139">
        <f t="shared" si="61"/>
        <v>23</v>
      </c>
      <c r="N524" s="137">
        <f t="shared" si="62"/>
        <v>3.375</v>
      </c>
      <c r="O524" s="137">
        <f t="shared" si="63"/>
        <v>2.8945111492281703</v>
      </c>
      <c r="P524" s="140">
        <f>IF(OR(M524=0,M524=3),loop_gain!$B$18,IF(Current_limit!M524=1,Current_limit!$B$12/(2*(Current_limit!N524-Helper_calcs!$B$27)),IF(OR(M524=2,M524=23),(Main!$B$19-Current_limit!O524)*Current_limit!O524/(Main!$B$19*loop_gain!$B$17*(Helper_calcs!$B$26-Helper_calcs!$B$27)),x)))</f>
        <v>339988.89315959567</v>
      </c>
      <c r="Q524" s="137"/>
    </row>
    <row r="525" spans="1:17" x14ac:dyDescent="0.25">
      <c r="A525">
        <f t="shared" si="64"/>
        <v>5.839999999999919</v>
      </c>
      <c r="B525">
        <f>Main!$B$20/A525</f>
        <v>0.8561643835616557</v>
      </c>
      <c r="D525" s="137">
        <f t="shared" si="57"/>
        <v>0.8561643835616557</v>
      </c>
      <c r="E525" s="137">
        <f>-B525*Main!$B$19-2*Main!$B$19*loop_gain!$B$17*loop_gain!$B$18</f>
        <v>-75.553972602739861</v>
      </c>
      <c r="F525" s="137">
        <f>2*Main!$B$19*loop_gain!$B$17*loop_gain!$B$18*Helper_calcs!$B$26*Current_limit!B525</f>
        <v>215.17808219178374</v>
      </c>
      <c r="G525" s="137">
        <f t="shared" si="59"/>
        <v>2.94637807404311</v>
      </c>
      <c r="H525" s="137">
        <f>(Main!$B$19-Current_limit!G525)*Current_limit!G525/(Main!$B$19*loop_gain!$B$17*loop_gain!$B$18)</f>
        <v>0.81726081903539638</v>
      </c>
      <c r="I525" s="137">
        <f t="shared" si="60"/>
        <v>3.0327391809646067</v>
      </c>
      <c r="J525" s="137"/>
      <c r="K525" s="138">
        <f>IF(A525&gt;$B$15,IF(I525&gt;Helper_calcs!$B$27,23,3),0)</f>
        <v>23</v>
      </c>
      <c r="L525" s="139">
        <f t="shared" si="58"/>
        <v>2</v>
      </c>
      <c r="M525" s="139">
        <f t="shared" si="61"/>
        <v>23</v>
      </c>
      <c r="N525" s="137">
        <f t="shared" si="62"/>
        <v>3.375</v>
      </c>
      <c r="O525" s="137">
        <f t="shared" si="63"/>
        <v>2.8895547945205879</v>
      </c>
      <c r="P525" s="140">
        <f>IF(OR(M525=0,M525=3),loop_gain!$B$18,IF(Current_limit!M525=1,Current_limit!$B$12/(2*(Current_limit!N525-Helper_calcs!$B$27)),IF(OR(M525=2,M525=23),(Main!$B$19-Current_limit!O525)*Current_limit!O525/(Main!$B$19*loop_gain!$B$17*(Helper_calcs!$B$26-Helper_calcs!$B$27)),x)))</f>
        <v>339591.46831411426</v>
      </c>
      <c r="Q525" s="137"/>
    </row>
    <row r="526" spans="1:17" x14ac:dyDescent="0.25">
      <c r="A526">
        <f t="shared" si="64"/>
        <v>5.8499999999999188</v>
      </c>
      <c r="B526">
        <f>Main!$B$20/A526</f>
        <v>0.85470085470086654</v>
      </c>
      <c r="D526" s="137">
        <f t="shared" si="57"/>
        <v>0.85470085470086654</v>
      </c>
      <c r="E526" s="137">
        <f>-B526*Main!$B$19-2*Main!$B$19*loop_gain!$B$17*loop_gain!$B$18</f>
        <v>-75.536410256410392</v>
      </c>
      <c r="F526" s="137">
        <f>2*Main!$B$19*loop_gain!$B$17*loop_gain!$B$18*Helper_calcs!$B$26*Current_limit!B526</f>
        <v>214.81025641025934</v>
      </c>
      <c r="G526" s="137">
        <f t="shared" si="59"/>
        <v>2.9417147037030382</v>
      </c>
      <c r="H526" s="137">
        <f>(Main!$B$19-Current_limit!G526)*Current_limit!G526/(Main!$B$19*loop_gain!$B$17*loop_gain!$B$18)</f>
        <v>0.81638759333498201</v>
      </c>
      <c r="I526" s="137">
        <f t="shared" si="60"/>
        <v>3.0336124066650161</v>
      </c>
      <c r="J526" s="137"/>
      <c r="K526" s="138">
        <f>IF(A526&gt;$B$15,IF(I526&gt;Helper_calcs!$B$27,23,3),0)</f>
        <v>23</v>
      </c>
      <c r="L526" s="139">
        <f t="shared" si="58"/>
        <v>2</v>
      </c>
      <c r="M526" s="139">
        <f t="shared" si="61"/>
        <v>23</v>
      </c>
      <c r="N526" s="137">
        <f t="shared" si="62"/>
        <v>3.375</v>
      </c>
      <c r="O526" s="137">
        <f t="shared" si="63"/>
        <v>2.8846153846154245</v>
      </c>
      <c r="P526" s="140">
        <f>IF(OR(M526=0,M526=3),loop_gain!$B$18,IF(Current_limit!M526=1,Current_limit!$B$12/(2*(Current_limit!N526-Helper_calcs!$B$27)),IF(OR(M526=2,M526=23),(Main!$B$19-Current_limit!O526)*Current_limit!O526/(Main!$B$19*loop_gain!$B$17*(Helper_calcs!$B$26-Helper_calcs!$B$27)),x)))</f>
        <v>339194.77164893062</v>
      </c>
      <c r="Q526" s="137"/>
    </row>
    <row r="527" spans="1:17" x14ac:dyDescent="0.25">
      <c r="A527">
        <f t="shared" si="64"/>
        <v>5.8599999999999186</v>
      </c>
      <c r="B527">
        <f>Main!$B$20/A527</f>
        <v>0.85324232081912443</v>
      </c>
      <c r="D527" s="137">
        <f t="shared" si="57"/>
        <v>0.85324232081912443</v>
      </c>
      <c r="E527" s="137">
        <f>-B527*Main!$B$19-2*Main!$B$19*loop_gain!$B$17*loop_gain!$B$18</f>
        <v>-75.518907849829475</v>
      </c>
      <c r="F527" s="137">
        <f>2*Main!$B$19*loop_gain!$B$17*loop_gain!$B$18*Helper_calcs!$B$26*Current_limit!B527</f>
        <v>214.44368600682887</v>
      </c>
      <c r="G527" s="137">
        <f t="shared" si="59"/>
        <v>2.9370665957569826</v>
      </c>
      <c r="H527" s="137">
        <f>(Main!$B$19-Current_limit!G527)*Current_limit!G527/(Main!$B$19*loop_gain!$B$17*loop_gain!$B$18)</f>
        <v>0.81551589954571957</v>
      </c>
      <c r="I527" s="137">
        <f t="shared" si="60"/>
        <v>3.0344841004542764</v>
      </c>
      <c r="J527" s="137"/>
      <c r="K527" s="138">
        <f>IF(A527&gt;$B$15,IF(I527&gt;Helper_calcs!$B$27,23,3),0)</f>
        <v>23</v>
      </c>
      <c r="L527" s="139">
        <f t="shared" si="58"/>
        <v>2</v>
      </c>
      <c r="M527" s="139">
        <f t="shared" si="61"/>
        <v>23</v>
      </c>
      <c r="N527" s="137">
        <f t="shared" si="62"/>
        <v>3.375</v>
      </c>
      <c r="O527" s="137">
        <f t="shared" si="63"/>
        <v>2.8796928327645448</v>
      </c>
      <c r="P527" s="140">
        <f>IF(OR(M527=0,M527=3),loop_gain!$B$18,IF(Current_limit!M527=1,Current_limit!$B$12/(2*(Current_limit!N527-Helper_calcs!$B$27)),IF(OR(M527=2,M527=23),(Main!$B$19-Current_limit!O527)*Current_limit!O527/(Main!$B$19*loop_gain!$B$17*(Helper_calcs!$B$26-Helper_calcs!$B$27)),x)))</f>
        <v>338798.8026586565</v>
      </c>
      <c r="Q527" s="137"/>
    </row>
    <row r="528" spans="1:17" x14ac:dyDescent="0.25">
      <c r="A528">
        <f t="shared" si="64"/>
        <v>5.8699999999999184</v>
      </c>
      <c r="B528">
        <f>Main!$B$20/A528</f>
        <v>0.85178875638842755</v>
      </c>
      <c r="D528" s="137">
        <f t="shared" si="57"/>
        <v>0.85178875638842755</v>
      </c>
      <c r="E528" s="137">
        <f>-B528*Main!$B$19-2*Main!$B$19*loop_gain!$B$17*loop_gain!$B$18</f>
        <v>-75.50146507666112</v>
      </c>
      <c r="F528" s="137">
        <f>2*Main!$B$19*loop_gain!$B$17*loop_gain!$B$18*Helper_calcs!$B$26*Current_limit!B528</f>
        <v>214.07836456559068</v>
      </c>
      <c r="G528" s="137">
        <f t="shared" si="59"/>
        <v>2.9324336728420923</v>
      </c>
      <c r="H528" s="137">
        <f>(Main!$B$19-Current_limit!G528)*Current_limit!G528/(Main!$B$19*loop_gain!$B$17*loop_gain!$B$18)</f>
        <v>0.81464573616687963</v>
      </c>
      <c r="I528" s="137">
        <f t="shared" si="60"/>
        <v>3.0353542638331286</v>
      </c>
      <c r="J528" s="137"/>
      <c r="K528" s="138">
        <f>IF(A528&gt;$B$15,IF(I528&gt;Helper_calcs!$B$27,23,3),0)</f>
        <v>23</v>
      </c>
      <c r="L528" s="139">
        <f t="shared" si="58"/>
        <v>2</v>
      </c>
      <c r="M528" s="139">
        <f t="shared" si="61"/>
        <v>23</v>
      </c>
      <c r="N528" s="137">
        <f t="shared" si="62"/>
        <v>3.375</v>
      </c>
      <c r="O528" s="137">
        <f t="shared" si="63"/>
        <v>2.8747870528109432</v>
      </c>
      <c r="P528" s="140">
        <f>IF(OR(M528=0,M528=3),loop_gain!$B$18,IF(Current_limit!M528=1,Current_limit!$B$12/(2*(Current_limit!N528-Helper_calcs!$B$27)),IF(OR(M528=2,M528=23),(Main!$B$19-Current_limit!O528)*Current_limit!O528/(Main!$B$19*loop_gain!$B$17*(Helper_calcs!$B$26-Helper_calcs!$B$27)),x)))</f>
        <v>338403.56081942579</v>
      </c>
      <c r="Q528" s="137"/>
    </row>
    <row r="529" spans="1:17" x14ac:dyDescent="0.25">
      <c r="A529">
        <f t="shared" si="64"/>
        <v>5.8799999999999182</v>
      </c>
      <c r="B529">
        <f>Main!$B$20/A529</f>
        <v>0.85034013605443359</v>
      </c>
      <c r="D529" s="137">
        <f t="shared" si="57"/>
        <v>0.85034013605443359</v>
      </c>
      <c r="E529" s="137">
        <f>-B529*Main!$B$19-2*Main!$B$19*loop_gain!$B$17*loop_gain!$B$18</f>
        <v>-75.484081632653186</v>
      </c>
      <c r="F529" s="137">
        <f>2*Main!$B$19*loop_gain!$B$17*loop_gain!$B$18*Helper_calcs!$B$26*Current_limit!B529</f>
        <v>213.71428571428865</v>
      </c>
      <c r="G529" s="137">
        <f t="shared" si="59"/>
        <v>2.927815858134081</v>
      </c>
      <c r="H529" s="137">
        <f>(Main!$B$19-Current_limit!G529)*Current_limit!G529/(Main!$B$19*loop_gain!$B$17*loop_gain!$B$18)</f>
        <v>0.81377710166873685</v>
      </c>
      <c r="I529" s="137">
        <f t="shared" si="60"/>
        <v>3.0362228983312631</v>
      </c>
      <c r="J529" s="137"/>
      <c r="K529" s="138">
        <f>IF(A529&gt;$B$15,IF(I529&gt;Helper_calcs!$B$27,23,3),0)</f>
        <v>23</v>
      </c>
      <c r="L529" s="139">
        <f t="shared" si="58"/>
        <v>2</v>
      </c>
      <c r="M529" s="139">
        <f t="shared" si="61"/>
        <v>23</v>
      </c>
      <c r="N529" s="137">
        <f t="shared" si="62"/>
        <v>3.375</v>
      </c>
      <c r="O529" s="137">
        <f t="shared" si="63"/>
        <v>2.8698979591837133</v>
      </c>
      <c r="P529" s="140">
        <f>IF(OR(M529=0,M529=3),loop_gain!$B$18,IF(Current_limit!M529=1,Current_limit!$B$12/(2*(Current_limit!N529-Helper_calcs!$B$27)),IF(OR(M529=2,M529=23),(Main!$B$19-Current_limit!O529)*Current_limit!O529/(Main!$B$19*loop_gain!$B$17*(Helper_calcs!$B$26-Helper_calcs!$B$27)),x)))</f>
        <v>338009.04558923782</v>
      </c>
      <c r="Q529" s="137"/>
    </row>
    <row r="530" spans="1:17" x14ac:dyDescent="0.25">
      <c r="A530">
        <f t="shared" si="64"/>
        <v>5.889999999999918</v>
      </c>
      <c r="B530">
        <f>Main!$B$20/A530</f>
        <v>0.84889643463498632</v>
      </c>
      <c r="D530" s="137">
        <f t="shared" si="57"/>
        <v>0.84889643463498632</v>
      </c>
      <c r="E530" s="137">
        <f>-B530*Main!$B$19-2*Main!$B$19*loop_gain!$B$17*loop_gain!$B$18</f>
        <v>-75.466757215619822</v>
      </c>
      <c r="F530" s="137">
        <f>2*Main!$B$19*loop_gain!$B$17*loop_gain!$B$18*Helper_calcs!$B$26*Current_limit!B530</f>
        <v>213.35144312394181</v>
      </c>
      <c r="G530" s="137">
        <f t="shared" si="59"/>
        <v>2.9232130753425065</v>
      </c>
      <c r="H530" s="137">
        <f>(Main!$B$19-Current_limit!G530)*Current_limit!G530/(Main!$B$19*loop_gain!$B$17*loop_gain!$B$18)</f>
        <v>0.81290999449315837</v>
      </c>
      <c r="I530" s="137">
        <f t="shared" si="60"/>
        <v>3.0370900055068457</v>
      </c>
      <c r="J530" s="137"/>
      <c r="K530" s="138">
        <f>IF(A530&gt;$B$15,IF(I530&gt;Helper_calcs!$B$27,23,3),0)</f>
        <v>23</v>
      </c>
      <c r="L530" s="139">
        <f t="shared" si="58"/>
        <v>2</v>
      </c>
      <c r="M530" s="139">
        <f t="shared" si="61"/>
        <v>23</v>
      </c>
      <c r="N530" s="137">
        <f t="shared" si="62"/>
        <v>3.375</v>
      </c>
      <c r="O530" s="137">
        <f t="shared" si="63"/>
        <v>2.865025466893079</v>
      </c>
      <c r="P530" s="140">
        <f>IF(OR(M530=0,M530=3),loop_gain!$B$18,IF(Current_limit!M530=1,Current_limit!$B$12/(2*(Current_limit!N530-Helper_calcs!$B$27)),IF(OR(M530=2,M530=23),(Main!$B$19-Current_limit!O530)*Current_limit!O530/(Main!$B$19*loop_gain!$B$17*(Helper_calcs!$B$26-Helper_calcs!$B$27)),x)))</f>
        <v>337615.25640829513</v>
      </c>
      <c r="Q530" s="137"/>
    </row>
    <row r="531" spans="1:17" x14ac:dyDescent="0.25">
      <c r="A531">
        <f t="shared" si="64"/>
        <v>5.8999999999999178</v>
      </c>
      <c r="B531">
        <f>Main!$B$20/A531</f>
        <v>0.84745762711865591</v>
      </c>
      <c r="D531" s="137">
        <f t="shared" si="57"/>
        <v>0.84745762711865591</v>
      </c>
      <c r="E531" s="137">
        <f>-B531*Main!$B$19-2*Main!$B$19*loop_gain!$B$17*loop_gain!$B$18</f>
        <v>-75.449491525423852</v>
      </c>
      <c r="F531" s="137">
        <f>2*Main!$B$19*loop_gain!$B$17*loop_gain!$B$18*Helper_calcs!$B$26*Current_limit!B531</f>
        <v>212.9898305084775</v>
      </c>
      <c r="G531" s="137">
        <f t="shared" si="59"/>
        <v>2.9186252487059119</v>
      </c>
      <c r="H531" s="137">
        <f>(Main!$B$19-Current_limit!G531)*Current_limit!G531/(Main!$B$19*loop_gain!$B$17*loop_gain!$B$18)</f>
        <v>0.81204441305414532</v>
      </c>
      <c r="I531" s="137">
        <f t="shared" si="60"/>
        <v>3.0379555869458557</v>
      </c>
      <c r="J531" s="137"/>
      <c r="K531" s="138">
        <f>IF(A531&gt;$B$15,IF(I531&gt;Helper_calcs!$B$27,23,3),0)</f>
        <v>23</v>
      </c>
      <c r="L531" s="139">
        <f t="shared" si="58"/>
        <v>2</v>
      </c>
      <c r="M531" s="139">
        <f t="shared" si="61"/>
        <v>23</v>
      </c>
      <c r="N531" s="137">
        <f t="shared" si="62"/>
        <v>3.375</v>
      </c>
      <c r="O531" s="137">
        <f t="shared" si="63"/>
        <v>2.8601694915254638</v>
      </c>
      <c r="P531" s="140">
        <f>IF(OR(M531=0,M531=3),loop_gain!$B$18,IF(Current_limit!M531=1,Current_limit!$B$12/(2*(Current_limit!N531-Helper_calcs!$B$27)),IF(OR(M531=2,M531=23),(Main!$B$19-Current_limit!O531)*Current_limit!O531/(Main!$B$19*loop_gain!$B$17*(Helper_calcs!$B$26-Helper_calcs!$B$27)),x)))</f>
        <v>337222.19269933604</v>
      </c>
      <c r="Q531" s="137"/>
    </row>
    <row r="532" spans="1:17" x14ac:dyDescent="0.25">
      <c r="A532">
        <f t="shared" si="64"/>
        <v>5.9099999999999175</v>
      </c>
      <c r="B532">
        <f>Main!$B$20/A532</f>
        <v>0.84602368866329436</v>
      </c>
      <c r="D532" s="137">
        <f t="shared" si="57"/>
        <v>0.84602368866329436</v>
      </c>
      <c r="E532" s="137">
        <f>-B532*Main!$B$19-2*Main!$B$19*loop_gain!$B$17*loop_gain!$B$18</f>
        <v>-75.432284263959517</v>
      </c>
      <c r="F532" s="137">
        <f>2*Main!$B$19*loop_gain!$B$17*loop_gain!$B$18*Helper_calcs!$B$26*Current_limit!B532</f>
        <v>212.62944162436841</v>
      </c>
      <c r="G532" s="137">
        <f t="shared" si="59"/>
        <v>2.9140523029871828</v>
      </c>
      <c r="H532" s="137">
        <f>(Main!$B$19-Current_limit!G532)*Current_limit!G532/(Main!$B$19*loop_gain!$B$17*loop_gain!$B$18)</f>
        <v>0.81118035573839742</v>
      </c>
      <c r="I532" s="137">
        <f t="shared" si="60"/>
        <v>3.0388196442616033</v>
      </c>
      <c r="J532" s="137"/>
      <c r="K532" s="138">
        <f>IF(A532&gt;$B$15,IF(I532&gt;Helper_calcs!$B$27,23,3),0)</f>
        <v>23</v>
      </c>
      <c r="L532" s="139">
        <f t="shared" si="58"/>
        <v>2</v>
      </c>
      <c r="M532" s="139">
        <f t="shared" si="61"/>
        <v>23</v>
      </c>
      <c r="N532" s="137">
        <f t="shared" si="62"/>
        <v>3.375</v>
      </c>
      <c r="O532" s="137">
        <f t="shared" si="63"/>
        <v>2.8553299492386186</v>
      </c>
      <c r="P532" s="140">
        <f>IF(OR(M532=0,M532=3),loop_gain!$B$18,IF(Current_limit!M532=1,Current_limit!$B$12/(2*(Current_limit!N532-Helper_calcs!$B$27)),IF(OR(M532=2,M532=23),(Main!$B$19-Current_limit!O532)*Current_limit!O532/(Main!$B$19*loop_gain!$B$17*(Helper_calcs!$B$26-Helper_calcs!$B$27)),x)))</f>
        <v>336829.85386796191</v>
      </c>
      <c r="Q532" s="137"/>
    </row>
    <row r="533" spans="1:17" x14ac:dyDescent="0.25">
      <c r="A533">
        <f t="shared" si="64"/>
        <v>5.9199999999999173</v>
      </c>
      <c r="B533">
        <f>Main!$B$20/A533</f>
        <v>0.8445945945946064</v>
      </c>
      <c r="D533" s="137">
        <f t="shared" si="57"/>
        <v>0.8445945945946064</v>
      </c>
      <c r="E533" s="137">
        <f>-B533*Main!$B$19-2*Main!$B$19*loop_gain!$B$17*loop_gain!$B$18</f>
        <v>-75.415135135135259</v>
      </c>
      <c r="F533" s="137">
        <f>2*Main!$B$19*loop_gain!$B$17*loop_gain!$B$18*Helper_calcs!$B$26*Current_limit!B533</f>
        <v>212.27027027027319</v>
      </c>
      <c r="G533" s="137">
        <f t="shared" si="59"/>
        <v>2.9094941634688567</v>
      </c>
      <c r="H533" s="137">
        <f>(Main!$B$19-Current_limit!G533)*Current_limit!G533/(Main!$B$19*loop_gain!$B$17*loop_gain!$B$18)</f>
        <v>0.81031782090584992</v>
      </c>
      <c r="I533" s="137">
        <f t="shared" si="60"/>
        <v>3.0396821790941528</v>
      </c>
      <c r="J533" s="137"/>
      <c r="K533" s="138">
        <f>IF(A533&gt;$B$15,IF(I533&gt;Helper_calcs!$B$27,23,3),0)</f>
        <v>23</v>
      </c>
      <c r="L533" s="139">
        <f t="shared" si="58"/>
        <v>2</v>
      </c>
      <c r="M533" s="139">
        <f t="shared" si="61"/>
        <v>23</v>
      </c>
      <c r="N533" s="137">
        <f t="shared" si="62"/>
        <v>3.375</v>
      </c>
      <c r="O533" s="137">
        <f t="shared" si="63"/>
        <v>2.8505067567567965</v>
      </c>
      <c r="P533" s="140">
        <f>IF(OR(M533=0,M533=3),loop_gain!$B$18,IF(Current_limit!M533=1,Current_limit!$B$12/(2*(Current_limit!N533-Helper_calcs!$B$27)),IF(OR(M533=2,M533=23),(Main!$B$19-Current_limit!O533)*Current_limit!O533/(Main!$B$19*loop_gain!$B$17*(Helper_calcs!$B$26-Helper_calcs!$B$27)),x)))</f>
        <v>336438.23930295929</v>
      </c>
      <c r="Q533" s="137"/>
    </row>
    <row r="534" spans="1:17" x14ac:dyDescent="0.25">
      <c r="A534">
        <f t="shared" si="64"/>
        <v>5.9299999999999171</v>
      </c>
      <c r="B534">
        <f>Main!$B$20/A534</f>
        <v>0.8431703204047335</v>
      </c>
      <c r="D534" s="137">
        <f t="shared" si="57"/>
        <v>0.8431703204047335</v>
      </c>
      <c r="E534" s="137">
        <f>-B534*Main!$B$19-2*Main!$B$19*loop_gain!$B$17*loop_gain!$B$18</f>
        <v>-75.398043844856787</v>
      </c>
      <c r="F534" s="137">
        <f>2*Main!$B$19*loop_gain!$B$17*loop_gain!$B$18*Helper_calcs!$B$26*Current_limit!B534</f>
        <v>211.91231028668082</v>
      </c>
      <c r="G534" s="137">
        <f t="shared" si="59"/>
        <v>2.9049507559485179</v>
      </c>
      <c r="H534" s="137">
        <f>(Main!$B$19-Current_limit!G534)*Current_limit!G534/(Main!$B$19*loop_gain!$B$17*loop_gain!$B$18)</f>
        <v>0.80945680689020705</v>
      </c>
      <c r="I534" s="137">
        <f t="shared" si="60"/>
        <v>3.0405431931097908</v>
      </c>
      <c r="J534" s="137"/>
      <c r="K534" s="138">
        <f>IF(A534&gt;$B$15,IF(I534&gt;Helper_calcs!$B$27,23,3),0)</f>
        <v>23</v>
      </c>
      <c r="L534" s="139">
        <f t="shared" si="58"/>
        <v>2</v>
      </c>
      <c r="M534" s="139">
        <f t="shared" si="61"/>
        <v>23</v>
      </c>
      <c r="N534" s="137">
        <f t="shared" si="62"/>
        <v>3.375</v>
      </c>
      <c r="O534" s="137">
        <f t="shared" si="63"/>
        <v>2.8456998313659754</v>
      </c>
      <c r="P534" s="140">
        <f>IF(OR(M534=0,M534=3),loop_gain!$B$18,IF(Current_limit!M534=1,Current_limit!$B$12/(2*(Current_limit!N534-Helper_calcs!$B$27)),IF(OR(M534=2,M534=23),(Main!$B$19-Current_limit!O534)*Current_limit!O534/(Main!$B$19*loop_gain!$B$17*(Helper_calcs!$B$26-Helper_calcs!$B$27)),x)))</f>
        <v>336047.34837661718</v>
      </c>
      <c r="Q534" s="137"/>
    </row>
    <row r="535" spans="1:17" x14ac:dyDescent="0.25">
      <c r="A535">
        <f t="shared" si="64"/>
        <v>5.9399999999999169</v>
      </c>
      <c r="B535">
        <f>Main!$B$20/A535</f>
        <v>0.84175084175085357</v>
      </c>
      <c r="D535" s="137">
        <f t="shared" ref="D535:D598" si="65">B535</f>
        <v>0.84175084175085357</v>
      </c>
      <c r="E535" s="137">
        <f>-B535*Main!$B$19-2*Main!$B$19*loop_gain!$B$17*loop_gain!$B$18</f>
        <v>-75.381010101010233</v>
      </c>
      <c r="F535" s="137">
        <f>2*Main!$B$19*loop_gain!$B$17*loop_gain!$B$18*Helper_calcs!$B$26*Current_limit!B535</f>
        <v>211.55555555555847</v>
      </c>
      <c r="G535" s="137">
        <f t="shared" si="59"/>
        <v>2.9004220067342668</v>
      </c>
      <c r="H535" s="137">
        <f>(Main!$B$19-Current_limit!G535)*Current_limit!G535/(Main!$B$19*loop_gain!$B$17*loop_gain!$B$18)</f>
        <v>0.80859731199947227</v>
      </c>
      <c r="I535" s="137">
        <f t="shared" si="60"/>
        <v>3.0414026880005243</v>
      </c>
      <c r="J535" s="137"/>
      <c r="K535" s="138">
        <f>IF(A535&gt;$B$15,IF(I535&gt;Helper_calcs!$B$27,23,3),0)</f>
        <v>23</v>
      </c>
      <c r="L535" s="139">
        <f t="shared" ref="L535:L598" si="66">IF(A535&gt;$B$13,IF(A535&gt;$B$14,2,1),0)</f>
        <v>2</v>
      </c>
      <c r="M535" s="139">
        <f t="shared" si="61"/>
        <v>23</v>
      </c>
      <c r="N535" s="137">
        <f t="shared" si="62"/>
        <v>3.375</v>
      </c>
      <c r="O535" s="137">
        <f t="shared" si="63"/>
        <v>2.8409090909091308</v>
      </c>
      <c r="P535" s="140">
        <f>IF(OR(M535=0,M535=3),loop_gain!$B$18,IF(Current_limit!M535=1,Current_limit!$B$12/(2*(Current_limit!N535-Helper_calcs!$B$27)),IF(OR(M535=2,M535=23),(Main!$B$19-Current_limit!O535)*Current_limit!O535/(Main!$B$19*loop_gain!$B$17*(Helper_calcs!$B$26-Helper_calcs!$B$27)),x)))</f>
        <v>335657.180445039</v>
      </c>
      <c r="Q535" s="137"/>
    </row>
    <row r="536" spans="1:17" x14ac:dyDescent="0.25">
      <c r="A536">
        <f t="shared" si="64"/>
        <v>5.9499999999999167</v>
      </c>
      <c r="B536">
        <f>Main!$B$20/A536</f>
        <v>0.84033613445379329</v>
      </c>
      <c r="D536" s="137">
        <f t="shared" si="65"/>
        <v>0.84033613445379329</v>
      </c>
      <c r="E536" s="137">
        <f>-B536*Main!$B$19-2*Main!$B$19*loop_gain!$B$17*loop_gain!$B$18</f>
        <v>-75.364033613445514</v>
      </c>
      <c r="F536" s="137">
        <f>2*Main!$B$19*loop_gain!$B$17*loop_gain!$B$18*Helper_calcs!$B$26*Current_limit!B536</f>
        <v>211.20000000000292</v>
      </c>
      <c r="G536" s="137">
        <f t="shared" ref="G536:G599" si="67">(-E536-SQRT(E536^2-4*D536*F536))/(2*D536)</f>
        <v>2.8959078426401805</v>
      </c>
      <c r="H536" s="137">
        <f>(Main!$B$19-Current_limit!G536)*Current_limit!G536/(Main!$B$19*loop_gain!$B$17*loop_gain!$B$18)</f>
        <v>0.80773933451646041</v>
      </c>
      <c r="I536" s="137">
        <f t="shared" ref="I536:I599" si="68">(G536/B536)-0.5*H536</f>
        <v>3.0422606654835365</v>
      </c>
      <c r="J536" s="137"/>
      <c r="K536" s="138">
        <f>IF(A536&gt;$B$15,IF(I536&gt;Helper_calcs!$B$27,23,3),0)</f>
        <v>23</v>
      </c>
      <c r="L536" s="139">
        <f t="shared" si="66"/>
        <v>2</v>
      </c>
      <c r="M536" s="139">
        <f t="shared" ref="M536:M599" si="69">IF($B$16="N",L536,K536)</f>
        <v>23</v>
      </c>
      <c r="N536" s="137">
        <f t="shared" ref="N536:N599" si="70">IF(OR(M536=0,M536=1),A536,IF(OR(M536=2,M536=23),$B$14,G536/B536))</f>
        <v>3.375</v>
      </c>
      <c r="O536" s="137">
        <f t="shared" ref="O536:O599" si="71">N536*B536</f>
        <v>2.8361344537815523</v>
      </c>
      <c r="P536" s="140">
        <f>IF(OR(M536=0,M536=3),loop_gain!$B$18,IF(Current_limit!M536=1,Current_limit!$B$12/(2*(Current_limit!N536-Helper_calcs!$B$27)),IF(OR(M536=2,M536=23),(Main!$B$19-Current_limit!O536)*Current_limit!O536/(Main!$B$19*loop_gain!$B$17*(Helper_calcs!$B$26-Helper_calcs!$B$27)),x)))</f>
        <v>335267.73484845</v>
      </c>
      <c r="Q536" s="137"/>
    </row>
    <row r="537" spans="1:17" x14ac:dyDescent="0.25">
      <c r="A537">
        <f t="shared" si="64"/>
        <v>5.9599999999999165</v>
      </c>
      <c r="B537">
        <f>Main!$B$20/A537</f>
        <v>0.83892617449665607</v>
      </c>
      <c r="D537" s="137">
        <f t="shared" si="65"/>
        <v>0.83892617449665607</v>
      </c>
      <c r="E537" s="137">
        <f>-B537*Main!$B$19-2*Main!$B$19*loop_gain!$B$17*loop_gain!$B$18</f>
        <v>-75.34711409395986</v>
      </c>
      <c r="F537" s="137">
        <f>2*Main!$B$19*loop_gain!$B$17*loop_gain!$B$18*Helper_calcs!$B$26*Current_limit!B537</f>
        <v>210.84563758389552</v>
      </c>
      <c r="G537" s="137">
        <f t="shared" si="67"/>
        <v>2.8914081909818701</v>
      </c>
      <c r="H537" s="137">
        <f>(Main!$B$19-Current_limit!G537)*Current_limit!G537/(Main!$B$19*loop_gain!$B$17*loop_gain!$B$18)</f>
        <v>0.80688287269930747</v>
      </c>
      <c r="I537" s="137">
        <f t="shared" si="68"/>
        <v>3.043117127300687</v>
      </c>
      <c r="J537" s="137"/>
      <c r="K537" s="138">
        <f>IF(A537&gt;$B$15,IF(I537&gt;Helper_calcs!$B$27,23,3),0)</f>
        <v>23</v>
      </c>
      <c r="L537" s="139">
        <f t="shared" si="66"/>
        <v>2</v>
      </c>
      <c r="M537" s="139">
        <f t="shared" si="69"/>
        <v>23</v>
      </c>
      <c r="N537" s="137">
        <f t="shared" si="70"/>
        <v>3.375</v>
      </c>
      <c r="O537" s="137">
        <f t="shared" si="71"/>
        <v>2.8313758389262143</v>
      </c>
      <c r="P537" s="140">
        <f>IF(OR(M537=0,M537=3),loop_gain!$B$18,IF(Current_limit!M537=1,Current_limit!$B$12/(2*(Current_limit!N537-Helper_calcs!$B$27)),IF(OR(M537=2,M537=23),(Main!$B$19-Current_limit!O537)*Current_limit!O537/(Main!$B$19*loop_gain!$B$17*(Helper_calcs!$B$26-Helper_calcs!$B$27)),x)))</f>
        <v>334879.01091149962</v>
      </c>
      <c r="Q537" s="137"/>
    </row>
    <row r="538" spans="1:17" x14ac:dyDescent="0.25">
      <c r="A538">
        <f t="shared" si="64"/>
        <v>5.9699999999999163</v>
      </c>
      <c r="B538">
        <f>Main!$B$20/A538</f>
        <v>0.83752093802346228</v>
      </c>
      <c r="D538" s="137">
        <f t="shared" si="65"/>
        <v>0.83752093802346228</v>
      </c>
      <c r="E538" s="137">
        <f>-B538*Main!$B$19-2*Main!$B$19*loop_gain!$B$17*loop_gain!$B$18</f>
        <v>-75.330251256281542</v>
      </c>
      <c r="F538" s="137">
        <f>2*Main!$B$19*loop_gain!$B$17*loop_gain!$B$18*Helper_calcs!$B$26*Current_limit!B538</f>
        <v>210.49246231156067</v>
      </c>
      <c r="G538" s="137">
        <f t="shared" si="67"/>
        <v>2.8869229795720761</v>
      </c>
      <c r="H538" s="137">
        <f>(Main!$B$19-Current_limit!G538)*Current_limit!G538/(Main!$B$19*loop_gain!$B$17*loop_gain!$B$18)</f>
        <v>0.80602792478197305</v>
      </c>
      <c r="I538" s="137">
        <f t="shared" si="68"/>
        <v>3.0439720752180244</v>
      </c>
      <c r="J538" s="137"/>
      <c r="K538" s="138">
        <f>IF(A538&gt;$B$15,IF(I538&gt;Helper_calcs!$B$27,23,3),0)</f>
        <v>23</v>
      </c>
      <c r="L538" s="139">
        <f t="shared" si="66"/>
        <v>2</v>
      </c>
      <c r="M538" s="139">
        <f t="shared" si="69"/>
        <v>23</v>
      </c>
      <c r="N538" s="137">
        <f t="shared" si="70"/>
        <v>3.375</v>
      </c>
      <c r="O538" s="137">
        <f t="shared" si="71"/>
        <v>2.8266331658291852</v>
      </c>
      <c r="P538" s="140">
        <f>IF(OR(M538=0,M538=3),loop_gain!$B$18,IF(Current_limit!M538=1,Current_limit!$B$12/(2*(Current_limit!N538-Helper_calcs!$B$27)),IF(OR(M538=2,M538=23),(Main!$B$19-Current_limit!O538)*Current_limit!O538/(Main!$B$19*loop_gain!$B$17*(Helper_calcs!$B$26-Helper_calcs!$B$27)),x)))</f>
        <v>334491.00794355903</v>
      </c>
      <c r="Q538" s="137"/>
    </row>
    <row r="539" spans="1:17" x14ac:dyDescent="0.25">
      <c r="A539">
        <f t="shared" si="64"/>
        <v>5.979999999999916</v>
      </c>
      <c r="B539">
        <f>Main!$B$20/A539</f>
        <v>0.83612040133780441</v>
      </c>
      <c r="D539" s="137">
        <f t="shared" si="65"/>
        <v>0.83612040133780441</v>
      </c>
      <c r="E539" s="137">
        <f>-B539*Main!$B$19-2*Main!$B$19*loop_gain!$B$17*loop_gain!$B$18</f>
        <v>-75.313444816053646</v>
      </c>
      <c r="F539" s="137">
        <f>2*Main!$B$19*loop_gain!$B$17*loop_gain!$B$18*Helper_calcs!$B$26*Current_limit!B539</f>
        <v>210.14046822742768</v>
      </c>
      <c r="G539" s="137">
        <f t="shared" si="67"/>
        <v>2.8824521367162874</v>
      </c>
      <c r="H539" s="137">
        <f>(Main!$B$19-Current_limit!G539)*Current_limit!G539/(Main!$B$19*loop_gain!$B$17*loop_gain!$B$18)</f>
        <v>0.80517448897472932</v>
      </c>
      <c r="I539" s="137">
        <f t="shared" si="68"/>
        <v>3.0448255110252664</v>
      </c>
      <c r="J539" s="137"/>
      <c r="K539" s="138">
        <f>IF(A539&gt;$B$15,IF(I539&gt;Helper_calcs!$B$27,23,3),0)</f>
        <v>23</v>
      </c>
      <c r="L539" s="139">
        <f t="shared" si="66"/>
        <v>2</v>
      </c>
      <c r="M539" s="139">
        <f t="shared" si="69"/>
        <v>23</v>
      </c>
      <c r="N539" s="137">
        <f t="shared" si="70"/>
        <v>3.375</v>
      </c>
      <c r="O539" s="137">
        <f t="shared" si="71"/>
        <v>2.82190635451509</v>
      </c>
      <c r="P539" s="140">
        <f>IF(OR(M539=0,M539=3),loop_gain!$B$18,IF(Current_limit!M539=1,Current_limit!$B$12/(2*(Current_limit!N539-Helper_calcs!$B$27)),IF(OR(M539=2,M539=23),(Main!$B$19-Current_limit!O539)*Current_limit!O539/(Main!$B$19*loop_gain!$B$17*(Helper_calcs!$B$26-Helper_calcs!$B$27)),x)))</f>
        <v>334103.72523901489</v>
      </c>
      <c r="Q539" s="137"/>
    </row>
    <row r="540" spans="1:17" x14ac:dyDescent="0.25">
      <c r="A540">
        <f t="shared" si="64"/>
        <v>5.9899999999999158</v>
      </c>
      <c r="B540">
        <f>Main!$B$20/A540</f>
        <v>0.83472454090151427</v>
      </c>
      <c r="D540" s="137">
        <f t="shared" si="65"/>
        <v>0.83472454090151427</v>
      </c>
      <c r="E540" s="137">
        <f>-B540*Main!$B$19-2*Main!$B$19*loop_gain!$B$17*loop_gain!$B$18</f>
        <v>-75.296694490818155</v>
      </c>
      <c r="F540" s="137">
        <f>2*Main!$B$19*loop_gain!$B$17*loop_gain!$B$18*Helper_calcs!$B$26*Current_limit!B540</f>
        <v>209.78964941569572</v>
      </c>
      <c r="G540" s="137">
        <f t="shared" si="67"/>
        <v>2.8779955912084478</v>
      </c>
      <c r="H540" s="137">
        <f>(Main!$B$19-Current_limit!G540)*Current_limit!G540/(Main!$B$19*loop_gain!$B$17*loop_gain!$B$18)</f>
        <v>0.80432256346464825</v>
      </c>
      <c r="I540" s="137">
        <f t="shared" si="68"/>
        <v>3.0456774365353478</v>
      </c>
      <c r="J540" s="137"/>
      <c r="K540" s="138">
        <f>IF(A540&gt;$B$15,IF(I540&gt;Helper_calcs!$B$27,23,3),0)</f>
        <v>23</v>
      </c>
      <c r="L540" s="139">
        <f t="shared" si="66"/>
        <v>2</v>
      </c>
      <c r="M540" s="139">
        <f t="shared" si="69"/>
        <v>23</v>
      </c>
      <c r="N540" s="137">
        <f t="shared" si="70"/>
        <v>3.375</v>
      </c>
      <c r="O540" s="137">
        <f t="shared" si="71"/>
        <v>2.8171953255426105</v>
      </c>
      <c r="P540" s="140">
        <f>IF(OR(M540=0,M540=3),loop_gain!$B$18,IF(Current_limit!M540=1,Current_limit!$B$12/(2*(Current_limit!N540-Helper_calcs!$B$27)),IF(OR(M540=2,M540=23),(Main!$B$19-Current_limit!O540)*Current_limit!O540/(Main!$B$19*loop_gain!$B$17*(Helper_calcs!$B$26-Helper_calcs!$B$27)),x)))</f>
        <v>333717.16207755666</v>
      </c>
      <c r="Q540" s="137"/>
    </row>
    <row r="541" spans="1:17" x14ac:dyDescent="0.25">
      <c r="A541">
        <f t="shared" si="64"/>
        <v>5.9999999999999156</v>
      </c>
      <c r="B541">
        <f>Main!$B$20/A541</f>
        <v>0.83333333333334503</v>
      </c>
      <c r="D541" s="137">
        <f t="shared" si="65"/>
        <v>0.83333333333334503</v>
      </c>
      <c r="E541" s="137">
        <f>-B541*Main!$B$19-2*Main!$B$19*loop_gain!$B$17*loop_gain!$B$18</f>
        <v>-75.280000000000129</v>
      </c>
      <c r="F541" s="137">
        <f>2*Main!$B$19*loop_gain!$B$17*loop_gain!$B$18*Helper_calcs!$B$26*Current_limit!B541</f>
        <v>209.4400000000029</v>
      </c>
      <c r="G541" s="137">
        <f t="shared" si="67"/>
        <v>2.8735532723266739</v>
      </c>
      <c r="H541" s="137">
        <f>(Main!$B$19-Current_limit!G541)*Current_limit!G541/(Main!$B$19*loop_gain!$B$17*loop_gain!$B$18)</f>
        <v>0.80347214641607712</v>
      </c>
      <c r="I541" s="137">
        <f t="shared" si="68"/>
        <v>3.046527853583922</v>
      </c>
      <c r="J541" s="137"/>
      <c r="K541" s="138">
        <f>IF(A541&gt;$B$15,IF(I541&gt;Helper_calcs!$B$27,23,3),0)</f>
        <v>23</v>
      </c>
      <c r="L541" s="139">
        <f t="shared" si="66"/>
        <v>2</v>
      </c>
      <c r="M541" s="139">
        <f t="shared" si="69"/>
        <v>23</v>
      </c>
      <c r="N541" s="137">
        <f t="shared" si="70"/>
        <v>3.375</v>
      </c>
      <c r="O541" s="137">
        <f t="shared" si="71"/>
        <v>2.8125000000000395</v>
      </c>
      <c r="P541" s="140">
        <f>IF(OR(M541=0,M541=3),loop_gain!$B$18,IF(Current_limit!M541=1,Current_limit!$B$12/(2*(Current_limit!N541-Helper_calcs!$B$27)),IF(OR(M541=2,M541=23),(Main!$B$19-Current_limit!O541)*Current_limit!O541/(Main!$B$19*loop_gain!$B$17*(Helper_calcs!$B$26-Helper_calcs!$B$27)),x)))</f>
        <v>333331.31772446143</v>
      </c>
      <c r="Q541" s="137"/>
    </row>
    <row r="542" spans="1:17" x14ac:dyDescent="0.25">
      <c r="A542">
        <f t="shared" si="64"/>
        <v>6.0099999999999154</v>
      </c>
      <c r="B542">
        <f>Main!$B$20/A542</f>
        <v>0.83194675540766561</v>
      </c>
      <c r="D542" s="137">
        <f t="shared" si="65"/>
        <v>0.83194675540766561</v>
      </c>
      <c r="E542" s="137">
        <f>-B542*Main!$B$19-2*Main!$B$19*loop_gain!$B$17*loop_gain!$B$18</f>
        <v>-75.263361064891967</v>
      </c>
      <c r="F542" s="137">
        <f>2*Main!$B$19*loop_gain!$B$17*loop_gain!$B$18*Helper_calcs!$B$26*Current_limit!B542</f>
        <v>209.09151414309773</v>
      </c>
      <c r="G542" s="137">
        <f t="shared" si="67"/>
        <v>2.8691251098290316</v>
      </c>
      <c r="H542" s="137">
        <f>(Main!$B$19-Current_limit!G542)*Current_limit!G542/(Main!$B$19*loop_gain!$B$17*loop_gain!$B$18)</f>
        <v>0.80262323597110696</v>
      </c>
      <c r="I542" s="137">
        <f t="shared" si="68"/>
        <v>3.0473767640288938</v>
      </c>
      <c r="J542" s="137"/>
      <c r="K542" s="138">
        <f>IF(A542&gt;$B$15,IF(I542&gt;Helper_calcs!$B$27,23,3),0)</f>
        <v>23</v>
      </c>
      <c r="L542" s="139">
        <f t="shared" si="66"/>
        <v>2</v>
      </c>
      <c r="M542" s="139">
        <f t="shared" si="69"/>
        <v>23</v>
      </c>
      <c r="N542" s="137">
        <f t="shared" si="70"/>
        <v>3.375</v>
      </c>
      <c r="O542" s="137">
        <f t="shared" si="71"/>
        <v>2.8078202995008716</v>
      </c>
      <c r="P542" s="140">
        <f>IF(OR(M542=0,M542=3),loop_gain!$B$18,IF(Current_limit!M542=1,Current_limit!$B$12/(2*(Current_limit!N542-Helper_calcs!$B$27)),IF(OR(M542=2,M542=23),(Main!$B$19-Current_limit!O542)*Current_limit!O542/(Main!$B$19*loop_gain!$B$17*(Helper_calcs!$B$26-Helper_calcs!$B$27)),x)))</f>
        <v>332946.19143087324</v>
      </c>
      <c r="Q542" s="137"/>
    </row>
    <row r="543" spans="1:17" x14ac:dyDescent="0.25">
      <c r="A543">
        <f t="shared" si="64"/>
        <v>6.0199999999999152</v>
      </c>
      <c r="B543">
        <f>Main!$B$20/A543</f>
        <v>0.8305647840531678</v>
      </c>
      <c r="D543" s="137">
        <f t="shared" si="65"/>
        <v>0.8305647840531678</v>
      </c>
      <c r="E543" s="137">
        <f>-B543*Main!$B$19-2*Main!$B$19*loop_gain!$B$17*loop_gain!$B$18</f>
        <v>-75.246777408637996</v>
      </c>
      <c r="F543" s="137">
        <f>2*Main!$B$19*loop_gain!$B$17*loop_gain!$B$18*Helper_calcs!$B$26*Current_limit!B543</f>
        <v>208.7441860465145</v>
      </c>
      <c r="G543" s="137">
        <f t="shared" si="67"/>
        <v>2.8647110339493636</v>
      </c>
      <c r="H543" s="137">
        <f>(Main!$B$19-Current_limit!G543)*Current_limit!G543/(Main!$B$19*loop_gain!$B$17*loop_gain!$B$18)</f>
        <v>0.80177583025003474</v>
      </c>
      <c r="I543" s="137">
        <f t="shared" si="68"/>
        <v>3.0482241697499677</v>
      </c>
      <c r="J543" s="137"/>
      <c r="K543" s="138">
        <f>IF(A543&gt;$B$15,IF(I543&gt;Helper_calcs!$B$27,23,3),0)</f>
        <v>23</v>
      </c>
      <c r="L543" s="139">
        <f t="shared" si="66"/>
        <v>2</v>
      </c>
      <c r="M543" s="139">
        <f t="shared" si="69"/>
        <v>23</v>
      </c>
      <c r="N543" s="137">
        <f t="shared" si="70"/>
        <v>3.375</v>
      </c>
      <c r="O543" s="137">
        <f t="shared" si="71"/>
        <v>2.8031561461794414</v>
      </c>
      <c r="P543" s="140">
        <f>IF(OR(M543=0,M543=3),loop_gain!$B$18,IF(Current_limit!M543=1,Current_limit!$B$12/(2*(Current_limit!N543-Helper_calcs!$B$27)),IF(OR(M543=2,M543=23),(Main!$B$19-Current_limit!O543)*Current_limit!O543/(Main!$B$19*loop_gain!$B$17*(Helper_calcs!$B$26-Helper_calcs!$B$27)),x)))</f>
        <v>332561.78243407788</v>
      </c>
      <c r="Q543" s="137"/>
    </row>
    <row r="544" spans="1:17" x14ac:dyDescent="0.25">
      <c r="A544">
        <f t="shared" si="64"/>
        <v>6.029999999999915</v>
      </c>
      <c r="B544">
        <f>Main!$B$20/A544</f>
        <v>0.82918739635158711</v>
      </c>
      <c r="D544" s="137">
        <f t="shared" si="65"/>
        <v>0.82918739635158711</v>
      </c>
      <c r="E544" s="137">
        <f>-B544*Main!$B$19-2*Main!$B$19*loop_gain!$B$17*loop_gain!$B$18</f>
        <v>-75.230248756219027</v>
      </c>
      <c r="F544" s="137">
        <f>2*Main!$B$19*loop_gain!$B$17*loop_gain!$B$18*Helper_calcs!$B$26*Current_limit!B544</f>
        <v>208.39800995025163</v>
      </c>
      <c r="G544" s="137">
        <f t="shared" si="67"/>
        <v>2.8603109753931517</v>
      </c>
      <c r="H544" s="137">
        <f>(Main!$B$19-Current_limit!G544)*Current_limit!G544/(Main!$B$19*loop_gain!$B$17*loop_gain!$B$18)</f>
        <v>0.80092992735181701</v>
      </c>
      <c r="I544" s="137">
        <f t="shared" si="68"/>
        <v>3.0490700726481843</v>
      </c>
      <c r="J544" s="137"/>
      <c r="K544" s="138">
        <f>IF(A544&gt;$B$15,IF(I544&gt;Helper_calcs!$B$27,23,3),0)</f>
        <v>23</v>
      </c>
      <c r="L544" s="139">
        <f t="shared" si="66"/>
        <v>2</v>
      </c>
      <c r="M544" s="139">
        <f t="shared" si="69"/>
        <v>23</v>
      </c>
      <c r="N544" s="137">
        <f t="shared" si="70"/>
        <v>3.375</v>
      </c>
      <c r="O544" s="137">
        <f t="shared" si="71"/>
        <v>2.7985074626866067</v>
      </c>
      <c r="P544" s="140">
        <f>IF(OR(M544=0,M544=3),loop_gain!$B$18,IF(Current_limit!M544=1,Current_limit!$B$12/(2*(Current_limit!N544-Helper_calcs!$B$27)),IF(OR(M544=2,M544=23),(Main!$B$19-Current_limit!O544)*Current_limit!O544/(Main!$B$19*loop_gain!$B$17*(Helper_calcs!$B$26-Helper_calcs!$B$27)),x)))</f>
        <v>332178.08995777415</v>
      </c>
      <c r="Q544" s="137"/>
    </row>
    <row r="545" spans="1:17" x14ac:dyDescent="0.25">
      <c r="A545">
        <f t="shared" ref="A545:A608" si="72">A544+0.01</f>
        <v>6.0399999999999148</v>
      </c>
      <c r="B545">
        <f>Main!$B$20/A545</f>
        <v>0.82781456953643551</v>
      </c>
      <c r="D545" s="137">
        <f t="shared" si="65"/>
        <v>0.82781456953643551</v>
      </c>
      <c r="E545" s="137">
        <f>-B545*Main!$B$19-2*Main!$B$19*loop_gain!$B$17*loop_gain!$B$18</f>
        <v>-75.213774834437217</v>
      </c>
      <c r="F545" s="137">
        <f>2*Main!$B$19*loop_gain!$B$17*loop_gain!$B$18*Helper_calcs!$B$26*Current_limit!B545</f>
        <v>208.05298013245323</v>
      </c>
      <c r="G545" s="137">
        <f t="shared" si="67"/>
        <v>2.8559248653334355</v>
      </c>
      <c r="H545" s="137">
        <f>(Main!$B$19-Current_limit!G545)*Current_limit!G545/(Main!$B$19*loop_gain!$B$17*loop_gain!$B$18)</f>
        <v>0.80008552535451682</v>
      </c>
      <c r="I545" s="137">
        <f t="shared" si="68"/>
        <v>3.0499144746454832</v>
      </c>
      <c r="J545" s="137"/>
      <c r="K545" s="138">
        <f>IF(A545&gt;$B$15,IF(I545&gt;Helper_calcs!$B$27,23,3),0)</f>
        <v>23</v>
      </c>
      <c r="L545" s="139">
        <f t="shared" si="66"/>
        <v>2</v>
      </c>
      <c r="M545" s="139">
        <f t="shared" si="69"/>
        <v>23</v>
      </c>
      <c r="N545" s="137">
        <f t="shared" si="70"/>
        <v>3.375</v>
      </c>
      <c r="O545" s="137">
        <f t="shared" si="71"/>
        <v>2.7938741721854696</v>
      </c>
      <c r="P545" s="140">
        <f>IF(OR(M545=0,M545=3),loop_gain!$B$18,IF(Current_limit!M545=1,Current_limit!$B$12/(2*(Current_limit!N545-Helper_calcs!$B$27)),IF(OR(M545=2,M545=23),(Main!$B$19-Current_limit!O545)*Current_limit!O545/(Main!$B$19*loop_gain!$B$17*(Helper_calcs!$B$26-Helper_calcs!$B$27)),x)))</f>
        <v>331795.11321233993</v>
      </c>
      <c r="Q545" s="137"/>
    </row>
    <row r="546" spans="1:17" x14ac:dyDescent="0.25">
      <c r="A546">
        <f t="shared" si="72"/>
        <v>6.0499999999999146</v>
      </c>
      <c r="B546">
        <f>Main!$B$20/A546</f>
        <v>0.82644628099174722</v>
      </c>
      <c r="D546" s="137">
        <f t="shared" si="65"/>
        <v>0.82644628099174722</v>
      </c>
      <c r="E546" s="137">
        <f>-B546*Main!$B$19-2*Main!$B$19*loop_gain!$B$17*loop_gain!$B$18</f>
        <v>-75.197355371900954</v>
      </c>
      <c r="F546" s="137">
        <f>2*Main!$B$19*loop_gain!$B$17*loop_gain!$B$18*Helper_calcs!$B$26*Current_limit!B546</f>
        <v>207.70909090909379</v>
      </c>
      <c r="G546" s="137">
        <f t="shared" si="67"/>
        <v>2.8515526354067595</v>
      </c>
      <c r="H546" s="137">
        <f>(Main!$B$19-Current_limit!G546)*Current_limit!G546/(Main!$B$19*loop_gain!$B$17*loop_gain!$B$18)</f>
        <v>0.79924262231574394</v>
      </c>
      <c r="I546" s="137">
        <f t="shared" si="68"/>
        <v>3.050757377684258</v>
      </c>
      <c r="J546" s="137"/>
      <c r="K546" s="138">
        <f>IF(A546&gt;$B$15,IF(I546&gt;Helper_calcs!$B$27,23,3),0)</f>
        <v>23</v>
      </c>
      <c r="L546" s="139">
        <f t="shared" si="66"/>
        <v>2</v>
      </c>
      <c r="M546" s="139">
        <f t="shared" si="69"/>
        <v>23</v>
      </c>
      <c r="N546" s="137">
        <f t="shared" si="70"/>
        <v>3.375</v>
      </c>
      <c r="O546" s="137">
        <f t="shared" si="71"/>
        <v>2.7892561983471467</v>
      </c>
      <c r="P546" s="140">
        <f>IF(OR(M546=0,M546=3),loop_gain!$B$18,IF(Current_limit!M546=1,Current_limit!$B$12/(2*(Current_limit!N546-Helper_calcs!$B$27)),IF(OR(M546=2,M546=23),(Main!$B$19-Current_limit!O546)*Current_limit!O546/(Main!$B$19*loop_gain!$B$17*(Helper_calcs!$B$26-Helper_calcs!$B$27)),x)))</f>
        <v>331412.85139509523</v>
      </c>
      <c r="Q546" s="137"/>
    </row>
    <row r="547" spans="1:17" x14ac:dyDescent="0.25">
      <c r="A547">
        <f t="shared" si="72"/>
        <v>6.0599999999999143</v>
      </c>
      <c r="B547">
        <f>Main!$B$20/A547</f>
        <v>0.82508250825083673</v>
      </c>
      <c r="D547" s="137">
        <f t="shared" si="65"/>
        <v>0.82508250825083673</v>
      </c>
      <c r="E547" s="137">
        <f>-B547*Main!$B$19-2*Main!$B$19*loop_gain!$B$17*loop_gain!$B$18</f>
        <v>-75.180990099010032</v>
      </c>
      <c r="F547" s="137">
        <f>2*Main!$B$19*loop_gain!$B$17*loop_gain!$B$18*Helper_calcs!$B$26*Current_limit!B547</f>
        <v>207.36633663366624</v>
      </c>
      <c r="G547" s="137">
        <f t="shared" si="67"/>
        <v>2.8471942177091663</v>
      </c>
      <c r="H547" s="137">
        <f>(Main!$B$19-Current_limit!G547)*Current_limit!G547/(Main!$B$19*loop_gain!$B$17*loop_gain!$B$18)</f>
        <v>0.7984012162730848</v>
      </c>
      <c r="I547" s="137">
        <f t="shared" si="68"/>
        <v>3.0515987837269183</v>
      </c>
      <c r="J547" s="137"/>
      <c r="K547" s="138">
        <f>IF(A547&gt;$B$15,IF(I547&gt;Helper_calcs!$B$27,23,3),0)</f>
        <v>23</v>
      </c>
      <c r="L547" s="139">
        <f t="shared" si="66"/>
        <v>2</v>
      </c>
      <c r="M547" s="139">
        <f t="shared" si="69"/>
        <v>23</v>
      </c>
      <c r="N547" s="137">
        <f t="shared" si="70"/>
        <v>3.375</v>
      </c>
      <c r="O547" s="137">
        <f t="shared" si="71"/>
        <v>2.7846534653465738</v>
      </c>
      <c r="P547" s="140">
        <f>IF(OR(M547=0,M547=3),loop_gain!$B$18,IF(Current_limit!M547=1,Current_limit!$B$12/(2*(Current_limit!N547-Helper_calcs!$B$27)),IF(OR(M547=2,M547=23),(Main!$B$19-Current_limit!O547)*Current_limit!O547/(Main!$B$19*loop_gain!$B$17*(Helper_calcs!$B$26-Helper_calcs!$B$27)),x)))</f>
        <v>331031.30369055987</v>
      </c>
      <c r="Q547" s="137"/>
    </row>
    <row r="548" spans="1:17" x14ac:dyDescent="0.25">
      <c r="A548">
        <f t="shared" si="72"/>
        <v>6.0699999999999141</v>
      </c>
      <c r="B548">
        <f>Main!$B$20/A548</f>
        <v>0.82372322899506933</v>
      </c>
      <c r="D548" s="137">
        <f t="shared" si="65"/>
        <v>0.82372322899506933</v>
      </c>
      <c r="E548" s="137">
        <f>-B548*Main!$B$19-2*Main!$B$19*loop_gain!$B$17*loop_gain!$B$18</f>
        <v>-75.164678747940826</v>
      </c>
      <c r="F548" s="137">
        <f>2*Main!$B$19*loop_gain!$B$17*loop_gain!$B$18*Helper_calcs!$B$26*Current_limit!B548</f>
        <v>207.02471169687274</v>
      </c>
      <c r="G548" s="137">
        <f t="shared" si="67"/>
        <v>2.8428495447922426</v>
      </c>
      <c r="H548" s="137">
        <f>(Main!$B$19-Current_limit!G548)*Current_limit!G548/(Main!$B$19*loop_gain!$B$17*loop_gain!$B$18)</f>
        <v>0.79756130524452995</v>
      </c>
      <c r="I548" s="137">
        <f t="shared" si="68"/>
        <v>3.0524386947554687</v>
      </c>
      <c r="J548" s="137"/>
      <c r="K548" s="138">
        <f>IF(A548&gt;$B$15,IF(I548&gt;Helper_calcs!$B$27,23,3),0)</f>
        <v>23</v>
      </c>
      <c r="L548" s="139">
        <f t="shared" si="66"/>
        <v>2</v>
      </c>
      <c r="M548" s="139">
        <f t="shared" si="69"/>
        <v>23</v>
      </c>
      <c r="N548" s="137">
        <f t="shared" si="70"/>
        <v>3.375</v>
      </c>
      <c r="O548" s="137">
        <f t="shared" si="71"/>
        <v>2.7800658978583588</v>
      </c>
      <c r="P548" s="140">
        <f>IF(OR(M548=0,M548=3),loop_gain!$B$18,IF(Current_limit!M548=1,Current_limit!$B$12/(2*(Current_limit!N548-Helper_calcs!$B$27)),IF(OR(M548=2,M548=23),(Main!$B$19-Current_limit!O548)*Current_limit!O548/(Main!$B$19*loop_gain!$B$17*(Helper_calcs!$B$26-Helper_calcs!$B$27)),x)))</f>
        <v>330650.46927070821</v>
      </c>
      <c r="Q548" s="137"/>
    </row>
    <row r="549" spans="1:17" x14ac:dyDescent="0.25">
      <c r="A549">
        <f t="shared" si="72"/>
        <v>6.0799999999999139</v>
      </c>
      <c r="B549">
        <f>Main!$B$20/A549</f>
        <v>0.82236842105264318</v>
      </c>
      <c r="D549" s="137">
        <f t="shared" si="65"/>
        <v>0.82236842105264318</v>
      </c>
      <c r="E549" s="137">
        <f>-B549*Main!$B$19-2*Main!$B$19*loop_gain!$B$17*loop_gain!$B$18</f>
        <v>-75.148421052631704</v>
      </c>
      <c r="F549" s="137">
        <f>2*Main!$B$19*loop_gain!$B$17*loop_gain!$B$18*Helper_calcs!$B$26*Current_limit!B549</f>
        <v>206.68421052631865</v>
      </c>
      <c r="G549" s="137">
        <f t="shared" si="67"/>
        <v>2.8385185496592125</v>
      </c>
      <c r="H549" s="137">
        <f>(Main!$B$19-Current_limit!G549)*Current_limit!G549/(Main!$B$19*loop_gain!$B$17*loop_gain!$B$18)</f>
        <v>0.79672288722889451</v>
      </c>
      <c r="I549" s="137">
        <f t="shared" si="68"/>
        <v>3.0532771127711062</v>
      </c>
      <c r="J549" s="137"/>
      <c r="K549" s="138">
        <f>IF(A549&gt;$B$15,IF(I549&gt;Helper_calcs!$B$27,23,3),0)</f>
        <v>23</v>
      </c>
      <c r="L549" s="139">
        <f t="shared" si="66"/>
        <v>2</v>
      </c>
      <c r="M549" s="139">
        <f t="shared" si="69"/>
        <v>23</v>
      </c>
      <c r="N549" s="137">
        <f t="shared" si="70"/>
        <v>3.375</v>
      </c>
      <c r="O549" s="137">
        <f t="shared" si="71"/>
        <v>2.7754934210526709</v>
      </c>
      <c r="P549" s="140">
        <f>IF(OR(M549=0,M549=3),loop_gain!$B$18,IF(Current_limit!M549=1,Current_limit!$B$12/(2*(Current_limit!N549-Helper_calcs!$B$27)),IF(OR(M549=2,M549=23),(Main!$B$19-Current_limit!O549)*Current_limit!O549/(Main!$B$19*loop_gain!$B$17*(Helper_calcs!$B$26-Helper_calcs!$B$27)),x)))</f>
        <v>330270.3472952192</v>
      </c>
      <c r="Q549" s="137"/>
    </row>
    <row r="550" spans="1:17" x14ac:dyDescent="0.25">
      <c r="A550">
        <f t="shared" si="72"/>
        <v>6.0899999999999137</v>
      </c>
      <c r="B550">
        <f>Main!$B$20/A550</f>
        <v>0.8210180623973844</v>
      </c>
      <c r="D550" s="137">
        <f t="shared" si="65"/>
        <v>0.8210180623973844</v>
      </c>
      <c r="E550" s="137">
        <f>-B550*Main!$B$19-2*Main!$B$19*loop_gain!$B$17*loop_gain!$B$18</f>
        <v>-75.132216748768599</v>
      </c>
      <c r="F550" s="137">
        <f>2*Main!$B$19*loop_gain!$B$17*loop_gain!$B$18*Helper_calcs!$B$26*Current_limit!B550</f>
        <v>206.34482758620979</v>
      </c>
      <c r="G550" s="137">
        <f t="shared" si="67"/>
        <v>2.8342011657610295</v>
      </c>
      <c r="H550" s="137">
        <f>(Main!$B$19-Current_limit!G550)*Current_limit!G550/(Main!$B$19*loop_gain!$B$17*loop_gain!$B$18)</f>
        <v>0.79588596020622482</v>
      </c>
      <c r="I550" s="137">
        <f t="shared" si="68"/>
        <v>3.0541140397937725</v>
      </c>
      <c r="J550" s="137"/>
      <c r="K550" s="138">
        <f>IF(A550&gt;$B$15,IF(I550&gt;Helper_calcs!$B$27,23,3),0)</f>
        <v>23</v>
      </c>
      <c r="L550" s="139">
        <f t="shared" si="66"/>
        <v>2</v>
      </c>
      <c r="M550" s="139">
        <f t="shared" si="69"/>
        <v>23</v>
      </c>
      <c r="N550" s="137">
        <f t="shared" si="70"/>
        <v>3.375</v>
      </c>
      <c r="O550" s="137">
        <f t="shared" si="71"/>
        <v>2.7709359605911725</v>
      </c>
      <c r="P550" s="140">
        <f>IF(OR(M550=0,M550=3),loop_gain!$B$18,IF(Current_limit!M550=1,Current_limit!$B$12/(2*(Current_limit!N550-Helper_calcs!$B$27)),IF(OR(M550=2,M550=23),(Main!$B$19-Current_limit!O550)*Current_limit!O550/(Main!$B$19*loop_gain!$B$17*(Helper_calcs!$B$26-Helper_calcs!$B$27)),x)))</f>
        <v>329890.9369117227</v>
      </c>
      <c r="Q550" s="137"/>
    </row>
    <row r="551" spans="1:17" x14ac:dyDescent="0.25">
      <c r="A551">
        <f t="shared" si="72"/>
        <v>6.0999999999999135</v>
      </c>
      <c r="B551">
        <f>Main!$B$20/A551</f>
        <v>0.81967213114755266</v>
      </c>
      <c r="D551" s="137">
        <f t="shared" si="65"/>
        <v>0.81967213114755266</v>
      </c>
      <c r="E551" s="137">
        <f>-B551*Main!$B$19-2*Main!$B$19*loop_gain!$B$17*loop_gain!$B$18</f>
        <v>-75.116065573770612</v>
      </c>
      <c r="F551" s="137">
        <f>2*Main!$B$19*loop_gain!$B$17*loop_gain!$B$18*Helper_calcs!$B$26*Current_limit!B551</f>
        <v>206.00655737705208</v>
      </c>
      <c r="G551" s="137">
        <f t="shared" si="67"/>
        <v>2.8298973269925751</v>
      </c>
      <c r="H551" s="137">
        <f>(Main!$B$19-Current_limit!G551)*Current_limit!G551/(Main!$B$19*loop_gain!$B$17*loop_gain!$B$18)</f>
        <v>0.79505052213821026</v>
      </c>
      <c r="I551" s="137">
        <f t="shared" si="68"/>
        <v>3.0549494778617872</v>
      </c>
      <c r="J551" s="137"/>
      <c r="K551" s="138">
        <f>IF(A551&gt;$B$15,IF(I551&gt;Helper_calcs!$B$27,23,3),0)</f>
        <v>23</v>
      </c>
      <c r="L551" s="139">
        <f t="shared" si="66"/>
        <v>2</v>
      </c>
      <c r="M551" s="139">
        <f t="shared" si="69"/>
        <v>23</v>
      </c>
      <c r="N551" s="137">
        <f t="shared" si="70"/>
        <v>3.375</v>
      </c>
      <c r="O551" s="137">
        <f t="shared" si="71"/>
        <v>2.7663934426229901</v>
      </c>
      <c r="P551" s="140">
        <f>IF(OR(M551=0,M551=3),loop_gain!$B$18,IF(Current_limit!M551=1,Current_limit!$B$12/(2*(Current_limit!N551-Helper_calcs!$B$27)),IF(OR(M551=2,M551=23),(Main!$B$19-Current_limit!O551)*Current_limit!O551/(Main!$B$19*loop_gain!$B$17*(Helper_calcs!$B$26-Helper_calcs!$B$27)),x)))</f>
        <v>329512.23725604237</v>
      </c>
      <c r="Q551" s="137"/>
    </row>
    <row r="552" spans="1:17" x14ac:dyDescent="0.25">
      <c r="A552">
        <f t="shared" si="72"/>
        <v>6.1099999999999133</v>
      </c>
      <c r="B552">
        <f>Main!$B$20/A552</f>
        <v>0.81833060556465975</v>
      </c>
      <c r="D552" s="137">
        <f t="shared" si="65"/>
        <v>0.81833060556465975</v>
      </c>
      <c r="E552" s="137">
        <f>-B552*Main!$B$19-2*Main!$B$19*loop_gain!$B$17*loop_gain!$B$18</f>
        <v>-75.099967266775906</v>
      </c>
      <c r="F552" s="137">
        <f>2*Main!$B$19*loop_gain!$B$17*loop_gain!$B$18*Helper_calcs!$B$26*Current_limit!B552</f>
        <v>205.66939443535477</v>
      </c>
      <c r="G552" s="137">
        <f t="shared" si="67"/>
        <v>2.8256069676888416</v>
      </c>
      <c r="H552" s="137">
        <f>(Main!$B$19-Current_limit!G552)*Current_limit!G552/(Main!$B$19*loop_gain!$B$17*loop_gain!$B$18)</f>
        <v>0.79421657096857767</v>
      </c>
      <c r="I552" s="137">
        <f t="shared" si="68"/>
        <v>3.0557834290314263</v>
      </c>
      <c r="J552" s="137"/>
      <c r="K552" s="138">
        <f>IF(A552&gt;$B$15,IF(I552&gt;Helper_calcs!$B$27,23,3),0)</f>
        <v>23</v>
      </c>
      <c r="L552" s="139">
        <f t="shared" si="66"/>
        <v>2</v>
      </c>
      <c r="M552" s="139">
        <f t="shared" si="69"/>
        <v>23</v>
      </c>
      <c r="N552" s="137">
        <f t="shared" si="70"/>
        <v>3.375</v>
      </c>
      <c r="O552" s="137">
        <f t="shared" si="71"/>
        <v>2.7618657937807267</v>
      </c>
      <c r="P552" s="140">
        <f>IF(OR(M552=0,M552=3),loop_gain!$B$18,IF(Current_limit!M552=1,Current_limit!$B$12/(2*(Current_limit!N552-Helper_calcs!$B$27)),IF(OR(M552=2,M552=23),(Main!$B$19-Current_limit!O552)*Current_limit!O552/(Main!$B$19*loop_gain!$B$17*(Helper_calcs!$B$26-Helper_calcs!$B$27)),x)))</f>
        <v>329134.24745243386</v>
      </c>
      <c r="Q552" s="137"/>
    </row>
    <row r="553" spans="1:17" x14ac:dyDescent="0.25">
      <c r="A553">
        <f t="shared" si="72"/>
        <v>6.1199999999999131</v>
      </c>
      <c r="B553">
        <f>Main!$B$20/A553</f>
        <v>0.81699346405229922</v>
      </c>
      <c r="D553" s="137">
        <f t="shared" si="65"/>
        <v>0.81699346405229922</v>
      </c>
      <c r="E553" s="137">
        <f>-B553*Main!$B$19-2*Main!$B$19*loop_gain!$B$17*loop_gain!$B$18</f>
        <v>-75.083921568627574</v>
      </c>
      <c r="F553" s="137">
        <f>2*Main!$B$19*loop_gain!$B$17*loop_gain!$B$18*Helper_calcs!$B$26*Current_limit!B553</f>
        <v>205.33333333333621</v>
      </c>
      <c r="G553" s="137">
        <f t="shared" si="67"/>
        <v>2.8213300226211655</v>
      </c>
      <c r="H553" s="137">
        <f>(Main!$B$19-Current_limit!G553)*Current_limit!G553/(Main!$B$19*loop_gain!$B$17*loop_gain!$B$18)</f>
        <v>0.79338410462348186</v>
      </c>
      <c r="I553" s="137">
        <f t="shared" si="68"/>
        <v>3.0566158953765163</v>
      </c>
      <c r="J553" s="137"/>
      <c r="K553" s="138">
        <f>IF(A553&gt;$B$15,IF(I553&gt;Helper_calcs!$B$27,23,3),0)</f>
        <v>23</v>
      </c>
      <c r="L553" s="139">
        <f t="shared" si="66"/>
        <v>2</v>
      </c>
      <c r="M553" s="139">
        <f t="shared" si="69"/>
        <v>23</v>
      </c>
      <c r="N553" s="137">
        <f t="shared" si="70"/>
        <v>3.375</v>
      </c>
      <c r="O553" s="137">
        <f t="shared" si="71"/>
        <v>2.7573529411765101</v>
      </c>
      <c r="P553" s="140">
        <f>IF(OR(M553=0,M553=3),loop_gain!$B$18,IF(Current_limit!M553=1,Current_limit!$B$12/(2*(Current_limit!N553-Helper_calcs!$B$27)),IF(OR(M553=2,M553=23),(Main!$B$19-Current_limit!O553)*Current_limit!O553/(Main!$B$19*loop_gain!$B$17*(Helper_calcs!$B$26-Helper_calcs!$B$27)),x)))</f>
        <v>328756.96661382058</v>
      </c>
      <c r="Q553" s="137"/>
    </row>
    <row r="554" spans="1:17" x14ac:dyDescent="0.25">
      <c r="A554">
        <f t="shared" si="72"/>
        <v>6.1299999999999129</v>
      </c>
      <c r="B554">
        <f>Main!$B$20/A554</f>
        <v>0.81566068515498713</v>
      </c>
      <c r="D554" s="137">
        <f t="shared" si="65"/>
        <v>0.81566068515498713</v>
      </c>
      <c r="E554" s="137">
        <f>-B554*Main!$B$19-2*Main!$B$19*loop_gain!$B$17*loop_gain!$B$18</f>
        <v>-75.06792822185983</v>
      </c>
      <c r="F554" s="137">
        <f>2*Main!$B$19*loop_gain!$B$17*loop_gain!$B$18*Helper_calcs!$B$26*Current_limit!B554</f>
        <v>204.99836867863257</v>
      </c>
      <c r="G554" s="137">
        <f t="shared" si="67"/>
        <v>2.8170664269935592</v>
      </c>
      <c r="H554" s="137">
        <f>(Main!$B$19-Current_limit!G554)*Current_limit!G554/(Main!$B$19*loop_gain!$B$17*loop_gain!$B$18)</f>
        <v>0.79255312101190134</v>
      </c>
      <c r="I554" s="137">
        <f t="shared" si="68"/>
        <v>3.0574468789881037</v>
      </c>
      <c r="J554" s="137"/>
      <c r="K554" s="138">
        <f>IF(A554&gt;$B$15,IF(I554&gt;Helper_calcs!$B$27,23,3),0)</f>
        <v>23</v>
      </c>
      <c r="L554" s="139">
        <f t="shared" si="66"/>
        <v>2</v>
      </c>
      <c r="M554" s="139">
        <f t="shared" si="69"/>
        <v>23</v>
      </c>
      <c r="N554" s="137">
        <f t="shared" si="70"/>
        <v>3.375</v>
      </c>
      <c r="O554" s="137">
        <f t="shared" si="71"/>
        <v>2.7528548123980814</v>
      </c>
      <c r="P554" s="140">
        <f>IF(OR(M554=0,M554=3),loop_gain!$B$18,IF(Current_limit!M554=1,Current_limit!$B$12/(2*(Current_limit!N554-Helper_calcs!$B$27)),IF(OR(M554=2,M554=23),(Main!$B$19-Current_limit!O554)*Current_limit!O554/(Main!$B$19*loop_gain!$B$17*(Helper_calcs!$B$26-Helper_calcs!$B$27)),x)))</f>
        <v>328380.39384202403</v>
      </c>
      <c r="Q554" s="137"/>
    </row>
    <row r="555" spans="1:17" x14ac:dyDescent="0.25">
      <c r="A555">
        <f t="shared" si="72"/>
        <v>6.1399999999999126</v>
      </c>
      <c r="B555">
        <f>Main!$B$20/A555</f>
        <v>0.81433224755701483</v>
      </c>
      <c r="D555" s="137">
        <f t="shared" si="65"/>
        <v>0.81433224755701483</v>
      </c>
      <c r="E555" s="137">
        <f>-B555*Main!$B$19-2*Main!$B$19*loop_gain!$B$17*loop_gain!$B$18</f>
        <v>-75.051986970684169</v>
      </c>
      <c r="F555" s="137">
        <f>2*Main!$B$19*loop_gain!$B$17*loop_gain!$B$18*Helper_calcs!$B$26*Current_limit!B555</f>
        <v>204.66449511400938</v>
      </c>
      <c r="G555" s="137">
        <f t="shared" si="67"/>
        <v>2.8128161164389596</v>
      </c>
      <c r="H555" s="137">
        <f>(Main!$B$19-Current_limit!G555)*Current_limit!G555/(Main!$B$19*loop_gain!$B$17*loop_gain!$B$18)</f>
        <v>0.79172361802600399</v>
      </c>
      <c r="I555" s="137">
        <f t="shared" si="68"/>
        <v>3.0582763819739913</v>
      </c>
      <c r="J555" s="137"/>
      <c r="K555" s="138">
        <f>IF(A555&gt;$B$15,IF(I555&gt;Helper_calcs!$B$27,23,3),0)</f>
        <v>23</v>
      </c>
      <c r="L555" s="139">
        <f t="shared" si="66"/>
        <v>2</v>
      </c>
      <c r="M555" s="139">
        <f t="shared" si="69"/>
        <v>23</v>
      </c>
      <c r="N555" s="137">
        <f t="shared" si="70"/>
        <v>3.375</v>
      </c>
      <c r="O555" s="137">
        <f t="shared" si="71"/>
        <v>2.7483713355049249</v>
      </c>
      <c r="P555" s="140">
        <f>IF(OR(M555=0,M555=3),loop_gain!$B$18,IF(Current_limit!M555=1,Current_limit!$B$12/(2*(Current_limit!N555-Helper_calcs!$B$27)),IF(OR(M555=2,M555=23),(Main!$B$19-Current_limit!O555)*Current_limit!O555/(Main!$B$19*loop_gain!$B$17*(Helper_calcs!$B$26-Helper_calcs!$B$27)),x)))</f>
        <v>328004.52822799247</v>
      </c>
      <c r="Q555" s="137"/>
    </row>
    <row r="556" spans="1:17" x14ac:dyDescent="0.25">
      <c r="A556">
        <f t="shared" si="72"/>
        <v>6.1499999999999124</v>
      </c>
      <c r="B556">
        <f>Main!$B$20/A556</f>
        <v>0.81300813008131234</v>
      </c>
      <c r="D556" s="137">
        <f t="shared" si="65"/>
        <v>0.81300813008131234</v>
      </c>
      <c r="E556" s="137">
        <f>-B556*Main!$B$19-2*Main!$B$19*loop_gain!$B$17*loop_gain!$B$18</f>
        <v>-75.036097560975733</v>
      </c>
      <c r="F556" s="137">
        <f>2*Main!$B$19*loop_gain!$B$17*loop_gain!$B$18*Helper_calcs!$B$26*Current_limit!B556</f>
        <v>204.33170731707602</v>
      </c>
      <c r="G556" s="137">
        <f t="shared" si="67"/>
        <v>2.8085790270156763</v>
      </c>
      <c r="H556" s="137">
        <f>(Main!$B$19-Current_limit!G556)*Current_limit!G556/(Main!$B$19*loop_gain!$B$17*loop_gain!$B$18)</f>
        <v>0.79089559354153793</v>
      </c>
      <c r="I556" s="137">
        <f t="shared" si="68"/>
        <v>3.0591044064584643</v>
      </c>
      <c r="J556" s="137"/>
      <c r="K556" s="138">
        <f>IF(A556&gt;$B$15,IF(I556&gt;Helper_calcs!$B$27,23,3),0)</f>
        <v>23</v>
      </c>
      <c r="L556" s="139">
        <f t="shared" si="66"/>
        <v>2</v>
      </c>
      <c r="M556" s="139">
        <f t="shared" si="69"/>
        <v>23</v>
      </c>
      <c r="N556" s="137">
        <f t="shared" si="70"/>
        <v>3.375</v>
      </c>
      <c r="O556" s="137">
        <f t="shared" si="71"/>
        <v>2.7439024390244291</v>
      </c>
      <c r="P556" s="140">
        <f>IF(OR(M556=0,M556=3),loop_gain!$B$18,IF(Current_limit!M556=1,Current_limit!$B$12/(2*(Current_limit!N556-Helper_calcs!$B$27)),IF(OR(M556=2,M556=23),(Main!$B$19-Current_limit!O556)*Current_limit!O556/(Main!$B$19*loop_gain!$B$17*(Helper_calcs!$B$26-Helper_calcs!$B$27)),x)))</f>
        <v>327629.36885202449</v>
      </c>
      <c r="Q556" s="137"/>
    </row>
    <row r="557" spans="1:17" x14ac:dyDescent="0.25">
      <c r="A557">
        <f t="shared" si="72"/>
        <v>6.1599999999999122</v>
      </c>
      <c r="B557">
        <f>Main!$B$20/A557</f>
        <v>0.81168831168832323</v>
      </c>
      <c r="D557" s="137">
        <f t="shared" si="65"/>
        <v>0.81168831168832323</v>
      </c>
      <c r="E557" s="137">
        <f>-B557*Main!$B$19-2*Main!$B$19*loop_gain!$B$17*loop_gain!$B$18</f>
        <v>-75.02025974025986</v>
      </c>
      <c r="F557" s="137">
        <f>2*Main!$B$19*loop_gain!$B$17*loop_gain!$B$18*Helper_calcs!$B$26*Current_limit!B557</f>
        <v>204.00000000000284</v>
      </c>
      <c r="G557" s="137">
        <f t="shared" si="67"/>
        <v>2.8043550952037011</v>
      </c>
      <c r="H557" s="137">
        <f>(Main!$B$19-Current_limit!G557)*Current_limit!G557/(Main!$B$19*loop_gain!$B$17*loop_gain!$B$18)</f>
        <v>0.79006904541818201</v>
      </c>
      <c r="I557" s="137">
        <f t="shared" si="68"/>
        <v>3.0599309545818194</v>
      </c>
      <c r="J557" s="137"/>
      <c r="K557" s="138">
        <f>IF(A557&gt;$B$15,IF(I557&gt;Helper_calcs!$B$27,23,3),0)</f>
        <v>23</v>
      </c>
      <c r="L557" s="139">
        <f t="shared" si="66"/>
        <v>2</v>
      </c>
      <c r="M557" s="139">
        <f t="shared" si="69"/>
        <v>23</v>
      </c>
      <c r="N557" s="137">
        <f t="shared" si="70"/>
        <v>3.375</v>
      </c>
      <c r="O557" s="137">
        <f t="shared" si="71"/>
        <v>2.739448051948091</v>
      </c>
      <c r="P557" s="140">
        <f>IF(OR(M557=0,M557=3),loop_gain!$B$18,IF(Current_limit!M557=1,Current_limit!$B$12/(2*(Current_limit!N557-Helper_calcs!$B$27)),IF(OR(M557=2,M557=23),(Main!$B$19-Current_limit!O557)*Current_limit!O557/(Main!$B$19*loop_gain!$B$17*(Helper_calcs!$B$26-Helper_calcs!$B$27)),x)))</f>
        <v>327254.91478398995</v>
      </c>
      <c r="Q557" s="137"/>
    </row>
    <row r="558" spans="1:17" x14ac:dyDescent="0.25">
      <c r="A558">
        <f t="shared" si="72"/>
        <v>6.169999999999912</v>
      </c>
      <c r="B558">
        <f>Main!$B$20/A558</f>
        <v>0.81037277147488995</v>
      </c>
      <c r="D558" s="137">
        <f t="shared" si="65"/>
        <v>0.81037277147488995</v>
      </c>
      <c r="E558" s="137">
        <f>-B558*Main!$B$19-2*Main!$B$19*loop_gain!$B$17*loop_gain!$B$18</f>
        <v>-75.004473257698663</v>
      </c>
      <c r="F558" s="137">
        <f>2*Main!$B$19*loop_gain!$B$17*loop_gain!$B$18*Helper_calcs!$B$26*Current_limit!B558</f>
        <v>203.66936790924109</v>
      </c>
      <c r="G558" s="137">
        <f t="shared" si="67"/>
        <v>2.800144257901207</v>
      </c>
      <c r="H558" s="137">
        <f>(Main!$B$19-Current_limit!G558)*Current_limit!G558/(Main!$B$19*loop_gain!$B$17*loop_gain!$B$18)</f>
        <v>0.78924397149991987</v>
      </c>
      <c r="I558" s="137">
        <f t="shared" si="68"/>
        <v>3.0607560285000806</v>
      </c>
      <c r="J558" s="137"/>
      <c r="K558" s="138">
        <f>IF(A558&gt;$B$15,IF(I558&gt;Helper_calcs!$B$27,23,3),0)</f>
        <v>23</v>
      </c>
      <c r="L558" s="139">
        <f t="shared" si="66"/>
        <v>2</v>
      </c>
      <c r="M558" s="139">
        <f t="shared" si="69"/>
        <v>23</v>
      </c>
      <c r="N558" s="137">
        <f t="shared" si="70"/>
        <v>3.375</v>
      </c>
      <c r="O558" s="137">
        <f t="shared" si="71"/>
        <v>2.7350081037277536</v>
      </c>
      <c r="P558" s="140">
        <f>IF(OR(M558=0,M558=3),loop_gain!$B$18,IF(Current_limit!M558=1,Current_limit!$B$12/(2*(Current_limit!N558-Helper_calcs!$B$27)),IF(OR(M558=2,M558=23),(Main!$B$19-Current_limit!O558)*Current_limit!O558/(Main!$B$19*loop_gain!$B$17*(Helper_calcs!$B$26-Helper_calcs!$B$27)),x)))</f>
        <v>326881.16508354695</v>
      </c>
      <c r="Q558" s="137"/>
    </row>
    <row r="559" spans="1:17" x14ac:dyDescent="0.25">
      <c r="A559">
        <f t="shared" si="72"/>
        <v>6.1799999999999118</v>
      </c>
      <c r="B559">
        <f>Main!$B$20/A559</f>
        <v>0.80906148867315075</v>
      </c>
      <c r="D559" s="137">
        <f t="shared" si="65"/>
        <v>0.80906148867315075</v>
      </c>
      <c r="E559" s="137">
        <f>-B559*Main!$B$19-2*Main!$B$19*loop_gain!$B$17*loop_gain!$B$18</f>
        <v>-74.988737864077791</v>
      </c>
      <c r="F559" s="137">
        <f>2*Main!$B$19*loop_gain!$B$17*loop_gain!$B$18*Helper_calcs!$B$26*Current_limit!B559</f>
        <v>203.33980582524558</v>
      </c>
      <c r="G559" s="137">
        <f t="shared" si="67"/>
        <v>2.7959464524209996</v>
      </c>
      <c r="H559" s="137">
        <f>(Main!$B$19-Current_limit!G559)*Current_limit!G559/(Main!$B$19*loop_gain!$B$17*loop_gain!$B$18)</f>
        <v>0.78842036961539308</v>
      </c>
      <c r="I559" s="137">
        <f t="shared" si="68"/>
        <v>3.0615796303846095</v>
      </c>
      <c r="J559" s="137"/>
      <c r="K559" s="138">
        <f>IF(A559&gt;$B$15,IF(I559&gt;Helper_calcs!$B$27,23,3),0)</f>
        <v>23</v>
      </c>
      <c r="L559" s="139">
        <f t="shared" si="66"/>
        <v>2</v>
      </c>
      <c r="M559" s="139">
        <f t="shared" si="69"/>
        <v>23</v>
      </c>
      <c r="N559" s="137">
        <f t="shared" si="70"/>
        <v>3.375</v>
      </c>
      <c r="O559" s="137">
        <f t="shared" si="71"/>
        <v>2.7305825242718837</v>
      </c>
      <c r="P559" s="140">
        <f>IF(OR(M559=0,M559=3),loop_gain!$B$18,IF(Current_limit!M559=1,Current_limit!$B$12/(2*(Current_limit!N559-Helper_calcs!$B$27)),IF(OR(M559=2,M559=23),(Main!$B$19-Current_limit!O559)*Current_limit!O559/(Main!$B$19*loop_gain!$B$17*(Helper_calcs!$B$26-Helper_calcs!$B$27)),x)))</f>
        <v>326508.11880035588</v>
      </c>
      <c r="Q559" s="137"/>
    </row>
    <row r="560" spans="1:17" x14ac:dyDescent="0.25">
      <c r="A560">
        <f t="shared" si="72"/>
        <v>6.1899999999999116</v>
      </c>
      <c r="B560">
        <f>Main!$B$20/A560</f>
        <v>0.80775444264944607</v>
      </c>
      <c r="D560" s="137">
        <f t="shared" si="65"/>
        <v>0.80775444264944607</v>
      </c>
      <c r="E560" s="137">
        <f>-B560*Main!$B$19-2*Main!$B$19*loop_gain!$B$17*loop_gain!$B$18</f>
        <v>-74.973053311793336</v>
      </c>
      <c r="F560" s="137">
        <f>2*Main!$B$19*loop_gain!$B$17*loop_gain!$B$18*Helper_calcs!$B$26*Current_limit!B560</f>
        <v>203.01130856219993</v>
      </c>
      <c r="G560" s="137">
        <f t="shared" si="67"/>
        <v>2.7917616164870154</v>
      </c>
      <c r="H560" s="137">
        <f>(Main!$B$19-Current_limit!G560)*Current_limit!G560/(Main!$B$19*loop_gain!$B$17*loop_gain!$B$18)</f>
        <v>0.78759823757824743</v>
      </c>
      <c r="I560" s="137">
        <f t="shared" si="68"/>
        <v>3.0624017624217519</v>
      </c>
      <c r="J560" s="137"/>
      <c r="K560" s="138">
        <f>IF(A560&gt;$B$15,IF(I560&gt;Helper_calcs!$B$27,23,3),0)</f>
        <v>23</v>
      </c>
      <c r="L560" s="139">
        <f t="shared" si="66"/>
        <v>2</v>
      </c>
      <c r="M560" s="139">
        <f t="shared" si="69"/>
        <v>23</v>
      </c>
      <c r="N560" s="137">
        <f t="shared" si="70"/>
        <v>3.375</v>
      </c>
      <c r="O560" s="137">
        <f t="shared" si="71"/>
        <v>2.7261712439418804</v>
      </c>
      <c r="P560" s="140">
        <f>IF(OR(M560=0,M560=3),loop_gain!$B$18,IF(Current_limit!M560=1,Current_limit!$B$12/(2*(Current_limit!N560-Helper_calcs!$B$27)),IF(OR(M560=2,M560=23),(Main!$B$19-Current_limit!O560)*Current_limit!O560/(Main!$B$19*loop_gain!$B$17*(Helper_calcs!$B$26-Helper_calcs!$B$27)),x)))</f>
        <v>326135.77497428976</v>
      </c>
      <c r="Q560" s="137"/>
    </row>
    <row r="561" spans="1:17" x14ac:dyDescent="0.25">
      <c r="A561">
        <f t="shared" si="72"/>
        <v>6.1999999999999114</v>
      </c>
      <c r="B561">
        <f>Main!$B$20/A561</f>
        <v>0.8064516129032373</v>
      </c>
      <c r="D561" s="137">
        <f t="shared" si="65"/>
        <v>0.8064516129032373</v>
      </c>
      <c r="E561" s="137">
        <f>-B561*Main!$B$19-2*Main!$B$19*loop_gain!$B$17*loop_gain!$B$18</f>
        <v>-74.957419354838834</v>
      </c>
      <c r="F561" s="137">
        <f>2*Main!$B$19*loop_gain!$B$17*loop_gain!$B$18*Helper_calcs!$B$26*Current_limit!B561</f>
        <v>202.68387096774478</v>
      </c>
      <c r="G561" s="137">
        <f t="shared" si="67"/>
        <v>2.7875896882308902</v>
      </c>
      <c r="H561" s="137">
        <f>(Main!$B$19-Current_limit!G561)*Current_limit!G561/(Main!$B$19*loop_gain!$B$17*loop_gain!$B$18)</f>
        <v>0.78677757318748465</v>
      </c>
      <c r="I561" s="137">
        <f t="shared" si="68"/>
        <v>3.0632224268125121</v>
      </c>
      <c r="J561" s="137"/>
      <c r="K561" s="138">
        <f>IF(A561&gt;$B$15,IF(I561&gt;Helper_calcs!$B$27,23,3),0)</f>
        <v>23</v>
      </c>
      <c r="L561" s="139">
        <f t="shared" si="66"/>
        <v>2</v>
      </c>
      <c r="M561" s="139">
        <f t="shared" si="69"/>
        <v>23</v>
      </c>
      <c r="N561" s="137">
        <f t="shared" si="70"/>
        <v>3.375</v>
      </c>
      <c r="O561" s="137">
        <f t="shared" si="71"/>
        <v>2.7217741935484261</v>
      </c>
      <c r="P561" s="140">
        <f>IF(OR(M561=0,M561=3),loop_gain!$B$18,IF(Current_limit!M561=1,Current_limit!$B$12/(2*(Current_limit!N561-Helper_calcs!$B$27)),IF(OR(M561=2,M561=23),(Main!$B$19-Current_limit!O561)*Current_limit!O561/(Main!$B$19*loop_gain!$B$17*(Helper_calcs!$B$26-Helper_calcs!$B$27)),x)))</f>
        <v>325764.13263564144</v>
      </c>
      <c r="Q561" s="137"/>
    </row>
    <row r="562" spans="1:17" x14ac:dyDescent="0.25">
      <c r="A562">
        <f t="shared" si="72"/>
        <v>6.2099999999999111</v>
      </c>
      <c r="B562">
        <f>Main!$B$20/A562</f>
        <v>0.80515297906603411</v>
      </c>
      <c r="D562" s="137">
        <f t="shared" si="65"/>
        <v>0.80515297906603411</v>
      </c>
      <c r="E562" s="137">
        <f>-B562*Main!$B$19-2*Main!$B$19*loop_gain!$B$17*loop_gain!$B$18</f>
        <v>-74.9418357487924</v>
      </c>
      <c r="F562" s="137">
        <f>2*Main!$B$19*loop_gain!$B$17*loop_gain!$B$18*Helper_calcs!$B$26*Current_limit!B562</f>
        <v>202.35748792270817</v>
      </c>
      <c r="G562" s="137">
        <f t="shared" si="67"/>
        <v>2.7834306061885243</v>
      </c>
      <c r="H562" s="137">
        <f>(Main!$B$19-Current_limit!G562)*Current_limit!G562/(Main!$B$19*loop_gain!$B$17*loop_gain!$B$18)</f>
        <v>0.78595837422779657</v>
      </c>
      <c r="I562" s="137">
        <f t="shared" si="68"/>
        <v>3.0640416257721994</v>
      </c>
      <c r="J562" s="137"/>
      <c r="K562" s="138">
        <f>IF(A562&gt;$B$15,IF(I562&gt;Helper_calcs!$B$27,23,3),0)</f>
        <v>23</v>
      </c>
      <c r="L562" s="139">
        <f t="shared" si="66"/>
        <v>2</v>
      </c>
      <c r="M562" s="139">
        <f t="shared" si="69"/>
        <v>23</v>
      </c>
      <c r="N562" s="137">
        <f t="shared" si="70"/>
        <v>3.375</v>
      </c>
      <c r="O562" s="137">
        <f t="shared" si="71"/>
        <v>2.7173913043478652</v>
      </c>
      <c r="P562" s="140">
        <f>IF(OR(M562=0,M562=3),loop_gain!$B$18,IF(Current_limit!M562=1,Current_limit!$B$12/(2*(Current_limit!N562-Helper_calcs!$B$27)),IF(OR(M562=2,M562=23),(Main!$B$19-Current_limit!O562)*Current_limit!O562/(Main!$B$19*loop_gain!$B$17*(Helper_calcs!$B$26-Helper_calcs!$B$27)),x)))</f>
        <v>325393.19080532755</v>
      </c>
      <c r="Q562" s="137"/>
    </row>
    <row r="563" spans="1:17" x14ac:dyDescent="0.25">
      <c r="A563">
        <f t="shared" si="72"/>
        <v>6.2199999999999109</v>
      </c>
      <c r="B563">
        <f>Main!$B$20/A563</f>
        <v>0.80385852090033305</v>
      </c>
      <c r="D563" s="137">
        <f t="shared" si="65"/>
        <v>0.80385852090033305</v>
      </c>
      <c r="E563" s="137">
        <f>-B563*Main!$B$19-2*Main!$B$19*loop_gain!$B$17*loop_gain!$B$18</f>
        <v>-74.926302250803985</v>
      </c>
      <c r="F563" s="137">
        <f>2*Main!$B$19*loop_gain!$B$17*loop_gain!$B$18*Helper_calcs!$B$26*Current_limit!B563</f>
        <v>202.03215434083887</v>
      </c>
      <c r="G563" s="137">
        <f t="shared" si="67"/>
        <v>2.7792843092966995</v>
      </c>
      <c r="H563" s="137">
        <f>(Main!$B$19-Current_limit!G563)*Current_limit!G563/(Main!$B$19*loop_gain!$B$17*loop_gain!$B$18)</f>
        <v>0.7851406384699009</v>
      </c>
      <c r="I563" s="137">
        <f t="shared" si="68"/>
        <v>3.0648593615300941</v>
      </c>
      <c r="J563" s="137"/>
      <c r="K563" s="138">
        <f>IF(A563&gt;$B$15,IF(I563&gt;Helper_calcs!$B$27,23,3),0)</f>
        <v>23</v>
      </c>
      <c r="L563" s="139">
        <f t="shared" si="66"/>
        <v>2</v>
      </c>
      <c r="M563" s="139">
        <f t="shared" si="69"/>
        <v>23</v>
      </c>
      <c r="N563" s="137">
        <f t="shared" si="70"/>
        <v>3.375</v>
      </c>
      <c r="O563" s="137">
        <f t="shared" si="71"/>
        <v>2.7130225080386241</v>
      </c>
      <c r="P563" s="140">
        <f>IF(OR(M563=0,M563=3),loop_gain!$B$18,IF(Current_limit!M563=1,Current_limit!$B$12/(2*(Current_limit!N563-Helper_calcs!$B$27)),IF(OR(M563=2,M563=23),(Main!$B$19-Current_limit!O563)*Current_limit!O563/(Main!$B$19*loop_gain!$B$17*(Helper_calcs!$B$26-Helper_calcs!$B$27)),x)))</f>
        <v>325022.94849508908</v>
      </c>
      <c r="Q563" s="137"/>
    </row>
    <row r="564" spans="1:17" x14ac:dyDescent="0.25">
      <c r="A564">
        <f t="shared" si="72"/>
        <v>6.2299999999999107</v>
      </c>
      <c r="B564">
        <f>Main!$B$20/A564</f>
        <v>0.80256821829856684</v>
      </c>
      <c r="D564" s="137">
        <f t="shared" si="65"/>
        <v>0.80256821829856684</v>
      </c>
      <c r="E564" s="137">
        <f>-B564*Main!$B$19-2*Main!$B$19*loop_gain!$B$17*loop_gain!$B$18</f>
        <v>-74.910818619582784</v>
      </c>
      <c r="F564" s="137">
        <f>2*Main!$B$19*loop_gain!$B$17*loop_gain!$B$18*Helper_calcs!$B$26*Current_limit!B564</f>
        <v>201.70786516854216</v>
      </c>
      <c r="G564" s="137">
        <f t="shared" si="67"/>
        <v>2.7751507368897395</v>
      </c>
      <c r="H564" s="137">
        <f>(Main!$B$19-Current_limit!G564)*Current_limit!G564/(Main!$B$19*loop_gain!$B$17*loop_gain!$B$18)</f>
        <v>0.78432436367087066</v>
      </c>
      <c r="I564" s="137">
        <f t="shared" si="68"/>
        <v>3.0656756363291304</v>
      </c>
      <c r="J564" s="137"/>
      <c r="K564" s="138">
        <f>IF(A564&gt;$B$15,IF(I564&gt;Helper_calcs!$B$27,23,3),0)</f>
        <v>23</v>
      </c>
      <c r="L564" s="139">
        <f t="shared" si="66"/>
        <v>2</v>
      </c>
      <c r="M564" s="139">
        <f t="shared" si="69"/>
        <v>23</v>
      </c>
      <c r="N564" s="137">
        <f t="shared" si="70"/>
        <v>3.375</v>
      </c>
      <c r="O564" s="137">
        <f t="shared" si="71"/>
        <v>2.708667736757663</v>
      </c>
      <c r="P564" s="140">
        <f>IF(OR(M564=0,M564=3),loop_gain!$B$18,IF(Current_limit!M564=1,Current_limit!$B$12/(2*(Current_limit!N564-Helper_calcs!$B$27)),IF(OR(M564=2,M564=23),(Main!$B$19-Current_limit!O564)*Current_limit!O564/(Main!$B$19*loop_gain!$B$17*(Helper_calcs!$B$26-Helper_calcs!$B$27)),x)))</f>
        <v>324653.4047076893</v>
      </c>
      <c r="Q564" s="137"/>
    </row>
    <row r="565" spans="1:17" x14ac:dyDescent="0.25">
      <c r="A565">
        <f t="shared" si="72"/>
        <v>6.2399999999999105</v>
      </c>
      <c r="B565">
        <f>Main!$B$20/A565</f>
        <v>0.80128205128206276</v>
      </c>
      <c r="D565" s="137">
        <f t="shared" si="65"/>
        <v>0.80128205128206276</v>
      </c>
      <c r="E565" s="137">
        <f>-B565*Main!$B$19-2*Main!$B$19*loop_gain!$B$17*loop_gain!$B$18</f>
        <v>-74.895384615384742</v>
      </c>
      <c r="F565" s="137">
        <f>2*Main!$B$19*loop_gain!$B$17*loop_gain!$B$18*Helper_calcs!$B$26*Current_limit!B565</f>
        <v>201.38461538461823</v>
      </c>
      <c r="G565" s="137">
        <f t="shared" si="67"/>
        <v>2.7710298286961685</v>
      </c>
      <c r="H565" s="137">
        <f>(Main!$B$19-Current_limit!G565)*Current_limit!G565/(Main!$B$19*loop_gain!$B$17*loop_gain!$B$18)</f>
        <v>0.7835095475744519</v>
      </c>
      <c r="I565" s="137">
        <f t="shared" si="68"/>
        <v>3.0664904524255427</v>
      </c>
      <c r="J565" s="137"/>
      <c r="K565" s="138">
        <f>IF(A565&gt;$B$15,IF(I565&gt;Helper_calcs!$B$27,23,3),0)</f>
        <v>23</v>
      </c>
      <c r="L565" s="139">
        <f t="shared" si="66"/>
        <v>2</v>
      </c>
      <c r="M565" s="139">
        <f t="shared" si="69"/>
        <v>23</v>
      </c>
      <c r="N565" s="137">
        <f t="shared" si="70"/>
        <v>3.375</v>
      </c>
      <c r="O565" s="137">
        <f t="shared" si="71"/>
        <v>2.704326923076962</v>
      </c>
      <c r="P565" s="140">
        <f>IF(OR(M565=0,M565=3),loop_gain!$B$18,IF(Current_limit!M565=1,Current_limit!$B$12/(2*(Current_limit!N565-Helper_calcs!$B$27)),IF(OR(M565=2,M565=23),(Main!$B$19-Current_limit!O565)*Current_limit!O565/(Main!$B$19*loop_gain!$B$17*(Helper_calcs!$B$26-Helper_calcs!$B$27)),x)))</f>
        <v>324284.5584371083</v>
      </c>
      <c r="Q565" s="137"/>
    </row>
    <row r="566" spans="1:17" x14ac:dyDescent="0.25">
      <c r="A566">
        <f t="shared" si="72"/>
        <v>6.2499999999999103</v>
      </c>
      <c r="B566">
        <f>Main!$B$20/A566</f>
        <v>0.80000000000001148</v>
      </c>
      <c r="D566" s="137">
        <f t="shared" si="65"/>
        <v>0.80000000000001148</v>
      </c>
      <c r="E566" s="137">
        <f>-B566*Main!$B$19-2*Main!$B$19*loop_gain!$B$17*loop_gain!$B$18</f>
        <v>-74.880000000000123</v>
      </c>
      <c r="F566" s="137">
        <f>2*Main!$B$19*loop_gain!$B$17*loop_gain!$B$18*Helper_calcs!$B$26*Current_limit!B566</f>
        <v>201.06240000000284</v>
      </c>
      <c r="G566" s="137">
        <f t="shared" si="67"/>
        <v>2.7669215248354866</v>
      </c>
      <c r="H566" s="137">
        <f>(Main!$B$19-Current_limit!G566)*Current_limit!G566/(Main!$B$19*loop_gain!$B$17*loop_gain!$B$18)</f>
        <v>0.78269618791139428</v>
      </c>
      <c r="I566" s="137">
        <f t="shared" si="68"/>
        <v>3.0673038120886114</v>
      </c>
      <c r="J566" s="137"/>
      <c r="K566" s="138">
        <f>IF(A566&gt;$B$15,IF(I566&gt;Helper_calcs!$B$27,23,3),0)</f>
        <v>23</v>
      </c>
      <c r="L566" s="139">
        <f t="shared" si="66"/>
        <v>2</v>
      </c>
      <c r="M566" s="139">
        <f t="shared" si="69"/>
        <v>23</v>
      </c>
      <c r="N566" s="137">
        <f t="shared" si="70"/>
        <v>3.375</v>
      </c>
      <c r="O566" s="137">
        <f t="shared" si="71"/>
        <v>2.7000000000000388</v>
      </c>
      <c r="P566" s="140">
        <f>IF(OR(M566=0,M566=3),loop_gain!$B$18,IF(Current_limit!M566=1,Current_limit!$B$12/(2*(Current_limit!N566-Helper_calcs!$B$27)),IF(OR(M566=2,M566=23),(Main!$B$19-Current_limit!O566)*Current_limit!O566/(Main!$B$19*loop_gain!$B$17*(Helper_calcs!$B$26-Helper_calcs!$B$27)),x)))</f>
        <v>323916.40866873396</v>
      </c>
      <c r="Q566" s="137"/>
    </row>
    <row r="567" spans="1:17" x14ac:dyDescent="0.25">
      <c r="A567">
        <f t="shared" si="72"/>
        <v>6.2599999999999101</v>
      </c>
      <c r="B567">
        <f>Main!$B$20/A567</f>
        <v>0.79872204472844599</v>
      </c>
      <c r="D567" s="137">
        <f t="shared" si="65"/>
        <v>0.79872204472844599</v>
      </c>
      <c r="E567" s="137">
        <f>-B567*Main!$B$19-2*Main!$B$19*loop_gain!$B$17*loop_gain!$B$18</f>
        <v>-74.864664536741344</v>
      </c>
      <c r="F567" s="137">
        <f>2*Main!$B$19*loop_gain!$B$17*loop_gain!$B$18*Helper_calcs!$B$26*Current_limit!B567</f>
        <v>200.74121405751083</v>
      </c>
      <c r="G567" s="137">
        <f t="shared" si="67"/>
        <v>2.7628257658148359</v>
      </c>
      <c r="H567" s="137">
        <f>(Main!$B$19-Current_limit!G567)*Current_limit!G567/(Main!$B$19*loop_gain!$B$17*loop_gain!$B$18)</f>
        <v>0.78188428239974583</v>
      </c>
      <c r="I567" s="137">
        <f t="shared" si="68"/>
        <v>3.0681157176002518</v>
      </c>
      <c r="J567" s="137"/>
      <c r="K567" s="138">
        <f>IF(A567&gt;$B$15,IF(I567&gt;Helper_calcs!$B$27,23,3),0)</f>
        <v>23</v>
      </c>
      <c r="L567" s="139">
        <f t="shared" si="66"/>
        <v>2</v>
      </c>
      <c r="M567" s="139">
        <f t="shared" si="69"/>
        <v>23</v>
      </c>
      <c r="N567" s="137">
        <f t="shared" si="70"/>
        <v>3.375</v>
      </c>
      <c r="O567" s="137">
        <f t="shared" si="71"/>
        <v>2.6956869009585054</v>
      </c>
      <c r="P567" s="140">
        <f>IF(OR(M567=0,M567=3),loop_gain!$B$18,IF(Current_limit!M567=1,Current_limit!$B$12/(2*(Current_limit!N567-Helper_calcs!$B$27)),IF(OR(M567=2,M567=23),(Main!$B$19-Current_limit!O567)*Current_limit!O567/(Main!$B$19*loop_gain!$B$17*(Helper_calcs!$B$26-Helper_calcs!$B$27)),x)))</f>
        <v>323548.954379551</v>
      </c>
      <c r="Q567" s="137"/>
    </row>
    <row r="568" spans="1:17" x14ac:dyDescent="0.25">
      <c r="A568">
        <f t="shared" si="72"/>
        <v>6.2699999999999099</v>
      </c>
      <c r="B568">
        <f>Main!$B$20/A568</f>
        <v>0.79744816586922995</v>
      </c>
      <c r="D568" s="137">
        <f t="shared" si="65"/>
        <v>0.79744816586922995</v>
      </c>
      <c r="E568" s="137">
        <f>-B568*Main!$B$19-2*Main!$B$19*loop_gain!$B$17*loop_gain!$B$18</f>
        <v>-74.849377990430753</v>
      </c>
      <c r="F568" s="137">
        <f>2*Main!$B$19*loop_gain!$B$17*loop_gain!$B$18*Helper_calcs!$B$26*Current_limit!B568</f>
        <v>200.42105263158177</v>
      </c>
      <c r="G568" s="137">
        <f t="shared" si="67"/>
        <v>2.7587424925258834</v>
      </c>
      <c r="H568" s="137">
        <f>(Main!$B$19-Current_limit!G568)*Current_limit!G568/(Main!$B$19*loop_gain!$B$17*loop_gain!$B$18)</f>
        <v>0.78107382874518028</v>
      </c>
      <c r="I568" s="137">
        <f t="shared" si="68"/>
        <v>3.0689261712548181</v>
      </c>
      <c r="J568" s="137"/>
      <c r="K568" s="138">
        <f>IF(A568&gt;$B$15,IF(I568&gt;Helper_calcs!$B$27,23,3),0)</f>
        <v>23</v>
      </c>
      <c r="L568" s="139">
        <f t="shared" si="66"/>
        <v>2</v>
      </c>
      <c r="M568" s="139">
        <f t="shared" si="69"/>
        <v>23</v>
      </c>
      <c r="N568" s="137">
        <f t="shared" si="70"/>
        <v>3.375</v>
      </c>
      <c r="O568" s="137">
        <f t="shared" si="71"/>
        <v>2.6913875598086512</v>
      </c>
      <c r="P568" s="140">
        <f>IF(OR(M568=0,M568=3),loop_gain!$B$18,IF(Current_limit!M568=1,Current_limit!$B$12/(2*(Current_limit!N568-Helper_calcs!$B$27)),IF(OR(M568=2,M568=23),(Main!$B$19-Current_limit!O568)*Current_limit!O568/(Main!$B$19*loop_gain!$B$17*(Helper_calcs!$B$26-Helper_calcs!$B$27)),x)))</f>
        <v>323182.19453832618</v>
      </c>
      <c r="Q568" s="137"/>
    </row>
    <row r="569" spans="1:17" x14ac:dyDescent="0.25">
      <c r="A569">
        <f t="shared" si="72"/>
        <v>6.2799999999999097</v>
      </c>
      <c r="B569">
        <f>Main!$B$20/A569</f>
        <v>0.79617834394905607</v>
      </c>
      <c r="D569" s="137">
        <f t="shared" si="65"/>
        <v>0.79617834394905607</v>
      </c>
      <c r="E569" s="137">
        <f>-B569*Main!$B$19-2*Main!$B$19*loop_gain!$B$17*loop_gain!$B$18</f>
        <v>-74.834140127388665</v>
      </c>
      <c r="F569" s="137">
        <f>2*Main!$B$19*loop_gain!$B$17*loop_gain!$B$18*Helper_calcs!$B$26*Current_limit!B569</f>
        <v>200.10191082802831</v>
      </c>
      <c r="G569" s="137">
        <f t="shared" si="67"/>
        <v>2.7546716462415719</v>
      </c>
      <c r="H569" s="137">
        <f>(Main!$B$19-Current_limit!G569)*Current_limit!G569/(Main!$B$19*loop_gain!$B$17*loop_gain!$B$18)</f>
        <v>0.78026482464128721</v>
      </c>
      <c r="I569" s="137">
        <f t="shared" si="68"/>
        <v>3.0697351753587205</v>
      </c>
      <c r="J569" s="137"/>
      <c r="K569" s="138">
        <f>IF(A569&gt;$B$15,IF(I569&gt;Helper_calcs!$B$27,23,3),0)</f>
        <v>23</v>
      </c>
      <c r="L569" s="139">
        <f t="shared" si="66"/>
        <v>2</v>
      </c>
      <c r="M569" s="139">
        <f t="shared" si="69"/>
        <v>23</v>
      </c>
      <c r="N569" s="137">
        <f t="shared" si="70"/>
        <v>3.375</v>
      </c>
      <c r="O569" s="137">
        <f t="shared" si="71"/>
        <v>2.6871019108280643</v>
      </c>
      <c r="P569" s="140">
        <f>IF(OR(M569=0,M569=3),loop_gain!$B$18,IF(Current_limit!M569=1,Current_limit!$B$12/(2*(Current_limit!N569-Helper_calcs!$B$27)),IF(OR(M569=2,M569=23),(Main!$B$19-Current_limit!O569)*Current_limit!O569/(Main!$B$19*loop_gain!$B$17*(Helper_calcs!$B$26-Helper_calcs!$B$27)),x)))</f>
        <v>322816.12810579129</v>
      </c>
      <c r="Q569" s="137"/>
    </row>
    <row r="570" spans="1:17" x14ac:dyDescent="0.25">
      <c r="A570">
        <f t="shared" si="72"/>
        <v>6.2899999999999094</v>
      </c>
      <c r="B570">
        <f>Main!$B$20/A570</f>
        <v>0.79491255961845342</v>
      </c>
      <c r="D570" s="137">
        <f t="shared" si="65"/>
        <v>0.79491255961845342</v>
      </c>
      <c r="E570" s="137">
        <f>-B570*Main!$B$19-2*Main!$B$19*loop_gain!$B$17*loop_gain!$B$18</f>
        <v>-74.818950715421423</v>
      </c>
      <c r="F570" s="137">
        <f>2*Main!$B$19*loop_gain!$B$17*loop_gain!$B$18*Helper_calcs!$B$26*Current_limit!B570</f>
        <v>199.78378378378662</v>
      </c>
      <c r="G570" s="137">
        <f t="shared" si="67"/>
        <v>2.7506131686129645</v>
      </c>
      <c r="H570" s="137">
        <f>(Main!$B$19-Current_limit!G570)*Current_limit!G570/(Main!$B$19*loop_gain!$B$17*loop_gain!$B$18)</f>
        <v>0.77945726776986901</v>
      </c>
      <c r="I570" s="137">
        <f t="shared" si="68"/>
        <v>3.0705427322301246</v>
      </c>
      <c r="J570" s="137"/>
      <c r="K570" s="138">
        <f>IF(A570&gt;$B$15,IF(I570&gt;Helper_calcs!$B$27,23,3),0)</f>
        <v>23</v>
      </c>
      <c r="L570" s="139">
        <f t="shared" si="66"/>
        <v>2</v>
      </c>
      <c r="M570" s="139">
        <f t="shared" si="69"/>
        <v>23</v>
      </c>
      <c r="N570" s="137">
        <f t="shared" si="70"/>
        <v>3.375</v>
      </c>
      <c r="O570" s="137">
        <f t="shared" si="71"/>
        <v>2.6828298887122801</v>
      </c>
      <c r="P570" s="140">
        <f>IF(OR(M570=0,M570=3),loop_gain!$B$18,IF(Current_limit!M570=1,Current_limit!$B$12/(2*(Current_limit!N570-Helper_calcs!$B$27)),IF(OR(M570=2,M570=23),(Main!$B$19-Current_limit!O570)*Current_limit!O570/(Main!$B$19*loop_gain!$B$17*(Helper_calcs!$B$26-Helper_calcs!$B$27)),x)))</f>
        <v>322450.75403482217</v>
      </c>
      <c r="Q570" s="137"/>
    </row>
    <row r="571" spans="1:17" x14ac:dyDescent="0.25">
      <c r="A571">
        <f t="shared" si="72"/>
        <v>6.2999999999999092</v>
      </c>
      <c r="B571">
        <f>Main!$B$20/A571</f>
        <v>0.79365079365080504</v>
      </c>
      <c r="D571" s="137">
        <f t="shared" si="65"/>
        <v>0.79365079365080504</v>
      </c>
      <c r="E571" s="137">
        <f>-B571*Main!$B$19-2*Main!$B$19*loop_gain!$B$17*loop_gain!$B$18</f>
        <v>-74.803809523809647</v>
      </c>
      <c r="F571" s="137">
        <f>2*Main!$B$19*loop_gain!$B$17*loop_gain!$B$18*Helper_calcs!$B$26*Current_limit!B571</f>
        <v>199.46666666666948</v>
      </c>
      <c r="G571" s="137">
        <f t="shared" si="67"/>
        <v>2.7465670016662158</v>
      </c>
      <c r="H571" s="137">
        <f>(Main!$B$19-Current_limit!G571)*Current_limit!G571/(Main!$B$19*loop_gain!$B$17*loop_gain!$B$18)</f>
        <v>0.77865115580125144</v>
      </c>
      <c r="I571" s="137">
        <f t="shared" si="68"/>
        <v>3.0713488441987566</v>
      </c>
      <c r="J571" s="137"/>
      <c r="K571" s="138">
        <f>IF(A571&gt;$B$15,IF(I571&gt;Helper_calcs!$B$27,23,3),0)</f>
        <v>23</v>
      </c>
      <c r="L571" s="139">
        <f t="shared" si="66"/>
        <v>2</v>
      </c>
      <c r="M571" s="139">
        <f t="shared" si="69"/>
        <v>23</v>
      </c>
      <c r="N571" s="137">
        <f t="shared" si="70"/>
        <v>3.375</v>
      </c>
      <c r="O571" s="137">
        <f t="shared" si="71"/>
        <v>2.678571428571467</v>
      </c>
      <c r="P571" s="140">
        <f>IF(OR(M571=0,M571=3),loop_gain!$B$18,IF(Current_limit!M571=1,Current_limit!$B$12/(2*(Current_limit!N571-Helper_calcs!$B$27)),IF(OR(M571=2,M571=23),(Main!$B$19-Current_limit!O571)*Current_limit!O571/(Main!$B$19*loop_gain!$B$17*(Helper_calcs!$B$26-Helper_calcs!$B$27)),x)))</f>
        <v>322086.07127061684</v>
      </c>
      <c r="Q571" s="137"/>
    </row>
    <row r="572" spans="1:17" x14ac:dyDescent="0.25">
      <c r="A572">
        <f t="shared" si="72"/>
        <v>6.309999999999909</v>
      </c>
      <c r="B572">
        <f>Main!$B$20/A572</f>
        <v>0.79239302694137437</v>
      </c>
      <c r="D572" s="137">
        <f t="shared" si="65"/>
        <v>0.79239302694137437</v>
      </c>
      <c r="E572" s="137">
        <f>-B572*Main!$B$19-2*Main!$B$19*loop_gain!$B$17*loop_gain!$B$18</f>
        <v>-74.788716323296484</v>
      </c>
      <c r="F572" s="137">
        <f>2*Main!$B$19*loop_gain!$B$17*loop_gain!$B$18*Helper_calcs!$B$26*Current_limit!B572</f>
        <v>199.1505546751217</v>
      </c>
      <c r="G572" s="137">
        <f t="shared" si="67"/>
        <v>2.7425330877993535</v>
      </c>
      <c r="H572" s="137">
        <f>(Main!$B$19-Current_limit!G572)*Current_limit!G572/(Main!$B$19*loop_gain!$B$17*loop_gain!$B$18)</f>
        <v>0.77784648639454623</v>
      </c>
      <c r="I572" s="137">
        <f t="shared" si="68"/>
        <v>3.072153513605461</v>
      </c>
      <c r="J572" s="137"/>
      <c r="K572" s="138">
        <f>IF(A572&gt;$B$15,IF(I572&gt;Helper_calcs!$B$27,23,3),0)</f>
        <v>23</v>
      </c>
      <c r="L572" s="139">
        <f t="shared" si="66"/>
        <v>2</v>
      </c>
      <c r="M572" s="139">
        <f t="shared" si="69"/>
        <v>23</v>
      </c>
      <c r="N572" s="137">
        <f t="shared" si="70"/>
        <v>3.375</v>
      </c>
      <c r="O572" s="137">
        <f t="shared" si="71"/>
        <v>2.6743264659271384</v>
      </c>
      <c r="P572" s="140">
        <f>IF(OR(M572=0,M572=3),loop_gain!$B$18,IF(Current_limit!M572=1,Current_limit!$B$12/(2*(Current_limit!N572-Helper_calcs!$B$27)),IF(OR(M572=2,M572=23),(Main!$B$19-Current_limit!O572)*Current_limit!O572/(Main!$B$19*loop_gain!$B$17*(Helper_calcs!$B$26-Helper_calcs!$B$27)),x)))</f>
        <v>321722.07875086844</v>
      </c>
      <c r="Q572" s="137"/>
    </row>
    <row r="573" spans="1:17" x14ac:dyDescent="0.25">
      <c r="A573">
        <f t="shared" si="72"/>
        <v>6.3199999999999088</v>
      </c>
      <c r="B573">
        <f>Main!$B$20/A573</f>
        <v>0.79113924050634055</v>
      </c>
      <c r="D573" s="137">
        <f t="shared" si="65"/>
        <v>0.79113924050634055</v>
      </c>
      <c r="E573" s="137">
        <f>-B573*Main!$B$19-2*Main!$B$19*loop_gain!$B$17*loop_gain!$B$18</f>
        <v>-74.773670886076076</v>
      </c>
      <c r="F573" s="137">
        <f>2*Main!$B$19*loop_gain!$B$17*loop_gain!$B$18*Helper_calcs!$B$26*Current_limit!B573</f>
        <v>198.83544303797751</v>
      </c>
      <c r="G573" s="137">
        <f t="shared" si="67"/>
        <v>2.7385113697793257</v>
      </c>
      <c r="H573" s="137">
        <f>(Main!$B$19-Current_limit!G573)*Current_limit!G573/(Main!$B$19*loop_gain!$B$17*loop_gain!$B$18)</f>
        <v>0.77704325719795575</v>
      </c>
      <c r="I573" s="137">
        <f t="shared" si="68"/>
        <v>3.0729567428020399</v>
      </c>
      <c r="J573" s="137"/>
      <c r="K573" s="138">
        <f>IF(A573&gt;$B$15,IF(I573&gt;Helper_calcs!$B$27,23,3),0)</f>
        <v>23</v>
      </c>
      <c r="L573" s="139">
        <f t="shared" si="66"/>
        <v>2</v>
      </c>
      <c r="M573" s="139">
        <f t="shared" si="69"/>
        <v>23</v>
      </c>
      <c r="N573" s="137">
        <f t="shared" si="70"/>
        <v>3.375</v>
      </c>
      <c r="O573" s="137">
        <f t="shared" si="71"/>
        <v>2.6700949367088995</v>
      </c>
      <c r="P573" s="140">
        <f>IF(OR(M573=0,M573=3),loop_gain!$B$18,IF(Current_limit!M573=1,Current_limit!$B$12/(2*(Current_limit!N573-Helper_calcs!$B$27)),IF(OR(M573=2,M573=23),(Main!$B$19-Current_limit!O573)*Current_limit!O573/(Main!$B$19*loop_gain!$B$17*(Helper_calcs!$B$26-Helper_calcs!$B$27)),x)))</f>
        <v>321358.77540593769</v>
      </c>
      <c r="Q573" s="137"/>
    </row>
    <row r="574" spans="1:17" x14ac:dyDescent="0.25">
      <c r="A574">
        <f t="shared" si="72"/>
        <v>6.3299999999999086</v>
      </c>
      <c r="B574">
        <f>Main!$B$20/A574</f>
        <v>0.78988941548184399</v>
      </c>
      <c r="D574" s="137">
        <f t="shared" si="65"/>
        <v>0.78988941548184399</v>
      </c>
      <c r="E574" s="137">
        <f>-B574*Main!$B$19-2*Main!$B$19*loop_gain!$B$17*loop_gain!$B$18</f>
        <v>-74.758672985782113</v>
      </c>
      <c r="F574" s="137">
        <f>2*Main!$B$19*loop_gain!$B$17*loop_gain!$B$18*Helper_calcs!$B$26*Current_limit!B574</f>
        <v>198.52132701422084</v>
      </c>
      <c r="G574" s="137">
        <f t="shared" si="67"/>
        <v>2.7345017907389608</v>
      </c>
      <c r="H574" s="137">
        <f>(Main!$B$19-Current_limit!G574)*Current_limit!G574/(Main!$B$19*loop_gain!$B$17*loop_gain!$B$18)</f>
        <v>0.77624146584904874</v>
      </c>
      <c r="I574" s="137">
        <f t="shared" si="68"/>
        <v>3.0737585341509499</v>
      </c>
      <c r="J574" s="137"/>
      <c r="K574" s="138">
        <f>IF(A574&gt;$B$15,IF(I574&gt;Helper_calcs!$B$27,23,3),0)</f>
        <v>23</v>
      </c>
      <c r="L574" s="139">
        <f t="shared" si="66"/>
        <v>2</v>
      </c>
      <c r="M574" s="139">
        <f t="shared" si="69"/>
        <v>23</v>
      </c>
      <c r="N574" s="137">
        <f t="shared" si="70"/>
        <v>3.375</v>
      </c>
      <c r="O574" s="137">
        <f t="shared" si="71"/>
        <v>2.6658767772512233</v>
      </c>
      <c r="P574" s="140">
        <f>IF(OR(M574=0,M574=3),loop_gain!$B$18,IF(Current_limit!M574=1,Current_limit!$B$12/(2*(Current_limit!N574-Helper_calcs!$B$27)),IF(OR(M574=2,M574=23),(Main!$B$19-Current_limit!O574)*Current_limit!O574/(Main!$B$19*loop_gain!$B$17*(Helper_calcs!$B$26-Helper_calcs!$B$27)),x)))</f>
        <v>320996.16015902103</v>
      </c>
      <c r="Q574" s="137"/>
    </row>
    <row r="575" spans="1:17" x14ac:dyDescent="0.25">
      <c r="A575">
        <f t="shared" si="72"/>
        <v>6.3399999999999084</v>
      </c>
      <c r="B575">
        <f>Main!$B$20/A575</f>
        <v>0.78864353312303981</v>
      </c>
      <c r="D575" s="137">
        <f t="shared" si="65"/>
        <v>0.78864353312303981</v>
      </c>
      <c r="E575" s="137">
        <f>-B575*Main!$B$19-2*Main!$B$19*loop_gain!$B$17*loop_gain!$B$18</f>
        <v>-74.743722397476461</v>
      </c>
      <c r="F575" s="137">
        <f>2*Main!$B$19*loop_gain!$B$17*loop_gain!$B$18*Helper_calcs!$B$26*Current_limit!B575</f>
        <v>198.2082018927473</v>
      </c>
      <c r="G575" s="137">
        <f t="shared" si="67"/>
        <v>2.7305042941739228</v>
      </c>
      <c r="H575" s="137">
        <f>(Main!$B$19-Current_limit!G575)*Current_limit!G575/(Main!$B$19*loop_gain!$B$17*loop_gain!$B$18)</f>
        <v>0.77544110997502602</v>
      </c>
      <c r="I575" s="137">
        <f t="shared" si="68"/>
        <v>3.0745588900249707</v>
      </c>
      <c r="J575" s="137"/>
      <c r="K575" s="138">
        <f>IF(A575&gt;$B$15,IF(I575&gt;Helper_calcs!$B$27,23,3),0)</f>
        <v>23</v>
      </c>
      <c r="L575" s="139">
        <f t="shared" si="66"/>
        <v>2</v>
      </c>
      <c r="M575" s="139">
        <f t="shared" si="69"/>
        <v>23</v>
      </c>
      <c r="N575" s="137">
        <f t="shared" si="70"/>
        <v>3.375</v>
      </c>
      <c r="O575" s="137">
        <f t="shared" si="71"/>
        <v>2.6616719242902596</v>
      </c>
      <c r="P575" s="140">
        <f>IF(OR(M575=0,M575=3),loop_gain!$B$18,IF(Current_limit!M575=1,Current_limit!$B$12/(2*(Current_limit!N575-Helper_calcs!$B$27)),IF(OR(M575=2,M575=23),(Main!$B$19-Current_limit!O575)*Current_limit!O575/(Main!$B$19*loop_gain!$B$17*(Helper_calcs!$B$26-Helper_calcs!$B$27)),x)))</f>
        <v>320634.23192631709</v>
      </c>
      <c r="Q575" s="137"/>
    </row>
    <row r="576" spans="1:17" x14ac:dyDescent="0.25">
      <c r="A576">
        <f t="shared" si="72"/>
        <v>6.3499999999999082</v>
      </c>
      <c r="B576">
        <f>Main!$B$20/A576</f>
        <v>0.78740157480316098</v>
      </c>
      <c r="D576" s="137">
        <f t="shared" si="65"/>
        <v>0.78740157480316098</v>
      </c>
      <c r="E576" s="137">
        <f>-B576*Main!$B$19-2*Main!$B$19*loop_gain!$B$17*loop_gain!$B$18</f>
        <v>-74.728818897637922</v>
      </c>
      <c r="F576" s="137">
        <f>2*Main!$B$19*loop_gain!$B$17*loop_gain!$B$18*Helper_calcs!$B$26*Current_limit!B576</f>
        <v>197.8960629921288</v>
      </c>
      <c r="G576" s="137">
        <f t="shared" si="67"/>
        <v>2.7265188239398044</v>
      </c>
      <c r="H576" s="137">
        <f>(Main!$B$19-Current_limit!G576)*Current_limit!G576/(Main!$B$19*loop_gain!$B$17*loop_gain!$B$18)</f>
        <v>0.77464218719300137</v>
      </c>
      <c r="I576" s="137">
        <f t="shared" si="68"/>
        <v>3.0753578128070007</v>
      </c>
      <c r="J576" s="137"/>
      <c r="K576" s="138">
        <f>IF(A576&gt;$B$15,IF(I576&gt;Helper_calcs!$B$27,23,3),0)</f>
        <v>23</v>
      </c>
      <c r="L576" s="139">
        <f t="shared" si="66"/>
        <v>2</v>
      </c>
      <c r="M576" s="139">
        <f t="shared" si="69"/>
        <v>23</v>
      </c>
      <c r="N576" s="137">
        <f t="shared" si="70"/>
        <v>3.375</v>
      </c>
      <c r="O576" s="137">
        <f t="shared" si="71"/>
        <v>2.6574803149606683</v>
      </c>
      <c r="P576" s="140">
        <f>IF(OR(M576=0,M576=3),loop_gain!$B$18,IF(Current_limit!M576=1,Current_limit!$B$12/(2*(Current_limit!N576-Helper_calcs!$B$27)),IF(OR(M576=2,M576=23),(Main!$B$19-Current_limit!O576)*Current_limit!O576/(Main!$B$19*loop_gain!$B$17*(Helper_calcs!$B$26-Helper_calcs!$B$27)),x)))</f>
        <v>320272.98961718992</v>
      </c>
      <c r="Q576" s="137"/>
    </row>
    <row r="577" spans="1:17" x14ac:dyDescent="0.25">
      <c r="A577">
        <f t="shared" si="72"/>
        <v>6.3599999999999079</v>
      </c>
      <c r="B577">
        <f>Main!$B$20/A577</f>
        <v>0.78616352201258999</v>
      </c>
      <c r="D577" s="137">
        <f t="shared" si="65"/>
        <v>0.78616352201258999</v>
      </c>
      <c r="E577" s="137">
        <f>-B577*Main!$B$19-2*Main!$B$19*loop_gain!$B$17*loop_gain!$B$18</f>
        <v>-74.713962264151064</v>
      </c>
      <c r="F577" s="137">
        <f>2*Main!$B$19*loop_gain!$B$17*loop_gain!$B$18*Helper_calcs!$B$26*Current_limit!B577</f>
        <v>197.58490566038017</v>
      </c>
      <c r="G577" s="137">
        <f t="shared" si="67"/>
        <v>2.72254532424915</v>
      </c>
      <c r="H577" s="137">
        <f>(Main!$B$19-Current_limit!G577)*Current_limit!G577/(Main!$B$19*loop_gain!$B$17*loop_gain!$B$18)</f>
        <v>0.77384469511026022</v>
      </c>
      <c r="I577" s="137">
        <f t="shared" si="68"/>
        <v>3.0761553048897383</v>
      </c>
      <c r="J577" s="137"/>
      <c r="K577" s="138">
        <f>IF(A577&gt;$B$15,IF(I577&gt;Helper_calcs!$B$27,23,3),0)</f>
        <v>23</v>
      </c>
      <c r="L577" s="139">
        <f t="shared" si="66"/>
        <v>2</v>
      </c>
      <c r="M577" s="139">
        <f t="shared" si="69"/>
        <v>23</v>
      </c>
      <c r="N577" s="137">
        <f t="shared" si="70"/>
        <v>3.375</v>
      </c>
      <c r="O577" s="137">
        <f t="shared" si="71"/>
        <v>2.6533018867924913</v>
      </c>
      <c r="P577" s="140">
        <f>IF(OR(M577=0,M577=3),loop_gain!$B$18,IF(Current_limit!M577=1,Current_limit!$B$12/(2*(Current_limit!N577-Helper_calcs!$B$27)),IF(OR(M577=2,M577=23),(Main!$B$19-Current_limit!O577)*Current_limit!O577/(Main!$B$19*loop_gain!$B$17*(Helper_calcs!$B$26-Helper_calcs!$B$27)),x)))</f>
        <v>319912.43213433056</v>
      </c>
      <c r="Q577" s="137"/>
    </row>
    <row r="578" spans="1:17" x14ac:dyDescent="0.25">
      <c r="A578">
        <f t="shared" si="72"/>
        <v>6.3699999999999077</v>
      </c>
      <c r="B578">
        <f>Main!$B$20/A578</f>
        <v>0.78492935635793915</v>
      </c>
      <c r="D578" s="137">
        <f t="shared" si="65"/>
        <v>0.78492935635793915</v>
      </c>
      <c r="E578" s="137">
        <f>-B578*Main!$B$19-2*Main!$B$19*loop_gain!$B$17*loop_gain!$B$18</f>
        <v>-74.699152276295251</v>
      </c>
      <c r="F578" s="137">
        <f>2*Main!$B$19*loop_gain!$B$17*loop_gain!$B$18*Helper_calcs!$B$26*Current_limit!B578</f>
        <v>197.2747252747281</v>
      </c>
      <c r="G578" s="137">
        <f t="shared" si="67"/>
        <v>2.7185837396685941</v>
      </c>
      <c r="H578" s="137">
        <f>(Main!$B$19-Current_limit!G578)*Current_limit!G578/(Main!$B$19*loop_gain!$B$17*loop_gain!$B$18)</f>
        <v>0.77304863132452994</v>
      </c>
      <c r="I578" s="137">
        <f t="shared" si="68"/>
        <v>3.0769513686754739</v>
      </c>
      <c r="J578" s="137"/>
      <c r="K578" s="138">
        <f>IF(A578&gt;$B$15,IF(I578&gt;Helper_calcs!$B$27,23,3),0)</f>
        <v>23</v>
      </c>
      <c r="L578" s="139">
        <f t="shared" si="66"/>
        <v>2</v>
      </c>
      <c r="M578" s="139">
        <f t="shared" si="69"/>
        <v>23</v>
      </c>
      <c r="N578" s="137">
        <f t="shared" si="70"/>
        <v>3.375</v>
      </c>
      <c r="O578" s="137">
        <f t="shared" si="71"/>
        <v>2.6491365777080444</v>
      </c>
      <c r="P578" s="140">
        <f>IF(OR(M578=0,M578=3),loop_gain!$B$18,IF(Current_limit!M578=1,Current_limit!$B$12/(2*(Current_limit!N578-Helper_calcs!$B$27)),IF(OR(M578=2,M578=23),(Main!$B$19-Current_limit!O578)*Current_limit!O578/(Main!$B$19*loop_gain!$B$17*(Helper_calcs!$B$26-Helper_calcs!$B$27)),x)))</f>
        <v>319552.55837391433</v>
      </c>
      <c r="Q578" s="137"/>
    </row>
    <row r="579" spans="1:17" x14ac:dyDescent="0.25">
      <c r="A579">
        <f t="shared" si="72"/>
        <v>6.3799999999999075</v>
      </c>
      <c r="B579">
        <f>Main!$B$20/A579</f>
        <v>0.78369905956113983</v>
      </c>
      <c r="D579" s="137">
        <f t="shared" si="65"/>
        <v>0.78369905956113983</v>
      </c>
      <c r="E579" s="137">
        <f>-B579*Main!$B$19-2*Main!$B$19*loop_gain!$B$17*loop_gain!$B$18</f>
        <v>-74.684388714733672</v>
      </c>
      <c r="F579" s="137">
        <f>2*Main!$B$19*loop_gain!$B$17*loop_gain!$B$18*Helper_calcs!$B$26*Current_limit!B579</f>
        <v>196.96551724138212</v>
      </c>
      <c r="G579" s="137">
        <f t="shared" si="67"/>
        <v>2.7146340151159416</v>
      </c>
      <c r="H579" s="137">
        <f>(Main!$B$19-Current_limit!G579)*Current_limit!G579/(Main!$B$19*loop_gain!$B$17*loop_gain!$B$18)</f>
        <v>0.77225399342422818</v>
      </c>
      <c r="I579" s="137">
        <f t="shared" si="68"/>
        <v>3.0777460065757776</v>
      </c>
      <c r="J579" s="137"/>
      <c r="K579" s="138">
        <f>IF(A579&gt;$B$15,IF(I579&gt;Helper_calcs!$B$27,23,3),0)</f>
        <v>23</v>
      </c>
      <c r="L579" s="139">
        <f t="shared" si="66"/>
        <v>2</v>
      </c>
      <c r="M579" s="139">
        <f t="shared" si="69"/>
        <v>23</v>
      </c>
      <c r="N579" s="137">
        <f t="shared" si="70"/>
        <v>3.375</v>
      </c>
      <c r="O579" s="137">
        <f t="shared" si="71"/>
        <v>2.644984326018847</v>
      </c>
      <c r="P579" s="140">
        <f>IF(OR(M579=0,M579=3),loop_gain!$B$18,IF(Current_limit!M579=1,Current_limit!$B$12/(2*(Current_limit!N579-Helper_calcs!$B$27)),IF(OR(M579=2,M579=23),(Main!$B$19-Current_limit!O579)*Current_limit!O579/(Main!$B$19*loop_gain!$B$17*(Helper_calcs!$B$26-Helper_calcs!$B$27)),x)))</f>
        <v>319193.36722575838</v>
      </c>
      <c r="Q579" s="137"/>
    </row>
    <row r="580" spans="1:17" x14ac:dyDescent="0.25">
      <c r="A580">
        <f t="shared" si="72"/>
        <v>6.3899999999999073</v>
      </c>
      <c r="B580">
        <f>Main!$B$20/A580</f>
        <v>0.78247261345854036</v>
      </c>
      <c r="D580" s="137">
        <f t="shared" si="65"/>
        <v>0.78247261345854036</v>
      </c>
      <c r="E580" s="137">
        <f>-B580*Main!$B$19-2*Main!$B$19*loop_gain!$B$17*loop_gain!$B$18</f>
        <v>-74.669671361502466</v>
      </c>
      <c r="F580" s="137">
        <f>2*Main!$B$19*loop_gain!$B$17*loop_gain!$B$18*Helper_calcs!$B$26*Current_limit!B580</f>
        <v>196.657276995308</v>
      </c>
      <c r="G580" s="137">
        <f t="shared" si="67"/>
        <v>2.7106960958573509</v>
      </c>
      <c r="H580" s="137">
        <f>(Main!$B$19-Current_limit!G580)*Current_limit!G580/(Main!$B$19*loop_gain!$B$17*loop_gain!$B$18)</f>
        <v>0.77146077898872345</v>
      </c>
      <c r="I580" s="137">
        <f t="shared" si="68"/>
        <v>3.0785392210112823</v>
      </c>
      <c r="J580" s="137"/>
      <c r="K580" s="138">
        <f>IF(A580&gt;$B$15,IF(I580&gt;Helper_calcs!$B$27,23,3),0)</f>
        <v>23</v>
      </c>
      <c r="L580" s="139">
        <f t="shared" si="66"/>
        <v>2</v>
      </c>
      <c r="M580" s="139">
        <f t="shared" si="69"/>
        <v>23</v>
      </c>
      <c r="N580" s="137">
        <f t="shared" si="70"/>
        <v>3.375</v>
      </c>
      <c r="O580" s="137">
        <f t="shared" si="71"/>
        <v>2.6408450704225737</v>
      </c>
      <c r="P580" s="140">
        <f>IF(OR(M580=0,M580=3),loop_gain!$B$18,IF(Current_limit!M580=1,Current_limit!$B$12/(2*(Current_limit!N580-Helper_calcs!$B$27)),IF(OR(M580=2,M580=23),(Main!$B$19-Current_limit!O580)*Current_limit!O580/(Main!$B$19*loop_gain!$B$17*(Helper_calcs!$B$26-Helper_calcs!$B$27)),x)))</f>
        <v>318834.85757347365</v>
      </c>
      <c r="Q580" s="137"/>
    </row>
    <row r="581" spans="1:17" x14ac:dyDescent="0.25">
      <c r="A581">
        <f t="shared" si="72"/>
        <v>6.3999999999999071</v>
      </c>
      <c r="B581">
        <f>Main!$B$20/A581</f>
        <v>0.78125000000001132</v>
      </c>
      <c r="D581" s="137">
        <f t="shared" si="65"/>
        <v>0.78125000000001132</v>
      </c>
      <c r="E581" s="137">
        <f>-B581*Main!$B$19-2*Main!$B$19*loop_gain!$B$17*loop_gain!$B$18</f>
        <v>-74.655000000000115</v>
      </c>
      <c r="F581" s="137">
        <f>2*Main!$B$19*loop_gain!$B$17*loop_gain!$B$18*Helper_calcs!$B$26*Current_limit!B581</f>
        <v>196.35000000000281</v>
      </c>
      <c r="G581" s="137">
        <f t="shared" si="67"/>
        <v>2.7067699275044985</v>
      </c>
      <c r="H581" s="137">
        <f>(Main!$B$19-Current_limit!G581)*Current_limit!G581/(Main!$B$19*loop_gain!$B$17*loop_gain!$B$18)</f>
        <v>0.77066898558858077</v>
      </c>
      <c r="I581" s="137">
        <f t="shared" si="68"/>
        <v>3.0793310144114172</v>
      </c>
      <c r="J581" s="137"/>
      <c r="K581" s="138">
        <f>IF(A581&gt;$B$15,IF(I581&gt;Helper_calcs!$B$27,23,3),0)</f>
        <v>23</v>
      </c>
      <c r="L581" s="139">
        <f t="shared" si="66"/>
        <v>2</v>
      </c>
      <c r="M581" s="139">
        <f t="shared" si="69"/>
        <v>23</v>
      </c>
      <c r="N581" s="137">
        <f t="shared" si="70"/>
        <v>3.375</v>
      </c>
      <c r="O581" s="137">
        <f t="shared" si="71"/>
        <v>2.6367187500000382</v>
      </c>
      <c r="P581" s="140">
        <f>IF(OR(M581=0,M581=3),loop_gain!$B$18,IF(Current_limit!M581=1,Current_limit!$B$12/(2*(Current_limit!N581-Helper_calcs!$B$27)),IF(OR(M581=2,M581=23),(Main!$B$19-Current_limit!O581)*Current_limit!O581/(Main!$B$19*loop_gain!$B$17*(Helper_calcs!$B$26-Helper_calcs!$B$27)),x)))</f>
        <v>318477.02829461679</v>
      </c>
      <c r="Q581" s="137"/>
    </row>
    <row r="582" spans="1:17" x14ac:dyDescent="0.25">
      <c r="A582">
        <f t="shared" si="72"/>
        <v>6.4099999999999069</v>
      </c>
      <c r="B582">
        <f>Main!$B$20/A582</f>
        <v>0.78003120124806125</v>
      </c>
      <c r="D582" s="137">
        <f t="shared" si="65"/>
        <v>0.78003120124806125</v>
      </c>
      <c r="E582" s="137">
        <f>-B582*Main!$B$19-2*Main!$B$19*loop_gain!$B$17*loop_gain!$B$18</f>
        <v>-74.640374414976719</v>
      </c>
      <c r="F582" s="137">
        <f>2*Main!$B$19*loop_gain!$B$17*loop_gain!$B$18*Helper_calcs!$B$26*Current_limit!B582</f>
        <v>196.0436817472727</v>
      </c>
      <c r="G582" s="137">
        <f t="shared" si="67"/>
        <v>2.7028554560118159</v>
      </c>
      <c r="H582" s="137">
        <f>(Main!$B$19-Current_limit!G582)*Current_limit!G582/(Main!$B$19*loop_gain!$B$17*loop_gain!$B$18)</f>
        <v>0.76987861078581354</v>
      </c>
      <c r="I582" s="137">
        <f t="shared" si="68"/>
        <v>3.0801213892141908</v>
      </c>
      <c r="J582" s="137"/>
      <c r="K582" s="138">
        <f>IF(A582&gt;$B$15,IF(I582&gt;Helper_calcs!$B$27,23,3),0)</f>
        <v>23</v>
      </c>
      <c r="L582" s="139">
        <f t="shared" si="66"/>
        <v>2</v>
      </c>
      <c r="M582" s="139">
        <f t="shared" si="69"/>
        <v>23</v>
      </c>
      <c r="N582" s="137">
        <f t="shared" si="70"/>
        <v>3.375</v>
      </c>
      <c r="O582" s="137">
        <f t="shared" si="71"/>
        <v>2.6326053042122068</v>
      </c>
      <c r="P582" s="140">
        <f>IF(OR(M582=0,M582=3),loop_gain!$B$18,IF(Current_limit!M582=1,Current_limit!$B$12/(2*(Current_limit!N582-Helper_calcs!$B$27)),IF(OR(M582=2,M582=23),(Main!$B$19-Current_limit!O582)*Current_limit!O582/(Main!$B$19*loop_gain!$B$17*(Helper_calcs!$B$26-Helper_calcs!$B$27)),x)))</f>
        <v>318119.87826083892</v>
      </c>
      <c r="Q582" s="137"/>
    </row>
    <row r="583" spans="1:17" x14ac:dyDescent="0.25">
      <c r="A583">
        <f t="shared" si="72"/>
        <v>6.4199999999999067</v>
      </c>
      <c r="B583">
        <f>Main!$B$20/A583</f>
        <v>0.77881619937695834</v>
      </c>
      <c r="D583" s="137">
        <f t="shared" si="65"/>
        <v>0.77881619937695834</v>
      </c>
      <c r="E583" s="137">
        <f>-B583*Main!$B$19-2*Main!$B$19*loop_gain!$B$17*loop_gain!$B$18</f>
        <v>-74.625794392523488</v>
      </c>
      <c r="F583" s="137">
        <f>2*Main!$B$19*loop_gain!$B$17*loop_gain!$B$18*Helper_calcs!$B$26*Current_limit!B583</f>
        <v>195.73831775701214</v>
      </c>
      <c r="G583" s="137">
        <f t="shared" si="67"/>
        <v>2.6989526276736719</v>
      </c>
      <c r="H583" s="137">
        <f>(Main!$B$19-Current_limit!G583)*Current_limit!G583/(Main!$B$19*loop_gain!$B$17*loop_gain!$B$18)</f>
        <v>0.76908965213411318</v>
      </c>
      <c r="I583" s="137">
        <f t="shared" si="68"/>
        <v>3.0809103478658879</v>
      </c>
      <c r="J583" s="137"/>
      <c r="K583" s="138">
        <f>IF(A583&gt;$B$15,IF(I583&gt;Helper_calcs!$B$27,23,3),0)</f>
        <v>23</v>
      </c>
      <c r="L583" s="139">
        <f t="shared" si="66"/>
        <v>2</v>
      </c>
      <c r="M583" s="139">
        <f t="shared" si="69"/>
        <v>23</v>
      </c>
      <c r="N583" s="137">
        <f t="shared" si="70"/>
        <v>3.375</v>
      </c>
      <c r="O583" s="137">
        <f t="shared" si="71"/>
        <v>2.6285046728972343</v>
      </c>
      <c r="P583" s="140">
        <f>IF(OR(M583=0,M583=3),loop_gain!$B$18,IF(Current_limit!M583=1,Current_limit!$B$12/(2*(Current_limit!N583-Helper_calcs!$B$27)),IF(OR(M583=2,M583=23),(Main!$B$19-Current_limit!O583)*Current_limit!O583/(Main!$B$19*loop_gain!$B$17*(Helper_calcs!$B$26-Helper_calcs!$B$27)),x)))</f>
        <v>317763.40633803164</v>
      </c>
      <c r="Q583" s="137"/>
    </row>
    <row r="584" spans="1:17" x14ac:dyDescent="0.25">
      <c r="A584">
        <f t="shared" si="72"/>
        <v>6.4299999999999065</v>
      </c>
      <c r="B584">
        <f>Main!$B$20/A584</f>
        <v>0.77760497667186201</v>
      </c>
      <c r="D584" s="137">
        <f t="shared" si="65"/>
        <v>0.77760497667186201</v>
      </c>
      <c r="E584" s="137">
        <f>-B584*Main!$B$19-2*Main!$B$19*loop_gain!$B$17*loop_gain!$B$18</f>
        <v>-74.611259720062336</v>
      </c>
      <c r="F584" s="137">
        <f>2*Main!$B$19*loop_gain!$B$17*loop_gain!$B$18*Helper_calcs!$B$26*Current_limit!B584</f>
        <v>195.4339035769857</v>
      </c>
      <c r="G584" s="137">
        <f t="shared" si="67"/>
        <v>2.6950613891216997</v>
      </c>
      <c r="H584" s="137">
        <f>(Main!$B$19-Current_limit!G584)*Current_limit!G584/(Main!$B$19*loop_gain!$B$17*loop_gain!$B$18)</f>
        <v>0.76830210717909975</v>
      </c>
      <c r="I584" s="137">
        <f t="shared" si="68"/>
        <v>3.0816978928209053</v>
      </c>
      <c r="J584" s="137"/>
      <c r="K584" s="138">
        <f>IF(A584&gt;$B$15,IF(I584&gt;Helper_calcs!$B$27,23,3),0)</f>
        <v>23</v>
      </c>
      <c r="L584" s="139">
        <f t="shared" si="66"/>
        <v>2</v>
      </c>
      <c r="M584" s="139">
        <f t="shared" si="69"/>
        <v>23</v>
      </c>
      <c r="N584" s="137">
        <f t="shared" si="70"/>
        <v>3.375</v>
      </c>
      <c r="O584" s="137">
        <f t="shared" si="71"/>
        <v>2.6244167962675342</v>
      </c>
      <c r="P584" s="140">
        <f>IF(OR(M584=0,M584=3),loop_gain!$B$18,IF(Current_limit!M584=1,Current_limit!$B$12/(2*(Current_limit!N584-Helper_calcs!$B$27)),IF(OR(M584=2,M584=23),(Main!$B$19-Current_limit!O584)*Current_limit!O584/(Main!$B$19*loop_gain!$B$17*(Helper_calcs!$B$26-Helper_calcs!$B$27)),x)))</f>
        <v>317407.61138647137</v>
      </c>
      <c r="Q584" s="137"/>
    </row>
    <row r="585" spans="1:17" x14ac:dyDescent="0.25">
      <c r="A585">
        <f t="shared" si="72"/>
        <v>6.4399999999999062</v>
      </c>
      <c r="B585">
        <f>Main!$B$20/A585</f>
        <v>0.77639751552796166</v>
      </c>
      <c r="D585" s="137">
        <f t="shared" si="65"/>
        <v>0.77639751552796166</v>
      </c>
      <c r="E585" s="137">
        <f>-B585*Main!$B$19-2*Main!$B$19*loop_gain!$B$17*loop_gain!$B$18</f>
        <v>-74.596770186335533</v>
      </c>
      <c r="F585" s="137">
        <f>2*Main!$B$19*loop_gain!$B$17*loop_gain!$B$18*Helper_calcs!$B$26*Current_limit!B585</f>
        <v>195.1304347826115</v>
      </c>
      <c r="G585" s="137">
        <f t="shared" si="67"/>
        <v>2.6911816873220249</v>
      </c>
      <c r="H585" s="137">
        <f>(Main!$B$19-Current_limit!G585)*Current_limit!G585/(Main!$B$19*loop_gain!$B$17*loop_gain!$B$18)</f>
        <v>0.76751597345854417</v>
      </c>
      <c r="I585" s="137">
        <f t="shared" si="68"/>
        <v>3.082484026541445</v>
      </c>
      <c r="J585" s="137"/>
      <c r="K585" s="138">
        <f>IF(A585&gt;$B$15,IF(I585&gt;Helper_calcs!$B$27,23,3),0)</f>
        <v>23</v>
      </c>
      <c r="L585" s="139">
        <f t="shared" si="66"/>
        <v>2</v>
      </c>
      <c r="M585" s="139">
        <f t="shared" si="69"/>
        <v>23</v>
      </c>
      <c r="N585" s="137">
        <f t="shared" si="70"/>
        <v>3.375</v>
      </c>
      <c r="O585" s="137">
        <f t="shared" si="71"/>
        <v>2.6203416149068706</v>
      </c>
      <c r="P585" s="140">
        <f>IF(OR(M585=0,M585=3),loop_gain!$B$18,IF(Current_limit!M585=1,Current_limit!$B$12/(2*(Current_limit!N585-Helper_calcs!$B$27)),IF(OR(M585=2,M585=23),(Main!$B$19-Current_limit!O585)*Current_limit!O585/(Main!$B$19*loop_gain!$B$17*(Helper_calcs!$B$26-Helper_calcs!$B$27)),x)))</f>
        <v>317052.49226096104</v>
      </c>
      <c r="Q585" s="137"/>
    </row>
    <row r="586" spans="1:17" x14ac:dyDescent="0.25">
      <c r="A586">
        <f t="shared" si="72"/>
        <v>6.449999999999906</v>
      </c>
      <c r="B586">
        <f>Main!$B$20/A586</f>
        <v>0.77519379844962366</v>
      </c>
      <c r="D586" s="137">
        <f t="shared" si="65"/>
        <v>0.77519379844962366</v>
      </c>
      <c r="E586" s="137">
        <f>-B586*Main!$B$19-2*Main!$B$19*loop_gain!$B$17*loop_gain!$B$18</f>
        <v>-74.582325581395466</v>
      </c>
      <c r="F586" s="137">
        <f>2*Main!$B$19*loop_gain!$B$17*loop_gain!$B$18*Helper_calcs!$B$26*Current_limit!B586</f>
        <v>194.82790697674699</v>
      </c>
      <c r="G586" s="137">
        <f t="shared" si="67"/>
        <v>2.6873134695726715</v>
      </c>
      <c r="H586" s="137">
        <f>(Main!$B$19-Current_limit!G586)*Current_limit!G586/(Main!$B$19*loop_gain!$B$17*loop_gain!$B$18)</f>
        <v>0.76673124850261498</v>
      </c>
      <c r="I586" s="137">
        <f t="shared" si="68"/>
        <v>3.0832687514973882</v>
      </c>
      <c r="J586" s="137"/>
      <c r="K586" s="138">
        <f>IF(A586&gt;$B$15,IF(I586&gt;Helper_calcs!$B$27,23,3),0)</f>
        <v>23</v>
      </c>
      <c r="L586" s="139">
        <f t="shared" si="66"/>
        <v>2</v>
      </c>
      <c r="M586" s="139">
        <f t="shared" si="69"/>
        <v>23</v>
      </c>
      <c r="N586" s="137">
        <f t="shared" si="70"/>
        <v>3.375</v>
      </c>
      <c r="O586" s="137">
        <f t="shared" si="71"/>
        <v>2.6162790697674798</v>
      </c>
      <c r="P586" s="140">
        <f>IF(OR(M586=0,M586=3),loop_gain!$B$18,IF(Current_limit!M586=1,Current_limit!$B$12/(2*(Current_limit!N586-Helper_calcs!$B$27)),IF(OR(M586=2,M586=23),(Main!$B$19-Current_limit!O586)*Current_limit!O586/(Main!$B$19*loop_gain!$B$17*(Helper_calcs!$B$26-Helper_calcs!$B$27)),x)))</f>
        <v>316698.0478109697</v>
      </c>
      <c r="Q586" s="137"/>
    </row>
    <row r="587" spans="1:17" x14ac:dyDescent="0.25">
      <c r="A587">
        <f t="shared" si="72"/>
        <v>6.4599999999999058</v>
      </c>
      <c r="B587">
        <f>Main!$B$20/A587</f>
        <v>0.77399380804954687</v>
      </c>
      <c r="D587" s="137">
        <f t="shared" si="65"/>
        <v>0.77399380804954687</v>
      </c>
      <c r="E587" s="137">
        <f>-B587*Main!$B$19-2*Main!$B$19*loop_gain!$B$17*loop_gain!$B$18</f>
        <v>-74.567925696594557</v>
      </c>
      <c r="F587" s="137">
        <f>2*Main!$B$19*loop_gain!$B$17*loop_gain!$B$18*Helper_calcs!$B$26*Current_limit!B587</f>
        <v>194.52631578947648</v>
      </c>
      <c r="G587" s="137">
        <f t="shared" si="67"/>
        <v>2.6834566835007871</v>
      </c>
      <c r="H587" s="137">
        <f>(Main!$B$19-Current_limit!G587)*Current_limit!G587/(Main!$B$19*loop_gain!$B$17*loop_gain!$B$18)</f>
        <v>0.76594792983408122</v>
      </c>
      <c r="I587" s="137">
        <f t="shared" si="68"/>
        <v>3.0840520701659258</v>
      </c>
      <c r="J587" s="137"/>
      <c r="K587" s="138">
        <f>IF(A587&gt;$B$15,IF(I587&gt;Helper_calcs!$B$27,23,3),0)</f>
        <v>23</v>
      </c>
      <c r="L587" s="139">
        <f t="shared" si="66"/>
        <v>2</v>
      </c>
      <c r="M587" s="139">
        <f t="shared" si="69"/>
        <v>23</v>
      </c>
      <c r="N587" s="137">
        <f t="shared" si="70"/>
        <v>3.375</v>
      </c>
      <c r="O587" s="137">
        <f t="shared" si="71"/>
        <v>2.6122291021672206</v>
      </c>
      <c r="P587" s="140">
        <f>IF(OR(M587=0,M587=3),loop_gain!$B$18,IF(Current_limit!M587=1,Current_limit!$B$12/(2*(Current_limit!N587-Helper_calcs!$B$27)),IF(OR(M587=2,M587=23),(Main!$B$19-Current_limit!O587)*Current_limit!O587/(Main!$B$19*loop_gain!$B$17*(Helper_calcs!$B$26-Helper_calcs!$B$27)),x)))</f>
        <v>316344.27688076993</v>
      </c>
      <c r="Q587" s="137"/>
    </row>
    <row r="588" spans="1:17" x14ac:dyDescent="0.25">
      <c r="A588">
        <f t="shared" si="72"/>
        <v>6.4699999999999056</v>
      </c>
      <c r="B588">
        <f>Main!$B$20/A588</f>
        <v>0.7727975270479247</v>
      </c>
      <c r="D588" s="137">
        <f t="shared" si="65"/>
        <v>0.7727975270479247</v>
      </c>
      <c r="E588" s="137">
        <f>-B588*Main!$B$19-2*Main!$B$19*loop_gain!$B$17*loop_gain!$B$18</f>
        <v>-74.553570324575077</v>
      </c>
      <c r="F588" s="137">
        <f>2*Main!$B$19*loop_gain!$B$17*loop_gain!$B$18*Helper_calcs!$B$26*Current_limit!B588</f>
        <v>194.22565687790078</v>
      </c>
      <c r="G588" s="137">
        <f t="shared" si="67"/>
        <v>2.6796112770600993</v>
      </c>
      <c r="H588" s="137">
        <f>(Main!$B$19-Current_limit!G588)*Current_limit!G588/(Main!$B$19*loop_gain!$B$17*loop_gain!$B$18)</f>
        <v>0.76516601496855219</v>
      </c>
      <c r="I588" s="137">
        <f t="shared" si="68"/>
        <v>3.0848339850314419</v>
      </c>
      <c r="J588" s="137"/>
      <c r="K588" s="138">
        <f>IF(A588&gt;$B$15,IF(I588&gt;Helper_calcs!$B$27,23,3),0)</f>
        <v>23</v>
      </c>
      <c r="L588" s="139">
        <f t="shared" si="66"/>
        <v>2</v>
      </c>
      <c r="M588" s="139">
        <f t="shared" si="69"/>
        <v>23</v>
      </c>
      <c r="N588" s="137">
        <f t="shared" si="70"/>
        <v>3.375</v>
      </c>
      <c r="O588" s="137">
        <f t="shared" si="71"/>
        <v>2.6081916537867458</v>
      </c>
      <c r="P588" s="140">
        <f>IF(OR(M588=0,M588=3),loop_gain!$B$18,IF(Current_limit!M588=1,Current_limit!$B$12/(2*(Current_limit!N588-Helper_calcs!$B$27)),IF(OR(M588=2,M588=23),(Main!$B$19-Current_limit!O588)*Current_limit!O588/(Main!$B$19*loop_gain!$B$17*(Helper_calcs!$B$26-Helper_calcs!$B$27)),x)))</f>
        <v>315991.17830957315</v>
      </c>
      <c r="Q588" s="137"/>
    </row>
    <row r="589" spans="1:17" x14ac:dyDescent="0.25">
      <c r="A589">
        <f t="shared" si="72"/>
        <v>6.4799999999999054</v>
      </c>
      <c r="B589">
        <f>Main!$B$20/A589</f>
        <v>0.77160493827161625</v>
      </c>
      <c r="D589" s="137">
        <f t="shared" si="65"/>
        <v>0.77160493827161625</v>
      </c>
      <c r="E589" s="137">
        <f>-B589*Main!$B$19-2*Main!$B$19*loop_gain!$B$17*loop_gain!$B$18</f>
        <v>-74.539259259259381</v>
      </c>
      <c r="F589" s="137">
        <f>2*Main!$B$19*loop_gain!$B$17*loop_gain!$B$18*Helper_calcs!$B$26*Current_limit!B589</f>
        <v>193.92592592592874</v>
      </c>
      <c r="G589" s="137">
        <f t="shared" si="67"/>
        <v>2.6757771985283232</v>
      </c>
      <c r="H589" s="137">
        <f>(Main!$B$19-Current_limit!G589)*Current_limit!G589/(Main!$B$19*loop_gain!$B$17*loop_gain!$B$18)</f>
        <v>0.76438550141469985</v>
      </c>
      <c r="I589" s="137">
        <f t="shared" si="68"/>
        <v>3.085614498585306</v>
      </c>
      <c r="J589" s="137"/>
      <c r="K589" s="138">
        <f>IF(A589&gt;$B$15,IF(I589&gt;Helper_calcs!$B$27,23,3),0)</f>
        <v>23</v>
      </c>
      <c r="L589" s="139">
        <f t="shared" si="66"/>
        <v>2</v>
      </c>
      <c r="M589" s="139">
        <f t="shared" si="69"/>
        <v>23</v>
      </c>
      <c r="N589" s="137">
        <f t="shared" si="70"/>
        <v>3.375</v>
      </c>
      <c r="O589" s="137">
        <f t="shared" si="71"/>
        <v>2.6041666666667047</v>
      </c>
      <c r="P589" s="140">
        <f>IF(OR(M589=0,M589=3),loop_gain!$B$18,IF(Current_limit!M589=1,Current_limit!$B$12/(2*(Current_limit!N589-Helper_calcs!$B$27)),IF(OR(M589=2,M589=23),(Main!$B$19-Current_limit!O589)*Current_limit!O589/(Main!$B$19*loop_gain!$B$17*(Helper_calcs!$B$26-Helper_calcs!$B$27)),x)))</f>
        <v>315638.75093166251</v>
      </c>
      <c r="Q589" s="137"/>
    </row>
    <row r="590" spans="1:17" x14ac:dyDescent="0.25">
      <c r="A590">
        <f t="shared" si="72"/>
        <v>6.4899999999999052</v>
      </c>
      <c r="B590">
        <f>Main!$B$20/A590</f>
        <v>0.77041602465332404</v>
      </c>
      <c r="D590" s="137">
        <f t="shared" si="65"/>
        <v>0.77041602465332404</v>
      </c>
      <c r="E590" s="137">
        <f>-B590*Main!$B$19-2*Main!$B$19*loop_gain!$B$17*loop_gain!$B$18</f>
        <v>-74.52499229583988</v>
      </c>
      <c r="F590" s="137">
        <f>2*Main!$B$19*loop_gain!$B$17*loop_gain!$B$18*Helper_calcs!$B$26*Current_limit!B590</f>
        <v>193.62711864407058</v>
      </c>
      <c r="G590" s="137">
        <f t="shared" si="67"/>
        <v>2.6719543965044892</v>
      </c>
      <c r="H590" s="137">
        <f>(Main!$B$19-Current_limit!G590)*Current_limit!G590/(Main!$B$19*loop_gain!$B$17*loop_gain!$B$18)</f>
        <v>0.7636063866744548</v>
      </c>
      <c r="I590" s="137">
        <f t="shared" si="68"/>
        <v>3.0863936133255492</v>
      </c>
      <c r="J590" s="137"/>
      <c r="K590" s="138">
        <f>IF(A590&gt;$B$15,IF(I590&gt;Helper_calcs!$B$27,23,3),0)</f>
        <v>23</v>
      </c>
      <c r="L590" s="139">
        <f t="shared" si="66"/>
        <v>2</v>
      </c>
      <c r="M590" s="139">
        <f t="shared" si="69"/>
        <v>23</v>
      </c>
      <c r="N590" s="137">
        <f t="shared" si="70"/>
        <v>3.375</v>
      </c>
      <c r="O590" s="137">
        <f t="shared" si="71"/>
        <v>2.6001540832049685</v>
      </c>
      <c r="P590" s="140">
        <f>IF(OR(M590=0,M590=3),loop_gain!$B$18,IF(Current_limit!M590=1,Current_limit!$B$12/(2*(Current_limit!N590-Helper_calcs!$B$27)),IF(OR(M590=2,M590=23),(Main!$B$19-Current_limit!O590)*Current_limit!O590/(Main!$B$19*loop_gain!$B$17*(Helper_calcs!$B$26-Helper_calcs!$B$27)),x)))</f>
        <v>315286.99357652414</v>
      </c>
      <c r="Q590" s="137"/>
    </row>
    <row r="591" spans="1:17" x14ac:dyDescent="0.25">
      <c r="A591">
        <f t="shared" si="72"/>
        <v>6.499999999999905</v>
      </c>
      <c r="B591">
        <f>Main!$B$20/A591</f>
        <v>0.76923076923078049</v>
      </c>
      <c r="D591" s="137">
        <f t="shared" si="65"/>
        <v>0.76923076923078049</v>
      </c>
      <c r="E591" s="137">
        <f>-B591*Main!$B$19-2*Main!$B$19*loop_gain!$B$17*loop_gain!$B$18</f>
        <v>-74.510769230769355</v>
      </c>
      <c r="F591" s="137">
        <f>2*Main!$B$19*loop_gain!$B$17*loop_gain!$B$18*Helper_calcs!$B$26*Current_limit!B591</f>
        <v>193.32923076923356</v>
      </c>
      <c r="G591" s="137">
        <f t="shared" si="67"/>
        <v>2.6681428199064925</v>
      </c>
      <c r="H591" s="137">
        <f>(Main!$B$19-Current_limit!G591)*Current_limit!G591/(Main!$B$19*loop_gain!$B$17*loop_gain!$B$18)</f>
        <v>0.7628286682432398</v>
      </c>
      <c r="I591" s="137">
        <f t="shared" si="68"/>
        <v>3.0871713317567693</v>
      </c>
      <c r="J591" s="137"/>
      <c r="K591" s="138">
        <f>IF(A591&gt;$B$15,IF(I591&gt;Helper_calcs!$B$27,23,3),0)</f>
        <v>23</v>
      </c>
      <c r="L591" s="139">
        <f t="shared" si="66"/>
        <v>2</v>
      </c>
      <c r="M591" s="139">
        <f t="shared" si="69"/>
        <v>23</v>
      </c>
      <c r="N591" s="137">
        <f t="shared" si="70"/>
        <v>3.375</v>
      </c>
      <c r="O591" s="137">
        <f t="shared" si="71"/>
        <v>2.596153846153884</v>
      </c>
      <c r="P591" s="140">
        <f>IF(OR(M591=0,M591=3),loop_gain!$B$18,IF(Current_limit!M591=1,Current_limit!$B$12/(2*(Current_limit!N591-Helper_calcs!$B$27)),IF(OR(M591=2,M591=23),(Main!$B$19-Current_limit!O591)*Current_limit!O591/(Main!$B$19*loop_gain!$B$17*(Helper_calcs!$B$26-Helper_calcs!$B$27)),x)))</f>
        <v>314935.90506897576</v>
      </c>
      <c r="Q591" s="137"/>
    </row>
    <row r="592" spans="1:17" x14ac:dyDescent="0.25">
      <c r="A592">
        <f t="shared" si="72"/>
        <v>6.5099999999999048</v>
      </c>
      <c r="B592">
        <f>Main!$B$20/A592</f>
        <v>0.76804915514594063</v>
      </c>
      <c r="D592" s="137">
        <f t="shared" si="65"/>
        <v>0.76804915514594063</v>
      </c>
      <c r="E592" s="137">
        <f>-B592*Main!$B$19-2*Main!$B$19*loop_gain!$B$17*loop_gain!$B$18</f>
        <v>-74.496589861751275</v>
      </c>
      <c r="F592" s="137">
        <f>2*Main!$B$19*loop_gain!$B$17*loop_gain!$B$18*Helper_calcs!$B$26*Current_limit!B592</f>
        <v>193.03225806451891</v>
      </c>
      <c r="G592" s="137">
        <f t="shared" si="67"/>
        <v>2.6643424179684865</v>
      </c>
      <c r="H592" s="137">
        <f>(Main!$B$19-Current_limit!G592)*Current_limit!G592/(Main!$B$19*loop_gain!$B$17*loop_gain!$B$18)</f>
        <v>0.76205234361016183</v>
      </c>
      <c r="I592" s="137">
        <f t="shared" si="68"/>
        <v>3.0879476563898374</v>
      </c>
      <c r="J592" s="137"/>
      <c r="K592" s="138">
        <f>IF(A592&gt;$B$15,IF(I592&gt;Helper_calcs!$B$27,23,3),0)</f>
        <v>23</v>
      </c>
      <c r="L592" s="139">
        <f t="shared" si="66"/>
        <v>2</v>
      </c>
      <c r="M592" s="139">
        <f t="shared" si="69"/>
        <v>23</v>
      </c>
      <c r="N592" s="137">
        <f t="shared" si="70"/>
        <v>3.375</v>
      </c>
      <c r="O592" s="137">
        <f t="shared" si="71"/>
        <v>2.5921658986175498</v>
      </c>
      <c r="P592" s="140">
        <f>IF(OR(M592=0,M592=3),loop_gain!$B$18,IF(Current_limit!M592=1,Current_limit!$B$12/(2*(Current_limit!N592-Helper_calcs!$B$27)),IF(OR(M592=2,M592=23),(Main!$B$19-Current_limit!O592)*Current_limit!O592/(Main!$B$19*loop_gain!$B$17*(Helper_calcs!$B$26-Helper_calcs!$B$27)),x)))</f>
        <v>314585.48422929394</v>
      </c>
      <c r="Q592" s="137"/>
    </row>
    <row r="593" spans="1:17" x14ac:dyDescent="0.25">
      <c r="A593">
        <f t="shared" si="72"/>
        <v>6.5199999999999045</v>
      </c>
      <c r="B593">
        <f>Main!$B$20/A593</f>
        <v>0.76687116564418301</v>
      </c>
      <c r="D593" s="137">
        <f t="shared" si="65"/>
        <v>0.76687116564418301</v>
      </c>
      <c r="E593" s="137">
        <f>-B593*Main!$B$19-2*Main!$B$19*loop_gain!$B$17*loop_gain!$B$18</f>
        <v>-74.482453987730182</v>
      </c>
      <c r="F593" s="137">
        <f>2*Main!$B$19*loop_gain!$B$17*loop_gain!$B$18*Helper_calcs!$B$26*Current_limit!B593</f>
        <v>192.73619631902119</v>
      </c>
      <c r="G593" s="137">
        <f t="shared" si="67"/>
        <v>2.6605531402384459</v>
      </c>
      <c r="H593" s="137">
        <f>(Main!$B$19-Current_limit!G593)*Current_limit!G593/(Main!$B$19*loop_gain!$B$17*loop_gain!$B$18)</f>
        <v>0.76127741025823226</v>
      </c>
      <c r="I593" s="137">
        <f t="shared" si="68"/>
        <v>3.0887225897417663</v>
      </c>
      <c r="J593" s="137"/>
      <c r="K593" s="138">
        <f>IF(A593&gt;$B$15,IF(I593&gt;Helper_calcs!$B$27,23,3),0)</f>
        <v>23</v>
      </c>
      <c r="L593" s="139">
        <f t="shared" si="66"/>
        <v>2</v>
      </c>
      <c r="M593" s="139">
        <f t="shared" si="69"/>
        <v>23</v>
      </c>
      <c r="N593" s="137">
        <f t="shared" si="70"/>
        <v>3.375</v>
      </c>
      <c r="O593" s="137">
        <f t="shared" si="71"/>
        <v>2.5881901840491177</v>
      </c>
      <c r="P593" s="140">
        <f>IF(OR(M593=0,M593=3),loop_gain!$B$18,IF(Current_limit!M593=1,Current_limit!$B$12/(2*(Current_limit!N593-Helper_calcs!$B$27)),IF(OR(M593=2,M593=23),(Main!$B$19-Current_limit!O593)*Current_limit!O593/(Main!$B$19*loop_gain!$B$17*(Helper_calcs!$B$26-Helper_calcs!$B$27)),x)))</f>
        <v>314235.72987333854</v>
      </c>
      <c r="Q593" s="137"/>
    </row>
    <row r="594" spans="1:17" x14ac:dyDescent="0.25">
      <c r="A594">
        <f t="shared" si="72"/>
        <v>6.5299999999999043</v>
      </c>
      <c r="B594">
        <f>Main!$B$20/A594</f>
        <v>0.76569678407351816</v>
      </c>
      <c r="D594" s="137">
        <f t="shared" si="65"/>
        <v>0.76569678407351816</v>
      </c>
      <c r="E594" s="137">
        <f>-B594*Main!$B$19-2*Main!$B$19*loop_gain!$B$17*loop_gain!$B$18</f>
        <v>-74.468361408882203</v>
      </c>
      <c r="F594" s="137">
        <f>2*Main!$B$19*loop_gain!$B$17*loop_gain!$B$18*Helper_calcs!$B$26*Current_limit!B594</f>
        <v>192.44104134762912</v>
      </c>
      <c r="G594" s="137">
        <f t="shared" si="67"/>
        <v>2.6567749365756281</v>
      </c>
      <c r="H594" s="137">
        <f>(Main!$B$19-Current_limit!G594)*Current_limit!G594/(Main!$B$19*loop_gain!$B$17*loop_gain!$B$18)</f>
        <v>0.76050386566455608</v>
      </c>
      <c r="I594" s="137">
        <f t="shared" si="68"/>
        <v>3.0894961343354415</v>
      </c>
      <c r="J594" s="137"/>
      <c r="K594" s="138">
        <f>IF(A594&gt;$B$15,IF(I594&gt;Helper_calcs!$B$27,23,3),0)</f>
        <v>23</v>
      </c>
      <c r="L594" s="139">
        <f t="shared" si="66"/>
        <v>2</v>
      </c>
      <c r="M594" s="139">
        <f t="shared" si="69"/>
        <v>23</v>
      </c>
      <c r="N594" s="137">
        <f t="shared" si="70"/>
        <v>3.375</v>
      </c>
      <c r="O594" s="137">
        <f t="shared" si="71"/>
        <v>2.5842266462481236</v>
      </c>
      <c r="P594" s="140">
        <f>IF(OR(M594=0,M594=3),loop_gain!$B$18,IF(Current_limit!M594=1,Current_limit!$B$12/(2*(Current_limit!N594-Helper_calcs!$B$27)),IF(OR(M594=2,M594=23),(Main!$B$19-Current_limit!O594)*Current_limit!O594/(Main!$B$19*loop_gain!$B$17*(Helper_calcs!$B$26-Helper_calcs!$B$27)),x)))</f>
        <v>313886.64081267623</v>
      </c>
      <c r="Q594" s="137"/>
    </row>
    <row r="595" spans="1:17" x14ac:dyDescent="0.25">
      <c r="A595">
        <f t="shared" si="72"/>
        <v>6.5399999999999041</v>
      </c>
      <c r="B595">
        <f>Main!$B$20/A595</f>
        <v>0.76452599388380327</v>
      </c>
      <c r="D595" s="137">
        <f t="shared" si="65"/>
        <v>0.76452599388380327</v>
      </c>
      <c r="E595" s="137">
        <f>-B595*Main!$B$19-2*Main!$B$19*loop_gain!$B$17*loop_gain!$B$18</f>
        <v>-74.454311926605627</v>
      </c>
      <c r="F595" s="137">
        <f>2*Main!$B$19*loop_gain!$B$17*loop_gain!$B$18*Helper_calcs!$B$26*Current_limit!B595</f>
        <v>192.14678899082847</v>
      </c>
      <c r="G595" s="137">
        <f t="shared" si="67"/>
        <v>2.6530077571481478</v>
      </c>
      <c r="H595" s="137">
        <f>(Main!$B$19-Current_limit!G595)*Current_limit!G595/(Main!$B$19*loop_gain!$B$17*loop_gain!$B$18)</f>
        <v>0.75973170730053718</v>
      </c>
      <c r="I595" s="137">
        <f t="shared" si="68"/>
        <v>3.0902682926994576</v>
      </c>
      <c r="J595" s="137"/>
      <c r="K595" s="138">
        <f>IF(A595&gt;$B$15,IF(I595&gt;Helper_calcs!$B$27,23,3),0)</f>
        <v>23</v>
      </c>
      <c r="L595" s="139">
        <f t="shared" si="66"/>
        <v>2</v>
      </c>
      <c r="M595" s="139">
        <f t="shared" si="69"/>
        <v>23</v>
      </c>
      <c r="N595" s="137">
        <f t="shared" si="70"/>
        <v>3.375</v>
      </c>
      <c r="O595" s="137">
        <f t="shared" si="71"/>
        <v>2.5802752293578362</v>
      </c>
      <c r="P595" s="140">
        <f>IF(OR(M595=0,M595=3),loop_gain!$B$18,IF(Current_limit!M595=1,Current_limit!$B$12/(2*(Current_limit!N595-Helper_calcs!$B$27)),IF(OR(M595=2,M595=23),(Main!$B$19-Current_limit!O595)*Current_limit!O595/(Main!$B$19*loop_gain!$B$17*(Helper_calcs!$B$26-Helper_calcs!$B$27)),x)))</f>
        <v>313538.21585470071</v>
      </c>
      <c r="Q595" s="137"/>
    </row>
    <row r="596" spans="1:17" x14ac:dyDescent="0.25">
      <c r="A596">
        <f t="shared" si="72"/>
        <v>6.5499999999999039</v>
      </c>
      <c r="B596">
        <f>Main!$B$20/A596</f>
        <v>0.76335877862596535</v>
      </c>
      <c r="D596" s="137">
        <f t="shared" si="65"/>
        <v>0.76335877862596535</v>
      </c>
      <c r="E596" s="137">
        <f>-B596*Main!$B$19-2*Main!$B$19*loop_gain!$B$17*loop_gain!$B$18</f>
        <v>-74.440305343511568</v>
      </c>
      <c r="F596" s="137">
        <f>2*Main!$B$19*loop_gain!$B$17*loop_gain!$B$18*Helper_calcs!$B$26*Current_limit!B596</f>
        <v>191.85343511450657</v>
      </c>
      <c r="G596" s="137">
        <f t="shared" si="67"/>
        <v>2.6492515524305458</v>
      </c>
      <c r="H596" s="137">
        <f>(Main!$B$19-Current_limit!G596)*Current_limit!G596/(Main!$B$19*loop_gain!$B$17*loop_gain!$B$18)</f>
        <v>0.75896093263207409</v>
      </c>
      <c r="I596" s="137">
        <f t="shared" si="68"/>
        <v>3.0910390673679271</v>
      </c>
      <c r="J596" s="137"/>
      <c r="K596" s="138">
        <f>IF(A596&gt;$B$15,IF(I596&gt;Helper_calcs!$B$27,23,3),0)</f>
        <v>23</v>
      </c>
      <c r="L596" s="139">
        <f t="shared" si="66"/>
        <v>2</v>
      </c>
      <c r="M596" s="139">
        <f t="shared" si="69"/>
        <v>23</v>
      </c>
      <c r="N596" s="137">
        <f t="shared" si="70"/>
        <v>3.375</v>
      </c>
      <c r="O596" s="137">
        <f t="shared" si="71"/>
        <v>2.5763358778626331</v>
      </c>
      <c r="P596" s="140">
        <f>IF(OR(M596=0,M596=3),loop_gain!$B$18,IF(Current_limit!M596=1,Current_limit!$B$12/(2*(Current_limit!N596-Helper_calcs!$B$27)),IF(OR(M596=2,M596=23),(Main!$B$19-Current_limit!O596)*Current_limit!O596/(Main!$B$19*loop_gain!$B$17*(Helper_calcs!$B$26-Helper_calcs!$B$27)),x)))</f>
        <v>313190.45380275248</v>
      </c>
      <c r="Q596" s="137"/>
    </row>
    <row r="597" spans="1:17" x14ac:dyDescent="0.25">
      <c r="A597">
        <f t="shared" si="72"/>
        <v>6.5599999999999037</v>
      </c>
      <c r="B597">
        <f>Main!$B$20/A597</f>
        <v>0.76219512195123074</v>
      </c>
      <c r="D597" s="137">
        <f t="shared" si="65"/>
        <v>0.76219512195123074</v>
      </c>
      <c r="E597" s="137">
        <f>-B597*Main!$B$19-2*Main!$B$19*loop_gain!$B$17*loop_gain!$B$18</f>
        <v>-74.426341463414758</v>
      </c>
      <c r="F597" s="137">
        <f>2*Main!$B$19*loop_gain!$B$17*loop_gain!$B$18*Helper_calcs!$B$26*Current_limit!B597</f>
        <v>191.56097560975888</v>
      </c>
      <c r="G597" s="137">
        <f t="shared" si="67"/>
        <v>2.6455062732013577</v>
      </c>
      <c r="H597" s="137">
        <f>(Main!$B$19-Current_limit!G597)*Current_limit!G597/(Main!$B$19*loop_gain!$B$17*loop_gain!$B$18)</f>
        <v>0.75819153911974757</v>
      </c>
      <c r="I597" s="137">
        <f t="shared" si="68"/>
        <v>3.0918084608802561</v>
      </c>
      <c r="J597" s="137"/>
      <c r="K597" s="138">
        <f>IF(A597&gt;$B$15,IF(I597&gt;Helper_calcs!$B$27,23,3),0)</f>
        <v>23</v>
      </c>
      <c r="L597" s="139">
        <f t="shared" si="66"/>
        <v>2</v>
      </c>
      <c r="M597" s="139">
        <f t="shared" si="69"/>
        <v>23</v>
      </c>
      <c r="N597" s="137">
        <f t="shared" si="70"/>
        <v>3.375</v>
      </c>
      <c r="O597" s="137">
        <f t="shared" si="71"/>
        <v>2.5724085365854039</v>
      </c>
      <c r="P597" s="140">
        <f>IF(OR(M597=0,M597=3),loop_gain!$B$18,IF(Current_limit!M597=1,Current_limit!$B$12/(2*(Current_limit!N597-Helper_calcs!$B$27)),IF(OR(M597=2,M597=23),(Main!$B$19-Current_limit!O597)*Current_limit!O597/(Main!$B$19*loop_gain!$B$17*(Helper_calcs!$B$26-Helper_calcs!$B$27)),x)))</f>
        <v>312843.35345623567</v>
      </c>
      <c r="Q597" s="137"/>
    </row>
    <row r="598" spans="1:17" x14ac:dyDescent="0.25">
      <c r="A598">
        <f t="shared" si="72"/>
        <v>6.5699999999999035</v>
      </c>
      <c r="B598">
        <f>Main!$B$20/A598</f>
        <v>0.76103500761036125</v>
      </c>
      <c r="D598" s="137">
        <f t="shared" si="65"/>
        <v>0.76103500761036125</v>
      </c>
      <c r="E598" s="137">
        <f>-B598*Main!$B$19-2*Main!$B$19*loop_gain!$B$17*loop_gain!$B$18</f>
        <v>-74.412420091324321</v>
      </c>
      <c r="F598" s="137">
        <f>2*Main!$B$19*loop_gain!$B$17*loop_gain!$B$18*Helper_calcs!$B$26*Current_limit!B598</f>
        <v>191.26940639269682</v>
      </c>
      <c r="G598" s="137">
        <f t="shared" si="67"/>
        <v>2.6417718705407456</v>
      </c>
      <c r="H598" s="137">
        <f>(Main!$B$19-Current_limit!G598)*Current_limit!G598/(Main!$B$19*loop_gain!$B$17*loop_gain!$B$18)</f>
        <v>0.7574235242190136</v>
      </c>
      <c r="I598" s="137">
        <f t="shared" si="68"/>
        <v>3.0925764757809819</v>
      </c>
      <c r="J598" s="137"/>
      <c r="K598" s="138">
        <f>IF(A598&gt;$B$15,IF(I598&gt;Helper_calcs!$B$27,23,3),0)</f>
        <v>23</v>
      </c>
      <c r="L598" s="139">
        <f t="shared" si="66"/>
        <v>2</v>
      </c>
      <c r="M598" s="139">
        <f t="shared" si="69"/>
        <v>23</v>
      </c>
      <c r="N598" s="137">
        <f t="shared" si="70"/>
        <v>3.375</v>
      </c>
      <c r="O598" s="137">
        <f t="shared" si="71"/>
        <v>2.5684931506849691</v>
      </c>
      <c r="P598" s="140">
        <f>IF(OR(M598=0,M598=3),loop_gain!$B$18,IF(Current_limit!M598=1,Current_limit!$B$12/(2*(Current_limit!N598-Helper_calcs!$B$27)),IF(OR(M598=2,M598=23),(Main!$B$19-Current_limit!O598)*Current_limit!O598/(Main!$B$19*loop_gain!$B$17*(Helper_calcs!$B$26-Helper_calcs!$B$27)),x)))</f>
        <v>312496.91361073311</v>
      </c>
      <c r="Q598" s="137"/>
    </row>
    <row r="599" spans="1:17" x14ac:dyDescent="0.25">
      <c r="A599">
        <f t="shared" si="72"/>
        <v>6.5799999999999033</v>
      </c>
      <c r="B599">
        <f>Main!$B$20/A599</f>
        <v>0.75987841945289869</v>
      </c>
      <c r="D599" s="137">
        <f t="shared" ref="D599:D641" si="73">B599</f>
        <v>0.75987841945289869</v>
      </c>
      <c r="E599" s="137">
        <f>-B599*Main!$B$19-2*Main!$B$19*loop_gain!$B$17*loop_gain!$B$18</f>
        <v>-74.398541033434768</v>
      </c>
      <c r="F599" s="137">
        <f>2*Main!$B$19*loop_gain!$B$17*loop_gain!$B$18*Helper_calcs!$B$26*Current_limit!B599</f>
        <v>190.97872340425809</v>
      </c>
      <c r="G599" s="137">
        <f t="shared" si="67"/>
        <v>2.638048295828161</v>
      </c>
      <c r="H599" s="137">
        <f>(Main!$B$19-Current_limit!G599)*Current_limit!G599/(Main!$B$19*loop_gain!$B$17*loop_gain!$B$18)</f>
        <v>0.75665688538039433</v>
      </c>
      <c r="I599" s="137">
        <f t="shared" si="68"/>
        <v>3.093343114619612</v>
      </c>
      <c r="J599" s="137"/>
      <c r="K599" s="138">
        <f>IF(A599&gt;$B$15,IF(I599&gt;Helper_calcs!$B$27,23,3),0)</f>
        <v>23</v>
      </c>
      <c r="L599" s="139">
        <f t="shared" ref="L599:L643" si="74">IF(A599&gt;$B$13,IF(A599&gt;$B$14,2,1),0)</f>
        <v>2</v>
      </c>
      <c r="M599" s="139">
        <f t="shared" si="69"/>
        <v>23</v>
      </c>
      <c r="N599" s="137">
        <f t="shared" si="70"/>
        <v>3.375</v>
      </c>
      <c r="O599" s="137">
        <f t="shared" si="71"/>
        <v>2.564589665653533</v>
      </c>
      <c r="P599" s="140">
        <f>IF(OR(M599=0,M599=3),loop_gain!$B$18,IF(Current_limit!M599=1,Current_limit!$B$12/(2*(Current_limit!N599-Helper_calcs!$B$27)),IF(OR(M599=2,M599=23),(Main!$B$19-Current_limit!O599)*Current_limit!O599/(Main!$B$19*loop_gain!$B$17*(Helper_calcs!$B$26-Helper_calcs!$B$27)),x)))</f>
        <v>312151.13305812044</v>
      </c>
      <c r="Q599" s="137"/>
    </row>
    <row r="600" spans="1:17" x14ac:dyDescent="0.25">
      <c r="A600">
        <f t="shared" si="72"/>
        <v>6.589999999999903</v>
      </c>
      <c r="B600">
        <f>Main!$B$20/A600</f>
        <v>0.75872534142641479</v>
      </c>
      <c r="D600" s="137">
        <f t="shared" si="73"/>
        <v>0.75872534142641479</v>
      </c>
      <c r="E600" s="137">
        <f>-B600*Main!$B$19-2*Main!$B$19*loop_gain!$B$17*loop_gain!$B$18</f>
        <v>-74.384704097116966</v>
      </c>
      <c r="F600" s="137">
        <f>2*Main!$B$19*loop_gain!$B$17*loop_gain!$B$18*Helper_calcs!$B$26*Current_limit!B600</f>
        <v>190.68892261001793</v>
      </c>
      <c r="G600" s="137">
        <f t="shared" ref="G600:G641" si="75">(-E600-SQRT(E600^2-4*D600*F600))/(2*D600)</f>
        <v>2.6343355007399287</v>
      </c>
      <c r="H600" s="137">
        <f>(Main!$B$19-Current_limit!G600)*Current_limit!G600/(Main!$B$19*loop_gain!$B$17*loop_gain!$B$18)</f>
        <v>0.75589162004964638</v>
      </c>
      <c r="I600" s="137">
        <f t="shared" ref="I600:I641" si="76">(G600/B600)-0.5*H600</f>
        <v>3.0941083799503519</v>
      </c>
      <c r="J600" s="137"/>
      <c r="K600" s="138">
        <f>IF(A600&gt;$B$15,IF(I600&gt;Helper_calcs!$B$27,23,3),0)</f>
        <v>23</v>
      </c>
      <c r="L600" s="139">
        <f t="shared" si="74"/>
        <v>2</v>
      </c>
      <c r="M600" s="139">
        <f t="shared" ref="M600:M643" si="77">IF($B$16="N",L600,K600)</f>
        <v>23</v>
      </c>
      <c r="N600" s="137">
        <f t="shared" ref="N600:N641" si="78">IF(OR(M600=0,M600=1),A600,IF(OR(M600=2,M600=23),$B$14,G600/B600))</f>
        <v>3.375</v>
      </c>
      <c r="O600" s="137">
        <f t="shared" ref="O600:O641" si="79">N600*B600</f>
        <v>2.56069802731415</v>
      </c>
      <c r="P600" s="140">
        <f>IF(OR(M600=0,M600=3),loop_gain!$B$18,IF(Current_limit!M600=1,Current_limit!$B$12/(2*(Current_limit!N600-Helper_calcs!$B$27)),IF(OR(M600=2,M600=23),(Main!$B$19-Current_limit!O600)*Current_limit!O600/(Main!$B$19*loop_gain!$B$17*(Helper_calcs!$B$26-Helper_calcs!$B$27)),x)))</f>
        <v>311806.01058667724</v>
      </c>
      <c r="Q600" s="137"/>
    </row>
    <row r="601" spans="1:17" x14ac:dyDescent="0.25">
      <c r="A601">
        <f t="shared" si="72"/>
        <v>6.5999999999999028</v>
      </c>
      <c r="B601">
        <f>Main!$B$20/A601</f>
        <v>0.75757575757576878</v>
      </c>
      <c r="D601" s="137">
        <f t="shared" si="73"/>
        <v>0.75757575757576878</v>
      </c>
      <c r="E601" s="137">
        <f>-B601*Main!$B$19-2*Main!$B$19*loop_gain!$B$17*loop_gain!$B$18</f>
        <v>-74.370909090909208</v>
      </c>
      <c r="F601" s="137">
        <f>2*Main!$B$19*loop_gain!$B$17*loop_gain!$B$18*Helper_calcs!$B$26*Current_limit!B601</f>
        <v>190.40000000000276</v>
      </c>
      <c r="G601" s="137">
        <f t="shared" si="75"/>
        <v>2.6306334372470159</v>
      </c>
      <c r="H601" s="137">
        <f>(Main!$B$19-Current_limit!G601)*Current_limit!G601/(Main!$B$19*loop_gain!$B$17*loop_gain!$B$18)</f>
        <v>0.75512772566795794</v>
      </c>
      <c r="I601" s="137">
        <f t="shared" si="76"/>
        <v>3.0948722743320309</v>
      </c>
      <c r="J601" s="137"/>
      <c r="K601" s="138">
        <f>IF(A601&gt;$B$15,IF(I601&gt;Helper_calcs!$B$27,23,3),0)</f>
        <v>23</v>
      </c>
      <c r="L601" s="139">
        <f t="shared" si="74"/>
        <v>2</v>
      </c>
      <c r="M601" s="139">
        <f t="shared" si="77"/>
        <v>23</v>
      </c>
      <c r="N601" s="137">
        <f t="shared" si="78"/>
        <v>3.375</v>
      </c>
      <c r="O601" s="137">
        <f t="shared" si="79"/>
        <v>2.5568181818182198</v>
      </c>
      <c r="P601" s="140">
        <f>IF(OR(M601=0,M601=3),loop_gain!$B$18,IF(Current_limit!M601=1,Current_limit!$B$12/(2*(Current_limit!N601-Helper_calcs!$B$27)),IF(OR(M601=2,M601=23),(Main!$B$19-Current_limit!O601)*Current_limit!O601/(Main!$B$19*loop_gain!$B$17*(Helper_calcs!$B$26-Helper_calcs!$B$27)),x)))</f>
        <v>311461.54498119728</v>
      </c>
      <c r="Q601" s="137"/>
    </row>
    <row r="602" spans="1:17" x14ac:dyDescent="0.25">
      <c r="A602">
        <f t="shared" si="72"/>
        <v>6.6099999999999026</v>
      </c>
      <c r="B602">
        <f>Main!$B$20/A602</f>
        <v>0.75642965204237123</v>
      </c>
      <c r="D602" s="137">
        <f t="shared" si="73"/>
        <v>0.75642965204237123</v>
      </c>
      <c r="E602" s="137">
        <f>-B602*Main!$B$19-2*Main!$B$19*loop_gain!$B$17*loop_gain!$B$18</f>
        <v>-74.357155824508439</v>
      </c>
      <c r="F602" s="137">
        <f>2*Main!$B$19*loop_gain!$B$17*loop_gain!$B$18*Helper_calcs!$B$26*Current_limit!B602</f>
        <v>190.11195158850504</v>
      </c>
      <c r="G602" s="137">
        <f t="shared" si="75"/>
        <v>2.6269420576127045</v>
      </c>
      <c r="H602" s="137">
        <f>(Main!$B$19-Current_limit!G602)*Current_limit!G602/(Main!$B$19*loop_gain!$B$17*loop_gain!$B$18)</f>
        <v>0.75436519967211968</v>
      </c>
      <c r="I602" s="137">
        <f t="shared" si="76"/>
        <v>3.0956348003278844</v>
      </c>
      <c r="J602" s="137"/>
      <c r="K602" s="138">
        <f>IF(A602&gt;$B$15,IF(I602&gt;Helper_calcs!$B$27,23,3),0)</f>
        <v>23</v>
      </c>
      <c r="L602" s="139">
        <f t="shared" si="74"/>
        <v>2</v>
      </c>
      <c r="M602" s="139">
        <f t="shared" si="77"/>
        <v>23</v>
      </c>
      <c r="N602" s="137">
        <f t="shared" si="78"/>
        <v>3.375</v>
      </c>
      <c r="O602" s="137">
        <f t="shared" si="79"/>
        <v>2.552950075643003</v>
      </c>
      <c r="P602" s="140">
        <f>IF(OR(M602=0,M602=3),loop_gain!$B$18,IF(Current_limit!M602=1,Current_limit!$B$12/(2*(Current_limit!N602-Helper_calcs!$B$27)),IF(OR(M602=2,M602=23),(Main!$B$19-Current_limit!O602)*Current_limit!O602/(Main!$B$19*loop_gain!$B$17*(Helper_calcs!$B$26-Helper_calcs!$B$27)),x)))</f>
        <v>311117.7350230962</v>
      </c>
      <c r="Q602" s="137"/>
    </row>
    <row r="603" spans="1:17" x14ac:dyDescent="0.25">
      <c r="A603">
        <f t="shared" si="72"/>
        <v>6.6199999999999024</v>
      </c>
      <c r="B603">
        <f>Main!$B$20/A603</f>
        <v>0.75528700906345525</v>
      </c>
      <c r="D603" s="137">
        <f t="shared" si="73"/>
        <v>0.75528700906345525</v>
      </c>
      <c r="E603" s="137">
        <f>-B603*Main!$B$19-2*Main!$B$19*loop_gain!$B$17*loop_gain!$B$18</f>
        <v>-74.343444108761446</v>
      </c>
      <c r="F603" s="137">
        <f>2*Main!$B$19*loop_gain!$B$17*loop_gain!$B$18*Helper_calcs!$B$26*Current_limit!B603</f>
        <v>189.82477341390003</v>
      </c>
      <c r="G603" s="137">
        <f t="shared" si="75"/>
        <v>2.6232613143902666</v>
      </c>
      <c r="H603" s="137">
        <f>(Main!$B$19-Current_limit!G603)*Current_limit!G603/(Main!$B$19*loop_gain!$B$17*loop_gain!$B$18)</f>
        <v>0.75360403949468924</v>
      </c>
      <c r="I603" s="137">
        <f t="shared" si="76"/>
        <v>3.0963959605053168</v>
      </c>
      <c r="J603" s="137"/>
      <c r="K603" s="138">
        <f>IF(A603&gt;$B$15,IF(I603&gt;Helper_calcs!$B$27,23,3),0)</f>
        <v>23</v>
      </c>
      <c r="L603" s="139">
        <f t="shared" si="74"/>
        <v>2</v>
      </c>
      <c r="M603" s="139">
        <f t="shared" si="77"/>
        <v>23</v>
      </c>
      <c r="N603" s="137">
        <f t="shared" si="78"/>
        <v>3.375</v>
      </c>
      <c r="O603" s="137">
        <f t="shared" si="79"/>
        <v>2.5490936555891617</v>
      </c>
      <c r="P603" s="140">
        <f>IF(OR(M603=0,M603=3),loop_gain!$B$18,IF(Current_limit!M603=1,Current_limit!$B$12/(2*(Current_limit!N603-Helper_calcs!$B$27)),IF(OR(M603=2,M603=23),(Main!$B$19-Current_limit!O603)*Current_limit!O603/(Main!$B$19*loop_gain!$B$17*(Helper_calcs!$B$26-Helper_calcs!$B$27)),x)))</f>
        <v>310774.5794905189</v>
      </c>
      <c r="Q603" s="137"/>
    </row>
    <row r="604" spans="1:17" x14ac:dyDescent="0.25">
      <c r="A604">
        <f t="shared" si="72"/>
        <v>6.6299999999999022</v>
      </c>
      <c r="B604">
        <f>Main!$B$20/A604</f>
        <v>0.75414781297135347</v>
      </c>
      <c r="D604" s="137">
        <f t="shared" si="73"/>
        <v>0.75414781297135347</v>
      </c>
      <c r="E604" s="137">
        <f>-B604*Main!$B$19-2*Main!$B$19*loop_gain!$B$17*loop_gain!$B$18</f>
        <v>-74.329773755656234</v>
      </c>
      <c r="F604" s="137">
        <f>2*Main!$B$19*loop_gain!$B$17*loop_gain!$B$18*Helper_calcs!$B$26*Current_limit!B604</f>
        <v>189.53846153846428</v>
      </c>
      <c r="G604" s="137">
        <f t="shared" si="75"/>
        <v>2.6195911604207849</v>
      </c>
      <c r="H604" s="137">
        <f>(Main!$B$19-Current_limit!G604)*Current_limit!G604/(Main!$B$19*loop_gain!$B$17*loop_gain!$B$18)</f>
        <v>0.75284424256417615</v>
      </c>
      <c r="I604" s="137">
        <f t="shared" si="76"/>
        <v>3.0971557574358215</v>
      </c>
      <c r="J604" s="137"/>
      <c r="K604" s="138">
        <f>IF(A604&gt;$B$15,IF(I604&gt;Helper_calcs!$B$27,23,3),0)</f>
        <v>23</v>
      </c>
      <c r="L604" s="139">
        <f t="shared" si="74"/>
        <v>2</v>
      </c>
      <c r="M604" s="139">
        <f t="shared" si="77"/>
        <v>23</v>
      </c>
      <c r="N604" s="137">
        <f t="shared" si="78"/>
        <v>3.375</v>
      </c>
      <c r="O604" s="137">
        <f t="shared" si="79"/>
        <v>2.5452488687783181</v>
      </c>
      <c r="P604" s="140">
        <f>IF(OR(M604=0,M604=3),loop_gain!$B$18,IF(Current_limit!M604=1,Current_limit!$B$12/(2*(Current_limit!N604-Helper_calcs!$B$27)),IF(OR(M604=2,M604=23),(Main!$B$19-Current_limit!O604)*Current_limit!O604/(Main!$B$19*loop_gain!$B$17*(Helper_calcs!$B$26-Helper_calcs!$B$27)),x)))</f>
        <v>310432.07715844311</v>
      </c>
      <c r="Q604" s="137"/>
    </row>
    <row r="605" spans="1:17" x14ac:dyDescent="0.25">
      <c r="A605">
        <f t="shared" si="72"/>
        <v>6.639999999999902</v>
      </c>
      <c r="B605">
        <f>Main!$B$20/A605</f>
        <v>0.75301204819278222</v>
      </c>
      <c r="D605" s="137">
        <f t="shared" si="73"/>
        <v>0.75301204819278222</v>
      </c>
      <c r="E605" s="137">
        <f>-B605*Main!$B$19-2*Main!$B$19*loop_gain!$B$17*loop_gain!$B$18</f>
        <v>-74.31614457831337</v>
      </c>
      <c r="F605" s="137">
        <f>2*Main!$B$19*loop_gain!$B$17*loop_gain!$B$18*Helper_calcs!$B$26*Current_limit!B605</f>
        <v>189.25301204819553</v>
      </c>
      <c r="G605" s="137">
        <f t="shared" si="75"/>
        <v>2.6159315488309041</v>
      </c>
      <c r="H605" s="137">
        <f>(Main!$B$19-Current_limit!G605)*Current_limit!G605/(Main!$B$19*loop_gain!$B$17*loop_gain!$B$18)</f>
        <v>0.75208580630520827</v>
      </c>
      <c r="I605" s="137">
        <f t="shared" si="76"/>
        <v>3.0979141936947849</v>
      </c>
      <c r="J605" s="137"/>
      <c r="K605" s="138">
        <f>IF(A605&gt;$B$15,IF(I605&gt;Helper_calcs!$B$27,23,3),0)</f>
        <v>23</v>
      </c>
      <c r="L605" s="139">
        <f t="shared" si="74"/>
        <v>2</v>
      </c>
      <c r="M605" s="139">
        <f t="shared" si="77"/>
        <v>23</v>
      </c>
      <c r="N605" s="137">
        <f t="shared" si="78"/>
        <v>3.375</v>
      </c>
      <c r="O605" s="137">
        <f t="shared" si="79"/>
        <v>2.5414156626506399</v>
      </c>
      <c r="P605" s="140">
        <f>IF(OR(M605=0,M605=3),loop_gain!$B$18,IF(Current_limit!M605=1,Current_limit!$B$12/(2*(Current_limit!N605-Helper_calcs!$B$27)),IF(OR(M605=2,M605=23),(Main!$B$19-Current_limit!O605)*Current_limit!O605/(Main!$B$19*loop_gain!$B$17*(Helper_calcs!$B$26-Helper_calcs!$B$27)),x)))</f>
        <v>310090.22679878341</v>
      </c>
      <c r="Q605" s="137"/>
    </row>
    <row r="606" spans="1:17" x14ac:dyDescent="0.25">
      <c r="A606">
        <f t="shared" si="72"/>
        <v>6.6499999999999018</v>
      </c>
      <c r="B606">
        <f>Main!$B$20/A606</f>
        <v>0.75187969924813136</v>
      </c>
      <c r="D606" s="137">
        <f t="shared" si="73"/>
        <v>0.75187969924813136</v>
      </c>
      <c r="E606" s="137">
        <f>-B606*Main!$B$19-2*Main!$B$19*loop_gain!$B$17*loop_gain!$B$18</f>
        <v>-74.302556390977571</v>
      </c>
      <c r="F606" s="137">
        <f>2*Main!$B$19*loop_gain!$B$17*loop_gain!$B$18*Helper_calcs!$B$26*Current_limit!B606</f>
        <v>188.96842105263431</v>
      </c>
      <c r="G606" s="137">
        <f t="shared" si="75"/>
        <v>2.6122824330306105</v>
      </c>
      <c r="H606" s="137">
        <f>(Main!$B$19-Current_limit!G606)*Current_limit!G606/(Main!$B$19*loop_gain!$B$17*loop_gain!$B$18)</f>
        <v>0.75132872813869489</v>
      </c>
      <c r="I606" s="137">
        <f t="shared" si="76"/>
        <v>3.0986712718613134</v>
      </c>
      <c r="J606" s="137"/>
      <c r="K606" s="138">
        <f>IF(A606&gt;$B$15,IF(I606&gt;Helper_calcs!$B$27,23,3),0)</f>
        <v>23</v>
      </c>
      <c r="L606" s="139">
        <f t="shared" si="74"/>
        <v>2</v>
      </c>
      <c r="M606" s="139">
        <f t="shared" si="77"/>
        <v>23</v>
      </c>
      <c r="N606" s="137">
        <f t="shared" si="78"/>
        <v>3.375</v>
      </c>
      <c r="O606" s="137">
        <f t="shared" si="79"/>
        <v>2.5375939849624434</v>
      </c>
      <c r="P606" s="140">
        <f>IF(OR(M606=0,M606=3),loop_gain!$B$18,IF(Current_limit!M606=1,Current_limit!$B$12/(2*(Current_limit!N606-Helper_calcs!$B$27)),IF(OR(M606=2,M606=23),(Main!$B$19-Current_limit!O606)*Current_limit!O606/(Main!$B$19*loop_gain!$B$17*(Helper_calcs!$B$26-Helper_calcs!$B$27)),x)))</f>
        <v>309749.02718049206</v>
      </c>
      <c r="Q606" s="137"/>
    </row>
    <row r="607" spans="1:17" x14ac:dyDescent="0.25">
      <c r="A607">
        <f t="shared" si="72"/>
        <v>6.6599999999999016</v>
      </c>
      <c r="B607">
        <f>Main!$B$20/A607</f>
        <v>0.75075075075076181</v>
      </c>
      <c r="D607" s="137">
        <f t="shared" si="73"/>
        <v>0.75075075075076181</v>
      </c>
      <c r="E607" s="137">
        <f>-B607*Main!$B$19-2*Main!$B$19*loop_gain!$B$17*loop_gain!$B$18</f>
        <v>-74.289009009009135</v>
      </c>
      <c r="F607" s="137">
        <f>2*Main!$B$19*loop_gain!$B$17*loop_gain!$B$18*Helper_calcs!$B$26*Current_limit!B607</f>
        <v>188.68468468468743</v>
      </c>
      <c r="G607" s="137">
        <f t="shared" si="75"/>
        <v>2.6086437667110025</v>
      </c>
      <c r="H607" s="137">
        <f>(Main!$B$19-Current_limit!G607)*Current_limit!G607/(Main!$B$19*loop_gain!$B$17*loop_gain!$B$18)</f>
        <v>0.75057300548198114</v>
      </c>
      <c r="I607" s="137">
        <f t="shared" si="76"/>
        <v>3.0994269945180135</v>
      </c>
      <c r="J607" s="137"/>
      <c r="K607" s="138">
        <f>IF(A607&gt;$B$15,IF(I607&gt;Helper_calcs!$B$27,23,3),0)</f>
        <v>23</v>
      </c>
      <c r="L607" s="139">
        <f t="shared" si="74"/>
        <v>2</v>
      </c>
      <c r="M607" s="139">
        <f t="shared" si="77"/>
        <v>23</v>
      </c>
      <c r="N607" s="137">
        <f t="shared" si="78"/>
        <v>3.375</v>
      </c>
      <c r="O607" s="137">
        <f t="shared" si="79"/>
        <v>2.5337837837838211</v>
      </c>
      <c r="P607" s="140">
        <f>IF(OR(M607=0,M607=3),loop_gain!$B$18,IF(Current_limit!M607=1,Current_limit!$B$12/(2*(Current_limit!N607-Helper_calcs!$B$27)),IF(OR(M607=2,M607=23),(Main!$B$19-Current_limit!O607)*Current_limit!O607/(Main!$B$19*loop_gain!$B$17*(Helper_calcs!$B$26-Helper_calcs!$B$27)),x)))</f>
        <v>309408.47706965933</v>
      </c>
      <c r="Q607" s="137"/>
    </row>
    <row r="608" spans="1:17" x14ac:dyDescent="0.25">
      <c r="A608">
        <f t="shared" si="72"/>
        <v>6.6699999999999013</v>
      </c>
      <c r="B608">
        <f>Main!$B$20/A608</f>
        <v>0.7496251874063079</v>
      </c>
      <c r="D608" s="137">
        <f t="shared" si="73"/>
        <v>0.7496251874063079</v>
      </c>
      <c r="E608" s="137">
        <f>-B608*Main!$B$19-2*Main!$B$19*loop_gain!$B$17*loop_gain!$B$18</f>
        <v>-74.275502248875682</v>
      </c>
      <c r="F608" s="137">
        <f>2*Main!$B$19*loop_gain!$B$17*loop_gain!$B$18*Helper_calcs!$B$26*Current_limit!B608</f>
        <v>188.40179910045251</v>
      </c>
      <c r="G608" s="137">
        <f t="shared" si="75"/>
        <v>2.6050155038422358</v>
      </c>
      <c r="H608" s="137">
        <f>(Main!$B$19-Current_limit!G608)*Current_limit!G608/(Main!$B$19*loop_gain!$B$17*loop_gain!$B$18)</f>
        <v>0.74981863574903251</v>
      </c>
      <c r="I608" s="137">
        <f t="shared" si="76"/>
        <v>3.1001813642509752</v>
      </c>
      <c r="J608" s="137"/>
      <c r="K608" s="138">
        <f>IF(A608&gt;$B$15,IF(I608&gt;Helper_calcs!$B$27,23,3),0)</f>
        <v>23</v>
      </c>
      <c r="L608" s="139">
        <f t="shared" si="74"/>
        <v>2</v>
      </c>
      <c r="M608" s="139">
        <f t="shared" si="77"/>
        <v>23</v>
      </c>
      <c r="N608" s="137">
        <f t="shared" si="78"/>
        <v>3.375</v>
      </c>
      <c r="O608" s="137">
        <f t="shared" si="79"/>
        <v>2.5299850074962893</v>
      </c>
      <c r="P608" s="140">
        <f>IF(OR(M608=0,M608=3),loop_gain!$B$18,IF(Current_limit!M608=1,Current_limit!$B$12/(2*(Current_limit!N608-Helper_calcs!$B$27)),IF(OR(M608=2,M608=23),(Main!$B$19-Current_limit!O608)*Current_limit!O608/(Main!$B$19*loop_gain!$B$17*(Helper_calcs!$B$26-Helper_calcs!$B$27)),x)))</f>
        <v>309068.57522961136</v>
      </c>
      <c r="Q608" s="137"/>
    </row>
    <row r="609" spans="1:17" x14ac:dyDescent="0.25">
      <c r="A609">
        <f t="shared" ref="A609:A641" si="80">A608+0.01</f>
        <v>6.6799999999999011</v>
      </c>
      <c r="B609">
        <f>Main!$B$20/A609</f>
        <v>0.74850299401198717</v>
      </c>
      <c r="D609" s="137">
        <f t="shared" si="73"/>
        <v>0.74850299401198717</v>
      </c>
      <c r="E609" s="137">
        <f>-B609*Main!$B$19-2*Main!$B$19*loop_gain!$B$17*loop_gain!$B$18</f>
        <v>-74.262035928143831</v>
      </c>
      <c r="F609" s="137">
        <f>2*Main!$B$19*loop_gain!$B$17*loop_gain!$B$18*Helper_calcs!$B$26*Current_limit!B609</f>
        <v>188.11976047904466</v>
      </c>
      <c r="G609" s="137">
        <f t="shared" si="75"/>
        <v>2.6013975986712357</v>
      </c>
      <c r="H609" s="137">
        <f>(Main!$B$19-Current_limit!G609)*Current_limit!G609/(Main!$B$19*loop_gain!$B$17*loop_gain!$B$18)</f>
        <v>0.74906561635056257</v>
      </c>
      <c r="I609" s="137">
        <f t="shared" si="76"/>
        <v>3.1009343836494381</v>
      </c>
      <c r="J609" s="137"/>
      <c r="K609" s="138">
        <f>IF(A609&gt;$B$15,IF(I609&gt;Helper_calcs!$B$27,23,3),0)</f>
        <v>23</v>
      </c>
      <c r="L609" s="139">
        <f t="shared" si="74"/>
        <v>2</v>
      </c>
      <c r="M609" s="139">
        <f t="shared" si="77"/>
        <v>23</v>
      </c>
      <c r="N609" s="137">
        <f t="shared" si="78"/>
        <v>3.375</v>
      </c>
      <c r="O609" s="137">
        <f t="shared" si="79"/>
        <v>2.5261976047904566</v>
      </c>
      <c r="P609" s="140">
        <f>IF(OR(M609=0,M609=3),loop_gain!$B$18,IF(Current_limit!M609=1,Current_limit!$B$12/(2*(Current_limit!N609-Helper_calcs!$B$27)),IF(OR(M609=2,M609=23),(Main!$B$19-Current_limit!O609)*Current_limit!O609/(Main!$B$19*loop_gain!$B$17*(Helper_calcs!$B$26-Helper_calcs!$B$27)),x)))</f>
        <v>308729.32042100665</v>
      </c>
      <c r="Q609" s="137"/>
    </row>
    <row r="610" spans="1:17" x14ac:dyDescent="0.25">
      <c r="A610">
        <f t="shared" si="80"/>
        <v>6.6899999999999009</v>
      </c>
      <c r="B610">
        <f>Main!$B$20/A610</f>
        <v>0.74738415545591541</v>
      </c>
      <c r="D610" s="137">
        <f t="shared" si="73"/>
        <v>0.74738415545591541</v>
      </c>
      <c r="E610" s="137">
        <f>-B610*Main!$B$19-2*Main!$B$19*loop_gain!$B$17*loop_gain!$B$18</f>
        <v>-74.248609865470968</v>
      </c>
      <c r="F610" s="137">
        <f>2*Main!$B$19*loop_gain!$B$17*loop_gain!$B$18*Helper_calcs!$B$26*Current_limit!B610</f>
        <v>187.83856502242426</v>
      </c>
      <c r="G610" s="137">
        <f t="shared" si="75"/>
        <v>2.5977900057196908</v>
      </c>
      <c r="H610" s="137">
        <f>(Main!$B$19-Current_limit!G610)*Current_limit!G610/(Main!$B$19*loop_gain!$B$17*loop_gain!$B$18)</f>
        <v>0.74831394469421519</v>
      </c>
      <c r="I610" s="137">
        <f t="shared" si="76"/>
        <v>3.1016860553057874</v>
      </c>
      <c r="J610" s="137"/>
      <c r="K610" s="138">
        <f>IF(A610&gt;$B$15,IF(I610&gt;Helper_calcs!$B$27,23,3),0)</f>
        <v>23</v>
      </c>
      <c r="L610" s="139">
        <f t="shared" si="74"/>
        <v>2</v>
      </c>
      <c r="M610" s="139">
        <f t="shared" si="77"/>
        <v>23</v>
      </c>
      <c r="N610" s="137">
        <f t="shared" si="78"/>
        <v>3.375</v>
      </c>
      <c r="O610" s="137">
        <f t="shared" si="79"/>
        <v>2.5224215246637147</v>
      </c>
      <c r="P610" s="140">
        <f>IF(OR(M610=0,M610=3),loop_gain!$B$18,IF(Current_limit!M610=1,Current_limit!$B$12/(2*(Current_limit!N610-Helper_calcs!$B$27)),IF(OR(M610=2,M610=23),(Main!$B$19-Current_limit!O610)*Current_limit!O610/(Main!$B$19*loop_gain!$B$17*(Helper_calcs!$B$26-Helper_calcs!$B$27)),x)))</f>
        <v>308390.71140193188</v>
      </c>
      <c r="Q610" s="137"/>
    </row>
    <row r="611" spans="1:17" x14ac:dyDescent="0.25">
      <c r="A611">
        <f t="shared" si="80"/>
        <v>6.6999999999999007</v>
      </c>
      <c r="B611">
        <f>Main!$B$20/A611</f>
        <v>0.74626865671642895</v>
      </c>
      <c r="D611" s="137">
        <f t="shared" si="73"/>
        <v>0.74626865671642895</v>
      </c>
      <c r="E611" s="137">
        <f>-B611*Main!$B$19-2*Main!$B$19*loop_gain!$B$17*loop_gain!$B$18</f>
        <v>-74.235223880597133</v>
      </c>
      <c r="F611" s="137">
        <f>2*Main!$B$19*loop_gain!$B$17*loop_gain!$B$18*Helper_calcs!$B$26*Current_limit!B611</f>
        <v>187.5582089552266</v>
      </c>
      <c r="G611" s="137">
        <f t="shared" si="75"/>
        <v>2.5941926797818629</v>
      </c>
      <c r="H611" s="137">
        <f>(Main!$B$19-Current_limit!G611)*Current_limit!G611/(Main!$B$19*loop_gain!$B$17*loop_gain!$B$18)</f>
        <v>0.74756361818469841</v>
      </c>
      <c r="I611" s="137">
        <f t="shared" si="76"/>
        <v>3.1024363818152954</v>
      </c>
      <c r="J611" s="137"/>
      <c r="K611" s="138">
        <f>IF(A611&gt;$B$15,IF(I611&gt;Helper_calcs!$B$27,23,3),0)</f>
        <v>23</v>
      </c>
      <c r="L611" s="139">
        <f t="shared" si="74"/>
        <v>2</v>
      </c>
      <c r="M611" s="139">
        <f t="shared" si="77"/>
        <v>23</v>
      </c>
      <c r="N611" s="137">
        <f t="shared" si="78"/>
        <v>3.375</v>
      </c>
      <c r="O611" s="137">
        <f t="shared" si="79"/>
        <v>2.5186567164179476</v>
      </c>
      <c r="P611" s="140">
        <f>IF(OR(M611=0,M611=3),loop_gain!$B$18,IF(Current_limit!M611=1,Current_limit!$B$12/(2*(Current_limit!N611-Helper_calcs!$B$27)),IF(OR(M611=2,M611=23),(Main!$B$19-Current_limit!O611)*Current_limit!O611/(Main!$B$19*loop_gain!$B$17*(Helper_calcs!$B$26-Helper_calcs!$B$27)),x)))</f>
        <v>308052.74692799448</v>
      </c>
      <c r="Q611" s="137"/>
    </row>
    <row r="612" spans="1:17" x14ac:dyDescent="0.25">
      <c r="A612">
        <f t="shared" si="80"/>
        <v>6.7099999999999005</v>
      </c>
      <c r="B612">
        <f>Main!$B$20/A612</f>
        <v>0.7451564828614119</v>
      </c>
      <c r="D612" s="137">
        <f t="shared" si="73"/>
        <v>0.7451564828614119</v>
      </c>
      <c r="E612" s="137">
        <f>-B612*Main!$B$19-2*Main!$B$19*loop_gain!$B$17*loop_gain!$B$18</f>
        <v>-74.221877794336933</v>
      </c>
      <c r="F612" s="137">
        <f>2*Main!$B$19*loop_gain!$B$17*loop_gain!$B$18*Helper_calcs!$B$26*Current_limit!B612</f>
        <v>187.27868852459289</v>
      </c>
      <c r="G612" s="137">
        <f t="shared" si="75"/>
        <v>2.5906055759225581</v>
      </c>
      <c r="H612" s="137">
        <f>(Main!$B$19-Current_limit!G612)*Current_limit!G612/(Main!$B$19*loop_gain!$B$17*loop_gain!$B$18)</f>
        <v>0.74681463422394778</v>
      </c>
      <c r="I612" s="137">
        <f t="shared" si="76"/>
        <v>3.103185365776048</v>
      </c>
      <c r="J612" s="137"/>
      <c r="K612" s="138">
        <f>IF(A612&gt;$B$15,IF(I612&gt;Helper_calcs!$B$27,23,3),0)</f>
        <v>23</v>
      </c>
      <c r="L612" s="139">
        <f t="shared" si="74"/>
        <v>2</v>
      </c>
      <c r="M612" s="139">
        <f t="shared" si="77"/>
        <v>23</v>
      </c>
      <c r="N612" s="137">
        <f t="shared" si="78"/>
        <v>3.375</v>
      </c>
      <c r="O612" s="137">
        <f t="shared" si="79"/>
        <v>2.5149031296572653</v>
      </c>
      <c r="P612" s="140">
        <f>IF(OR(M612=0,M612=3),loop_gain!$B$18,IF(Current_limit!M612=1,Current_limit!$B$12/(2*(Current_limit!N612-Helper_calcs!$B$27)),IF(OR(M612=2,M612=23),(Main!$B$19-Current_limit!O612)*Current_limit!O612/(Main!$B$19*loop_gain!$B$17*(Helper_calcs!$B$26-Helper_calcs!$B$27)),x)))</f>
        <v>307715.42575241585</v>
      </c>
      <c r="Q612" s="137"/>
    </row>
    <row r="613" spans="1:17" x14ac:dyDescent="0.25">
      <c r="A613">
        <f t="shared" si="80"/>
        <v>6.7199999999999003</v>
      </c>
      <c r="B613">
        <f>Main!$B$20/A613</f>
        <v>0.74404761904763006</v>
      </c>
      <c r="D613" s="137">
        <f t="shared" si="73"/>
        <v>0.74404761904763006</v>
      </c>
      <c r="E613" s="137">
        <f>-B613*Main!$B$19-2*Main!$B$19*loop_gain!$B$17*loop_gain!$B$18</f>
        <v>-74.208571428571545</v>
      </c>
      <c r="F613" s="137">
        <f>2*Main!$B$19*loop_gain!$B$17*loop_gain!$B$18*Helper_calcs!$B$26*Current_limit!B613</f>
        <v>187.00000000000273</v>
      </c>
      <c r="G613" s="137">
        <f t="shared" si="75"/>
        <v>2.5870286494750148</v>
      </c>
      <c r="H613" s="137">
        <f>(Main!$B$19-Current_limit!G613)*Current_limit!G613/(Main!$B$19*loop_gain!$B$17*loop_gain!$B$18)</f>
        <v>0.74606699021126421</v>
      </c>
      <c r="I613" s="137">
        <f t="shared" si="76"/>
        <v>3.1039330097887365</v>
      </c>
      <c r="J613" s="137"/>
      <c r="K613" s="138">
        <f>IF(A613&gt;$B$15,IF(I613&gt;Helper_calcs!$B$27,23,3),0)</f>
        <v>23</v>
      </c>
      <c r="L613" s="139">
        <f t="shared" si="74"/>
        <v>2</v>
      </c>
      <c r="M613" s="139">
        <f t="shared" si="77"/>
        <v>23</v>
      </c>
      <c r="N613" s="137">
        <f t="shared" si="78"/>
        <v>3.375</v>
      </c>
      <c r="O613" s="137">
        <f t="shared" si="79"/>
        <v>2.5111607142857513</v>
      </c>
      <c r="P613" s="140">
        <f>IF(OR(M613=0,M613=3),loop_gain!$B$18,IF(Current_limit!M613=1,Current_limit!$B$12/(2*(Current_limit!N613-Helper_calcs!$B$27)),IF(OR(M613=2,M613=23),(Main!$B$19-Current_limit!O613)*Current_limit!O613/(Main!$B$19*loop_gain!$B$17*(Helper_calcs!$B$26-Helper_calcs!$B$27)),x)))</f>
        <v>307378.74662612088</v>
      </c>
      <c r="Q613" s="137"/>
    </row>
    <row r="614" spans="1:17" x14ac:dyDescent="0.25">
      <c r="A614">
        <f t="shared" si="80"/>
        <v>6.7299999999999001</v>
      </c>
      <c r="B614">
        <f>Main!$B$20/A614</f>
        <v>0.74294205052007045</v>
      </c>
      <c r="D614" s="137">
        <f t="shared" si="73"/>
        <v>0.74294205052007045</v>
      </c>
      <c r="E614" s="137">
        <f>-B614*Main!$B$19-2*Main!$B$19*loop_gain!$B$17*loop_gain!$B$18</f>
        <v>-74.195304606240825</v>
      </c>
      <c r="F614" s="137">
        <f>2*Main!$B$19*loop_gain!$B$17*loop_gain!$B$18*Helper_calcs!$B$26*Current_limit!B614</f>
        <v>186.72213967310822</v>
      </c>
      <c r="G614" s="137">
        <f t="shared" si="75"/>
        <v>2.5834618560388662</v>
      </c>
      <c r="H614" s="137">
        <f>(Main!$B$19-Current_limit!G614)*Current_limit!G614/(Main!$B$19*loop_gain!$B$17*loop_gain!$B$18)</f>
        <v>0.74532068354346248</v>
      </c>
      <c r="I614" s="137">
        <f t="shared" si="76"/>
        <v>3.1046793164565312</v>
      </c>
      <c r="J614" s="137"/>
      <c r="K614" s="138">
        <f>IF(A614&gt;$B$15,IF(I614&gt;Helper_calcs!$B$27,23,3),0)</f>
        <v>23</v>
      </c>
      <c r="L614" s="139">
        <f t="shared" si="74"/>
        <v>2</v>
      </c>
      <c r="M614" s="139">
        <f t="shared" si="77"/>
        <v>23</v>
      </c>
      <c r="N614" s="137">
        <f t="shared" si="78"/>
        <v>3.375</v>
      </c>
      <c r="O614" s="137">
        <f t="shared" si="79"/>
        <v>2.5074294205052379</v>
      </c>
      <c r="P614" s="140">
        <f>IF(OR(M614=0,M614=3),loop_gain!$B$18,IF(Current_limit!M614=1,Current_limit!$B$12/(2*(Current_limit!N614-Helper_calcs!$B$27)),IF(OR(M614=2,M614=23),(Main!$B$19-Current_limit!O614)*Current_limit!O614/(Main!$B$19*loop_gain!$B$17*(Helper_calcs!$B$26-Helper_calcs!$B$27)),x)))</f>
        <v>307042.70829782792</v>
      </c>
      <c r="Q614" s="137"/>
    </row>
    <row r="615" spans="1:17" x14ac:dyDescent="0.25">
      <c r="A615">
        <f t="shared" si="80"/>
        <v>6.7399999999998998</v>
      </c>
      <c r="B615">
        <f>Main!$B$20/A615</f>
        <v>0.74183976261128703</v>
      </c>
      <c r="D615" s="137">
        <f t="shared" si="73"/>
        <v>0.74183976261128703</v>
      </c>
      <c r="E615" s="137">
        <f>-B615*Main!$B$19-2*Main!$B$19*loop_gain!$B$17*loop_gain!$B$18</f>
        <v>-74.182077151335434</v>
      </c>
      <c r="F615" s="137">
        <f>2*Main!$B$19*loop_gain!$B$17*loop_gain!$B$18*Helper_calcs!$B$26*Current_limit!B615</f>
        <v>186.44510385756951</v>
      </c>
      <c r="G615" s="137">
        <f t="shared" si="75"/>
        <v>2.579905151478147</v>
      </c>
      <c r="H615" s="137">
        <f>(Main!$B$19-Current_limit!G615)*Current_limit!G615/(Main!$B$19*loop_gain!$B$17*loop_gain!$B$18)</f>
        <v>0.74457571161502101</v>
      </c>
      <c r="I615" s="137">
        <f t="shared" si="76"/>
        <v>3.1054242883849796</v>
      </c>
      <c r="J615" s="137"/>
      <c r="K615" s="138">
        <f>IF(A615&gt;$B$15,IF(I615&gt;Helper_calcs!$B$27,23,3),0)</f>
        <v>23</v>
      </c>
      <c r="L615" s="139">
        <f t="shared" si="74"/>
        <v>2</v>
      </c>
      <c r="M615" s="139">
        <f t="shared" si="77"/>
        <v>23</v>
      </c>
      <c r="N615" s="137">
        <f t="shared" si="78"/>
        <v>3.375</v>
      </c>
      <c r="O615" s="137">
        <f t="shared" si="79"/>
        <v>2.5037091988130937</v>
      </c>
      <c r="P615" s="140">
        <f>IF(OR(M615=0,M615=3),loop_gain!$B$18,IF(Current_limit!M615=1,Current_limit!$B$12/(2*(Current_limit!N615-Helper_calcs!$B$27)),IF(OR(M615=2,M615=23),(Main!$B$19-Current_limit!O615)*Current_limit!O615/(Main!$B$19*loop_gain!$B$17*(Helper_calcs!$B$26-Helper_calcs!$B$27)),x)))</f>
        <v>306707.30951413594</v>
      </c>
      <c r="Q615" s="137"/>
    </row>
    <row r="616" spans="1:17" x14ac:dyDescent="0.25">
      <c r="A616">
        <f t="shared" si="80"/>
        <v>6.7499999999998996</v>
      </c>
      <c r="B616">
        <f>Main!$B$20/A616</f>
        <v>0.7407407407407518</v>
      </c>
      <c r="D616" s="137">
        <f t="shared" si="73"/>
        <v>0.7407407407407518</v>
      </c>
      <c r="E616" s="137">
        <f>-B616*Main!$B$19-2*Main!$B$19*loop_gain!$B$17*loop_gain!$B$18</f>
        <v>-74.168888888889001</v>
      </c>
      <c r="F616" s="137">
        <f>2*Main!$B$19*loop_gain!$B$17*loop_gain!$B$18*Helper_calcs!$B$26*Current_limit!B616</f>
        <v>186.16888888889162</v>
      </c>
      <c r="G616" s="137">
        <f t="shared" si="75"/>
        <v>2.5763584919192186</v>
      </c>
      <c r="H616" s="137">
        <f>(Main!$B$19-Current_limit!G616)*Current_limit!G616/(Main!$B$19*loop_gain!$B$17*loop_gain!$B$18)</f>
        <v>0.74383207181820943</v>
      </c>
      <c r="I616" s="137">
        <f t="shared" si="76"/>
        <v>3.1061679281817884</v>
      </c>
      <c r="J616" s="137"/>
      <c r="K616" s="138">
        <f>IF(A616&gt;$B$15,IF(I616&gt;Helper_calcs!$B$27,23,3),0)</f>
        <v>23</v>
      </c>
      <c r="L616" s="139">
        <f t="shared" si="74"/>
        <v>2</v>
      </c>
      <c r="M616" s="139">
        <f t="shared" si="77"/>
        <v>23</v>
      </c>
      <c r="N616" s="137">
        <f t="shared" si="78"/>
        <v>3.375</v>
      </c>
      <c r="O616" s="137">
        <f t="shared" si="79"/>
        <v>2.5000000000000373</v>
      </c>
      <c r="P616" s="140">
        <f>IF(OR(M616=0,M616=3),loop_gain!$B$18,IF(Current_limit!M616=1,Current_limit!$B$12/(2*(Current_limit!N616-Helper_calcs!$B$27)),IF(OR(M616=2,M616=23),(Main!$B$19-Current_limit!O616)*Current_limit!O616/(Main!$B$19*loop_gain!$B$17*(Helper_calcs!$B$26-Helper_calcs!$B$27)),x)))</f>
        <v>306372.54901961121</v>
      </c>
      <c r="Q616" s="137"/>
    </row>
    <row r="617" spans="1:17" x14ac:dyDescent="0.25">
      <c r="A617">
        <f t="shared" si="80"/>
        <v>6.7599999999998994</v>
      </c>
      <c r="B617">
        <f>Main!$B$20/A617</f>
        <v>0.73964497041421218</v>
      </c>
      <c r="D617" s="137">
        <f t="shared" si="73"/>
        <v>0.73964497041421218</v>
      </c>
      <c r="E617" s="137">
        <f>-B617*Main!$B$19-2*Main!$B$19*loop_gain!$B$17*loop_gain!$B$18</f>
        <v>-74.155739644970538</v>
      </c>
      <c r="F617" s="137">
        <f>2*Main!$B$19*loop_gain!$B$17*loop_gain!$B$18*Helper_calcs!$B$26*Current_limit!B617</f>
        <v>185.89349112426308</v>
      </c>
      <c r="G617" s="137">
        <f t="shared" si="75"/>
        <v>2.5728218337488422</v>
      </c>
      <c r="H617" s="137">
        <f>(Main!$B$19-Current_limit!G617)*Current_limit!G617/(Main!$B$19*loop_gain!$B$17*loop_gain!$B$18)</f>
        <v>0.74308976154324013</v>
      </c>
      <c r="I617" s="137">
        <f t="shared" si="76"/>
        <v>3.1069102384567628</v>
      </c>
      <c r="J617" s="137"/>
      <c r="K617" s="138">
        <f>IF(A617&gt;$B$15,IF(I617&gt;Helper_calcs!$B$27,23,3),0)</f>
        <v>23</v>
      </c>
      <c r="L617" s="139">
        <f t="shared" si="74"/>
        <v>2</v>
      </c>
      <c r="M617" s="139">
        <f t="shared" si="77"/>
        <v>23</v>
      </c>
      <c r="N617" s="137">
        <f t="shared" si="78"/>
        <v>3.375</v>
      </c>
      <c r="O617" s="137">
        <f t="shared" si="79"/>
        <v>2.4963017751479661</v>
      </c>
      <c r="P617" s="140">
        <f>IF(OR(M617=0,M617=3),loop_gain!$B$18,IF(Current_limit!M617=1,Current_limit!$B$12/(2*(Current_limit!N617-Helper_calcs!$B$27)),IF(OR(M617=2,M617=23),(Main!$B$19-Current_limit!O617)*Current_limit!O617/(Main!$B$19*loop_gain!$B$17*(Helper_calcs!$B$26-Helper_calcs!$B$27)),x)))</f>
        <v>306038.42555687187</v>
      </c>
      <c r="Q617" s="137"/>
    </row>
    <row r="618" spans="1:17" x14ac:dyDescent="0.25">
      <c r="A618">
        <f t="shared" si="80"/>
        <v>6.7699999999998992</v>
      </c>
      <c r="B618">
        <f>Main!$B$20/A618</f>
        <v>0.73855243722305386</v>
      </c>
      <c r="D618" s="137">
        <f t="shared" si="73"/>
        <v>0.73855243722305386</v>
      </c>
      <c r="E618" s="137">
        <f>-B618*Main!$B$19-2*Main!$B$19*loop_gain!$B$17*loop_gain!$B$18</f>
        <v>-74.142629246676634</v>
      </c>
      <c r="F618" s="137">
        <f>2*Main!$B$19*loop_gain!$B$17*loop_gain!$B$18*Helper_calcs!$B$26*Current_limit!B618</f>
        <v>185.61890694239565</v>
      </c>
      <c r="G618" s="137">
        <f t="shared" si="75"/>
        <v>2.5692951336121532</v>
      </c>
      <c r="H618" s="137">
        <f>(Main!$B$19-Current_limit!G618)*Current_limit!G618/(Main!$B$19*loop_gain!$B$17*loop_gain!$B$18)</f>
        <v>0.74234877817839318</v>
      </c>
      <c r="I618" s="137">
        <f t="shared" si="76"/>
        <v>3.1076512218216066</v>
      </c>
      <c r="J618" s="137"/>
      <c r="K618" s="138">
        <f>IF(A618&gt;$B$15,IF(I618&gt;Helper_calcs!$B$27,23,3),0)</f>
        <v>23</v>
      </c>
      <c r="L618" s="139">
        <f t="shared" si="74"/>
        <v>2</v>
      </c>
      <c r="M618" s="139">
        <f t="shared" si="77"/>
        <v>23</v>
      </c>
      <c r="N618" s="137">
        <f t="shared" si="78"/>
        <v>3.375</v>
      </c>
      <c r="O618" s="137">
        <f t="shared" si="79"/>
        <v>2.4926144756278066</v>
      </c>
      <c r="P618" s="140">
        <f>IF(OR(M618=0,M618=3),loop_gain!$B$18,IF(Current_limit!M618=1,Current_limit!$B$12/(2*(Current_limit!N618-Helper_calcs!$B$27)),IF(OR(M618=2,M618=23),(Main!$B$19-Current_limit!O618)*Current_limit!O618/(Main!$B$19*loop_gain!$B$17*(Helper_calcs!$B$26-Helper_calcs!$B$27)),x)))</f>
        <v>305704.93786667171</v>
      </c>
      <c r="Q618" s="137"/>
    </row>
    <row r="619" spans="1:17" x14ac:dyDescent="0.25">
      <c r="A619">
        <f t="shared" si="80"/>
        <v>6.779999999999899</v>
      </c>
      <c r="B619">
        <f>Main!$B$20/A619</f>
        <v>0.73746312684366877</v>
      </c>
      <c r="D619" s="137">
        <f t="shared" si="73"/>
        <v>0.73746312684366877</v>
      </c>
      <c r="E619" s="137">
        <f>-B619*Main!$B$19-2*Main!$B$19*loop_gain!$B$17*loop_gain!$B$18</f>
        <v>-74.129557522124017</v>
      </c>
      <c r="F619" s="137">
        <f>2*Main!$B$19*loop_gain!$B$17*loop_gain!$B$18*Helper_calcs!$B$26*Current_limit!B619</f>
        <v>185.34513274336555</v>
      </c>
      <c r="G619" s="137">
        <f t="shared" si="75"/>
        <v>2.5657783484107459</v>
      </c>
      <c r="H619" s="137">
        <f>(Main!$B$19-Current_limit!G619)*Current_limit!G619/(Main!$B$19*loop_gain!$B$17*loop_gain!$B$18)</f>
        <v>0.7416091191101587</v>
      </c>
      <c r="I619" s="137">
        <f t="shared" si="76"/>
        <v>3.1083908808898406</v>
      </c>
      <c r="J619" s="137"/>
      <c r="K619" s="138">
        <f>IF(A619&gt;$B$15,IF(I619&gt;Helper_calcs!$B$27,23,3),0)</f>
        <v>23</v>
      </c>
      <c r="L619" s="139">
        <f t="shared" si="74"/>
        <v>2</v>
      </c>
      <c r="M619" s="139">
        <f t="shared" si="77"/>
        <v>23</v>
      </c>
      <c r="N619" s="137">
        <f t="shared" si="78"/>
        <v>3.375</v>
      </c>
      <c r="O619" s="137">
        <f t="shared" si="79"/>
        <v>2.4889380530973821</v>
      </c>
      <c r="P619" s="140">
        <f>IF(OR(M619=0,M619=3),loop_gain!$B$18,IF(Current_limit!M619=1,Current_limit!$B$12/(2*(Current_limit!N619-Helper_calcs!$B$27)),IF(OR(M619=2,M619=23),(Main!$B$19-Current_limit!O619)*Current_limit!O619/(Main!$B$19*loop_gain!$B$17*(Helper_calcs!$B$26-Helper_calcs!$B$27)),x)))</f>
        <v>305372.08468798239</v>
      </c>
      <c r="Q619" s="137"/>
    </row>
    <row r="620" spans="1:17" x14ac:dyDescent="0.25">
      <c r="A620">
        <f t="shared" si="80"/>
        <v>6.7899999999998988</v>
      </c>
      <c r="B620">
        <f>Main!$B$20/A620</f>
        <v>0.73637702503682978</v>
      </c>
      <c r="D620" s="137">
        <f t="shared" si="73"/>
        <v>0.73637702503682978</v>
      </c>
      <c r="E620" s="137">
        <f>-B620*Main!$B$19-2*Main!$B$19*loop_gain!$B$17*loop_gain!$B$18</f>
        <v>-74.116524300441938</v>
      </c>
      <c r="F620" s="137">
        <f>2*Main!$B$19*loop_gain!$B$17*loop_gain!$B$18*Helper_calcs!$B$26*Current_limit!B620</f>
        <v>185.0721649484563</v>
      </c>
      <c r="G620" s="137">
        <f t="shared" si="75"/>
        <v>2.5622714353007097</v>
      </c>
      <c r="H620" s="137">
        <f>(Main!$B$19-Current_limit!G620)*Current_limit!G620/(Main!$B$19*loop_gain!$B$17*loop_gain!$B$18)</f>
        <v>0.74087078172336274</v>
      </c>
      <c r="I620" s="137">
        <f t="shared" si="76"/>
        <v>3.1091292182766308</v>
      </c>
      <c r="J620" s="137"/>
      <c r="K620" s="138">
        <f>IF(A620&gt;$B$15,IF(I620&gt;Helper_calcs!$B$27,23,3),0)</f>
        <v>23</v>
      </c>
      <c r="L620" s="139">
        <f t="shared" si="74"/>
        <v>2</v>
      </c>
      <c r="M620" s="139">
        <f t="shared" si="77"/>
        <v>23</v>
      </c>
      <c r="N620" s="137">
        <f t="shared" si="78"/>
        <v>3.375</v>
      </c>
      <c r="O620" s="137">
        <f t="shared" si="79"/>
        <v>2.4852724594993005</v>
      </c>
      <c r="P620" s="140">
        <f>IF(OR(M620=0,M620=3),loop_gain!$B$18,IF(Current_limit!M620=1,Current_limit!$B$12/(2*(Current_limit!N620-Helper_calcs!$B$27)),IF(OR(M620=2,M620=23),(Main!$B$19-Current_limit!O620)*Current_limit!O620/(Main!$B$19*loop_gain!$B$17*(Helper_calcs!$B$26-Helper_calcs!$B$27)),x)))</f>
        <v>305039.86475807405</v>
      </c>
      <c r="Q620" s="137"/>
    </row>
    <row r="621" spans="1:17" x14ac:dyDescent="0.25">
      <c r="A621">
        <f t="shared" si="80"/>
        <v>6.7999999999998986</v>
      </c>
      <c r="B621">
        <f>Main!$B$20/A621</f>
        <v>0.73529411764706976</v>
      </c>
      <c r="D621" s="137">
        <f t="shared" si="73"/>
        <v>0.73529411764706976</v>
      </c>
      <c r="E621" s="137">
        <f>-B621*Main!$B$19-2*Main!$B$19*loop_gain!$B$17*loop_gain!$B$18</f>
        <v>-74.103529411764825</v>
      </c>
      <c r="F621" s="137">
        <f>2*Main!$B$19*loop_gain!$B$17*loop_gain!$B$18*Helper_calcs!$B$26*Current_limit!B621</f>
        <v>184.80000000000271</v>
      </c>
      <c r="G621" s="137">
        <f t="shared" si="75"/>
        <v>2.558774351690734</v>
      </c>
      <c r="H621" s="137">
        <f>(Main!$B$19-Current_limit!G621)*Current_limit!G621/(Main!$B$19*loop_gain!$B$17*loop_gain!$B$18)</f>
        <v>0.74013376340130144</v>
      </c>
      <c r="I621" s="137">
        <f t="shared" si="76"/>
        <v>3.1098662365986955</v>
      </c>
      <c r="J621" s="137"/>
      <c r="K621" s="138">
        <f>IF(A621&gt;$B$15,IF(I621&gt;Helper_calcs!$B$27,23,3),0)</f>
        <v>23</v>
      </c>
      <c r="L621" s="139">
        <f t="shared" si="74"/>
        <v>2</v>
      </c>
      <c r="M621" s="139">
        <f t="shared" si="77"/>
        <v>23</v>
      </c>
      <c r="N621" s="137">
        <f t="shared" si="78"/>
        <v>3.375</v>
      </c>
      <c r="O621" s="137">
        <f t="shared" si="79"/>
        <v>2.4816176470588602</v>
      </c>
      <c r="P621" s="140">
        <f>IF(OR(M621=0,M621=3),loop_gain!$B$18,IF(Current_limit!M621=1,Current_limit!$B$12/(2*(Current_limit!N621-Helper_calcs!$B$27)),IF(OR(M621=2,M621=23),(Main!$B$19-Current_limit!O621)*Current_limit!O621/(Main!$B$19*loop_gain!$B$17*(Helper_calcs!$B$26-Helper_calcs!$B$27)),x)))</f>
        <v>304708.27681259508</v>
      </c>
      <c r="Q621" s="137"/>
    </row>
    <row r="622" spans="1:17" x14ac:dyDescent="0.25">
      <c r="A622">
        <f t="shared" si="80"/>
        <v>6.8099999999998984</v>
      </c>
      <c r="B622">
        <f>Main!$B$20/A622</f>
        <v>0.73421439060206672</v>
      </c>
      <c r="D622" s="137">
        <f t="shared" si="73"/>
        <v>0.73421439060206672</v>
      </c>
      <c r="E622" s="137">
        <f>-B622*Main!$B$19-2*Main!$B$19*loop_gain!$B$17*loop_gain!$B$18</f>
        <v>-74.090572687224793</v>
      </c>
      <c r="F622" s="137">
        <f>2*Main!$B$19*loop_gain!$B$17*loop_gain!$B$18*Helper_calcs!$B$26*Current_limit!B622</f>
        <v>184.52863436123619</v>
      </c>
      <c r="G622" s="137">
        <f t="shared" si="75"/>
        <v>2.5552870552401834</v>
      </c>
      <c r="H622" s="137">
        <f>(Main!$B$19-Current_limit!G622)*Current_limit!G622/(Main!$B$19*loop_gain!$B$17*loop_gain!$B$18)</f>
        <v>0.73939806152586263</v>
      </c>
      <c r="I622" s="137">
        <f t="shared" si="76"/>
        <v>3.1106019384741463</v>
      </c>
      <c r="J622" s="137"/>
      <c r="K622" s="138">
        <f>IF(A622&gt;$B$15,IF(I622&gt;Helper_calcs!$B$27,23,3),0)</f>
        <v>23</v>
      </c>
      <c r="L622" s="139">
        <f t="shared" si="74"/>
        <v>2</v>
      </c>
      <c r="M622" s="139">
        <f t="shared" si="77"/>
        <v>23</v>
      </c>
      <c r="N622" s="137">
        <f t="shared" si="78"/>
        <v>3.375</v>
      </c>
      <c r="O622" s="137">
        <f t="shared" si="79"/>
        <v>2.4779735682819752</v>
      </c>
      <c r="P622" s="140">
        <f>IF(OR(M622=0,M622=3),loop_gain!$B$18,IF(Current_limit!M622=1,Current_limit!$B$12/(2*(Current_limit!N622-Helper_calcs!$B$27)),IF(OR(M622=2,M622=23),(Main!$B$19-Current_limit!O622)*Current_limit!O622/(Main!$B$19*loop_gain!$B$17*(Helper_calcs!$B$26-Helper_calcs!$B$27)),x)))</f>
        <v>304377.31958565011</v>
      </c>
      <c r="Q622" s="137"/>
    </row>
    <row r="623" spans="1:17" x14ac:dyDescent="0.25">
      <c r="A623">
        <f t="shared" si="80"/>
        <v>6.8199999999998981</v>
      </c>
      <c r="B623">
        <f>Main!$B$20/A623</f>
        <v>0.73313782991203436</v>
      </c>
      <c r="D623" s="137">
        <f t="shared" si="73"/>
        <v>0.73313782991203436</v>
      </c>
      <c r="E623" s="137">
        <f>-B623*Main!$B$19-2*Main!$B$19*loop_gain!$B$17*loop_gain!$B$18</f>
        <v>-74.077653958944396</v>
      </c>
      <c r="F623" s="137">
        <f>2*Main!$B$19*loop_gain!$B$17*loop_gain!$B$18*Helper_calcs!$B$26*Current_limit!B623</f>
        <v>184.25806451613172</v>
      </c>
      <c r="G623" s="137">
        <f t="shared" si="75"/>
        <v>2.5518095038572022</v>
      </c>
      <c r="H623" s="137">
        <f>(Main!$B$19-Current_limit!G623)*Current_limit!G623/(Main!$B$19*loop_gain!$B$17*loop_gain!$B$18)</f>
        <v>0.73866367347764994</v>
      </c>
      <c r="I623" s="137">
        <f t="shared" si="76"/>
        <v>3.1113363265223475</v>
      </c>
      <c r="J623" s="137"/>
      <c r="K623" s="138">
        <f>IF(A623&gt;$B$15,IF(I623&gt;Helper_calcs!$B$27,23,3),0)</f>
        <v>23</v>
      </c>
      <c r="L623" s="139">
        <f t="shared" si="74"/>
        <v>2</v>
      </c>
      <c r="M623" s="139">
        <f t="shared" si="77"/>
        <v>23</v>
      </c>
      <c r="N623" s="137">
        <f t="shared" si="78"/>
        <v>3.375</v>
      </c>
      <c r="O623" s="137">
        <f t="shared" si="79"/>
        <v>2.4743401759531158</v>
      </c>
      <c r="P623" s="140">
        <f>IF(OR(M623=0,M623=3),loop_gain!$B$18,IF(Current_limit!M623=1,Current_limit!$B$12/(2*(Current_limit!N623-Helper_calcs!$B$27)),IF(OR(M623=2,M623=23),(Main!$B$19-Current_limit!O623)*Current_limit!O623/(Main!$B$19*loop_gain!$B$17*(Helper_calcs!$B$26-Helper_calcs!$B$27)),x)))</f>
        <v>304046.99180987733</v>
      </c>
      <c r="Q623" s="137"/>
    </row>
    <row r="624" spans="1:17" x14ac:dyDescent="0.25">
      <c r="A624">
        <f t="shared" si="80"/>
        <v>6.8299999999998979</v>
      </c>
      <c r="B624">
        <f>Main!$B$20/A624</f>
        <v>0.73206442166911778</v>
      </c>
      <c r="D624" s="137">
        <f t="shared" si="73"/>
        <v>0.73206442166911778</v>
      </c>
      <c r="E624" s="137">
        <f>-B624*Main!$B$19-2*Main!$B$19*loop_gain!$B$17*loop_gain!$B$18</f>
        <v>-74.064773060029395</v>
      </c>
      <c r="F624" s="137">
        <f>2*Main!$B$19*loop_gain!$B$17*loop_gain!$B$18*Helper_calcs!$B$26*Current_limit!B624</f>
        <v>183.988286969256</v>
      </c>
      <c r="G624" s="137">
        <f t="shared" si="75"/>
        <v>2.5483416556969267</v>
      </c>
      <c r="H624" s="137">
        <f>(Main!$B$19-Current_limit!G624)*Current_limit!G624/(Main!$B$19*loop_gain!$B$17*loop_gain!$B$18)</f>
        <v>0.73793059663612048</v>
      </c>
      <c r="I624" s="137">
        <f t="shared" si="76"/>
        <v>3.1120694033638898</v>
      </c>
      <c r="J624" s="137"/>
      <c r="K624" s="138">
        <f>IF(A624&gt;$B$15,IF(I624&gt;Helper_calcs!$B$27,23,3),0)</f>
        <v>23</v>
      </c>
      <c r="L624" s="139">
        <f t="shared" si="74"/>
        <v>2</v>
      </c>
      <c r="M624" s="139">
        <f t="shared" si="77"/>
        <v>23</v>
      </c>
      <c r="N624" s="137">
        <f t="shared" si="78"/>
        <v>3.375</v>
      </c>
      <c r="O624" s="137">
        <f t="shared" si="79"/>
        <v>2.4707174231332725</v>
      </c>
      <c r="P624" s="140">
        <f>IF(OR(M624=0,M624=3),loop_gain!$B$18,IF(Current_limit!M624=1,Current_limit!$B$12/(2*(Current_limit!N624-Helper_calcs!$B$27)),IF(OR(M624=2,M624=23),(Main!$B$19-Current_limit!O624)*Current_limit!O624/(Main!$B$19*loop_gain!$B$17*(Helper_calcs!$B$26-Helper_calcs!$B$27)),x)))</f>
        <v>303717.29221652413</v>
      </c>
      <c r="Q624" s="137"/>
    </row>
    <row r="625" spans="1:17" x14ac:dyDescent="0.25">
      <c r="A625">
        <f t="shared" si="80"/>
        <v>6.8399999999998977</v>
      </c>
      <c r="B625">
        <f>Main!$B$20/A625</f>
        <v>0.73099415204679452</v>
      </c>
      <c r="D625" s="137">
        <f t="shared" si="73"/>
        <v>0.73099415204679452</v>
      </c>
      <c r="E625" s="137">
        <f>-B625*Main!$B$19-2*Main!$B$19*loop_gain!$B$17*loop_gain!$B$18</f>
        <v>-74.051929824561526</v>
      </c>
      <c r="F625" s="137">
        <f>2*Main!$B$19*loop_gain!$B$17*loop_gain!$B$18*Helper_calcs!$B$26*Current_limit!B625</f>
        <v>183.71929824561673</v>
      </c>
      <c r="G625" s="137">
        <f t="shared" si="75"/>
        <v>2.5448834691595068</v>
      </c>
      <c r="H625" s="137">
        <f>(Main!$B$19-Current_limit!G625)*Current_limit!G625/(Main!$B$19*loop_gain!$B$17*loop_gain!$B$18)</f>
        <v>0.7371988283796802</v>
      </c>
      <c r="I625" s="137">
        <f t="shared" si="76"/>
        <v>3.1128011716203137</v>
      </c>
      <c r="J625" s="137"/>
      <c r="K625" s="138">
        <f>IF(A625&gt;$B$15,IF(I625&gt;Helper_calcs!$B$27,23,3),0)</f>
        <v>23</v>
      </c>
      <c r="L625" s="139">
        <f t="shared" si="74"/>
        <v>2</v>
      </c>
      <c r="M625" s="139">
        <f t="shared" si="77"/>
        <v>23</v>
      </c>
      <c r="N625" s="137">
        <f t="shared" si="78"/>
        <v>3.375</v>
      </c>
      <c r="O625" s="137">
        <f t="shared" si="79"/>
        <v>2.4671052631579315</v>
      </c>
      <c r="P625" s="140">
        <f>IF(OR(M625=0,M625=3),loop_gain!$B$18,IF(Current_limit!M625=1,Current_limit!$B$12/(2*(Current_limit!N625-Helper_calcs!$B$27)),IF(OR(M625=2,M625=23),(Main!$B$19-Current_limit!O625)*Current_limit!O625/(Main!$B$19*loop_gain!$B$17*(Helper_calcs!$B$26-Helper_calcs!$B$27)),x)))</f>
        <v>303388.21953552135</v>
      </c>
      <c r="Q625" s="137"/>
    </row>
    <row r="626" spans="1:17" x14ac:dyDescent="0.25">
      <c r="A626">
        <f t="shared" si="80"/>
        <v>6.8499999999998975</v>
      </c>
      <c r="B626">
        <f>Main!$B$20/A626</f>
        <v>0.72992700729928095</v>
      </c>
      <c r="D626" s="137">
        <f t="shared" si="73"/>
        <v>0.72992700729928095</v>
      </c>
      <c r="E626" s="137">
        <f>-B626*Main!$B$19-2*Main!$B$19*loop_gain!$B$17*loop_gain!$B$18</f>
        <v>-74.039124087591361</v>
      </c>
      <c r="F626" s="137">
        <f>2*Main!$B$19*loop_gain!$B$17*loop_gain!$B$18*Helper_calcs!$B$26*Current_limit!B626</f>
        <v>183.45109489051364</v>
      </c>
      <c r="G626" s="137">
        <f t="shared" si="75"/>
        <v>2.5414349028884153</v>
      </c>
      <c r="H626" s="137">
        <f>(Main!$B$19-Current_limit!G626)*Current_limit!G626/(Main!$B$19*loop_gain!$B$17*loop_gain!$B$18)</f>
        <v>0.73646836608583144</v>
      </c>
      <c r="I626" s="137">
        <f t="shared" si="76"/>
        <v>3.1135316339141617</v>
      </c>
      <c r="J626" s="137"/>
      <c r="K626" s="138">
        <f>IF(A626&gt;$B$15,IF(I626&gt;Helper_calcs!$B$27,23,3),0)</f>
        <v>23</v>
      </c>
      <c r="L626" s="139">
        <f t="shared" si="74"/>
        <v>2</v>
      </c>
      <c r="M626" s="139">
        <f t="shared" si="77"/>
        <v>23</v>
      </c>
      <c r="N626" s="137">
        <f t="shared" si="78"/>
        <v>3.375</v>
      </c>
      <c r="O626" s="137">
        <f t="shared" si="79"/>
        <v>2.4635036496350731</v>
      </c>
      <c r="P626" s="140">
        <f>IF(OR(M626=0,M626=3),loop_gain!$B$18,IF(Current_limit!M626=1,Current_limit!$B$12/(2*(Current_limit!N626-Helper_calcs!$B$27)),IF(OR(M626=2,M626=23),(Main!$B$19-Current_limit!O626)*Current_limit!O626/(Main!$B$19*loop_gain!$B$17*(Helper_calcs!$B$26-Helper_calcs!$B$27)),x)))</f>
        <v>303059.77249555668</v>
      </c>
      <c r="Q626" s="137"/>
    </row>
    <row r="627" spans="1:17" x14ac:dyDescent="0.25">
      <c r="A627">
        <f t="shared" si="80"/>
        <v>6.8599999999998973</v>
      </c>
      <c r="B627">
        <f>Main!$B$20/A627</f>
        <v>0.72886297376094389</v>
      </c>
      <c r="D627" s="137">
        <f t="shared" si="73"/>
        <v>0.72886297376094389</v>
      </c>
      <c r="E627" s="137">
        <f>-B627*Main!$B$19-2*Main!$B$19*loop_gain!$B$17*loop_gain!$B$18</f>
        <v>-74.026355685131307</v>
      </c>
      <c r="F627" s="137">
        <f>2*Main!$B$19*loop_gain!$B$17*loop_gain!$B$18*Helper_calcs!$B$26*Current_limit!B627</f>
        <v>183.18367346939047</v>
      </c>
      <c r="G627" s="137">
        <f t="shared" si="75"/>
        <v>2.5379959157685263</v>
      </c>
      <c r="H627" s="137">
        <f>(Main!$B$19-Current_limit!G627)*Current_limit!G627/(Main!$B$19*loop_gain!$B$17*loop_gain!$B$18)</f>
        <v>0.73573920713126839</v>
      </c>
      <c r="I627" s="137">
        <f t="shared" si="76"/>
        <v>3.1142607928687318</v>
      </c>
      <c r="J627" s="137"/>
      <c r="K627" s="138">
        <f>IF(A627&gt;$B$15,IF(I627&gt;Helper_calcs!$B$27,23,3),0)</f>
        <v>23</v>
      </c>
      <c r="L627" s="139">
        <f t="shared" si="74"/>
        <v>2</v>
      </c>
      <c r="M627" s="139">
        <f t="shared" si="77"/>
        <v>23</v>
      </c>
      <c r="N627" s="137">
        <f t="shared" si="78"/>
        <v>3.375</v>
      </c>
      <c r="O627" s="137">
        <f t="shared" si="79"/>
        <v>2.4599125364431855</v>
      </c>
      <c r="P627" s="140">
        <f>IF(OR(M627=0,M627=3),loop_gain!$B$18,IF(Current_limit!M627=1,Current_limit!$B$12/(2*(Current_limit!N627-Helper_calcs!$B$27)),IF(OR(M627=2,M627=23),(Main!$B$19-Current_limit!O627)*Current_limit!O627/(Main!$B$19*loop_gain!$B$17*(Helper_calcs!$B$26-Helper_calcs!$B$27)),x)))</f>
        <v>302731.94982414704</v>
      </c>
      <c r="Q627" s="137"/>
    </row>
    <row r="628" spans="1:17" x14ac:dyDescent="0.25">
      <c r="A628">
        <f t="shared" si="80"/>
        <v>6.8699999999998971</v>
      </c>
      <c r="B628">
        <f>Main!$B$20/A628</f>
        <v>0.72780203784571684</v>
      </c>
      <c r="D628" s="137">
        <f t="shared" si="73"/>
        <v>0.72780203784571684</v>
      </c>
      <c r="E628" s="137">
        <f>-B628*Main!$B$19-2*Main!$B$19*loop_gain!$B$17*loop_gain!$B$18</f>
        <v>-74.013624454148584</v>
      </c>
      <c r="F628" s="137">
        <f>2*Main!$B$19*loop_gain!$B$17*loop_gain!$B$18*Helper_calcs!$B$26*Current_limit!B628</f>
        <v>182.91703056768827</v>
      </c>
      <c r="G628" s="137">
        <f t="shared" si="75"/>
        <v>2.5345664669243471</v>
      </c>
      <c r="H628" s="137">
        <f>(Main!$B$19-Current_limit!G628)*Current_limit!G628/(Main!$B$19*loop_gain!$B$17*loop_gain!$B$18)</f>
        <v>0.73501134889199771</v>
      </c>
      <c r="I628" s="137">
        <f t="shared" si="76"/>
        <v>3.1149886511080016</v>
      </c>
      <c r="J628" s="137"/>
      <c r="K628" s="138">
        <f>IF(A628&gt;$B$15,IF(I628&gt;Helper_calcs!$B$27,23,3),0)</f>
        <v>23</v>
      </c>
      <c r="L628" s="139">
        <f t="shared" si="74"/>
        <v>2</v>
      </c>
      <c r="M628" s="139">
        <f t="shared" si="77"/>
        <v>23</v>
      </c>
      <c r="N628" s="137">
        <f t="shared" si="78"/>
        <v>3.375</v>
      </c>
      <c r="O628" s="137">
        <f t="shared" si="79"/>
        <v>2.4563318777292942</v>
      </c>
      <c r="P628" s="140">
        <f>IF(OR(M628=0,M628=3),loop_gain!$B$18,IF(Current_limit!M628=1,Current_limit!$B$12/(2*(Current_limit!N628-Helper_calcs!$B$27)),IF(OR(M628=2,M628=23),(Main!$B$19-Current_limit!O628)*Current_limit!O628/(Main!$B$19*loop_gain!$B$17*(Helper_calcs!$B$26-Helper_calcs!$B$27)),x)))</f>
        <v>302404.7502477091</v>
      </c>
      <c r="Q628" s="137"/>
    </row>
    <row r="629" spans="1:17" x14ac:dyDescent="0.25">
      <c r="A629">
        <f t="shared" si="80"/>
        <v>6.8799999999998969</v>
      </c>
      <c r="B629">
        <f>Main!$B$20/A629</f>
        <v>0.72674418604652247</v>
      </c>
      <c r="D629" s="137">
        <f t="shared" si="73"/>
        <v>0.72674418604652247</v>
      </c>
      <c r="E629" s="137">
        <f>-B629*Main!$B$19-2*Main!$B$19*loop_gain!$B$17*loop_gain!$B$18</f>
        <v>-74.000930232558261</v>
      </c>
      <c r="F629" s="137">
        <f>2*Main!$B$19*loop_gain!$B$17*loop_gain!$B$18*Helper_calcs!$B$26*Current_limit!B629</f>
        <v>182.65116279070037</v>
      </c>
      <c r="G629" s="137">
        <f t="shared" si="75"/>
        <v>2.5311465157182607</v>
      </c>
      <c r="H629" s="137">
        <f>(Main!$B$19-Current_limit!G629)*Current_limit!G629/(Main!$B$19*loop_gain!$B$17*loop_gain!$B$18)</f>
        <v>0.73428478874345715</v>
      </c>
      <c r="I629" s="137">
        <f t="shared" si="76"/>
        <v>3.1157152112565463</v>
      </c>
      <c r="J629" s="137"/>
      <c r="K629" s="138">
        <f>IF(A629&gt;$B$15,IF(I629&gt;Helper_calcs!$B$27,23,3),0)</f>
        <v>23</v>
      </c>
      <c r="L629" s="139">
        <f t="shared" si="74"/>
        <v>2</v>
      </c>
      <c r="M629" s="139">
        <f t="shared" si="77"/>
        <v>23</v>
      </c>
      <c r="N629" s="137">
        <f t="shared" si="78"/>
        <v>3.375</v>
      </c>
      <c r="O629" s="137">
        <f t="shared" si="79"/>
        <v>2.4527616279070132</v>
      </c>
      <c r="P629" s="140">
        <f>IF(OR(M629=0,M629=3),loop_gain!$B$18,IF(Current_limit!M629=1,Current_limit!$B$12/(2*(Current_limit!N629-Helper_calcs!$B$27)),IF(OR(M629=2,M629=23),(Main!$B$19-Current_limit!O629)*Current_limit!O629/(Main!$B$19*loop_gain!$B$17*(Helper_calcs!$B$26-Helper_calcs!$B$27)),x)))</f>
        <v>302078.17249162926</v>
      </c>
      <c r="Q629" s="137"/>
    </row>
    <row r="630" spans="1:17" x14ac:dyDescent="0.25">
      <c r="A630">
        <f t="shared" si="80"/>
        <v>6.8899999999998967</v>
      </c>
      <c r="B630">
        <f>Main!$B$20/A630</f>
        <v>0.7256894049346988</v>
      </c>
      <c r="D630" s="137">
        <f t="shared" si="73"/>
        <v>0.7256894049346988</v>
      </c>
      <c r="E630" s="137">
        <f>-B630*Main!$B$19-2*Main!$B$19*loop_gain!$B$17*loop_gain!$B$18</f>
        <v>-73.98827285921638</v>
      </c>
      <c r="F630" s="137">
        <f>2*Main!$B$19*loop_gain!$B$17*loop_gain!$B$18*Helper_calcs!$B$26*Current_limit!B630</f>
        <v>182.38606676342795</v>
      </c>
      <c r="G630" s="137">
        <f t="shared" si="75"/>
        <v>2.5277360217487228</v>
      </c>
      <c r="H630" s="137">
        <f>(Main!$B$19-Current_limit!G630)*Current_limit!G630/(Main!$B$19*loop_gain!$B$17*loop_gain!$B$18)</f>
        <v>0.73355952406061942</v>
      </c>
      <c r="I630" s="137">
        <f t="shared" si="76"/>
        <v>3.1164404759393785</v>
      </c>
      <c r="J630" s="137"/>
      <c r="K630" s="138">
        <f>IF(A630&gt;$B$15,IF(I630&gt;Helper_calcs!$B$27,23,3),0)</f>
        <v>23</v>
      </c>
      <c r="L630" s="139">
        <f t="shared" si="74"/>
        <v>2</v>
      </c>
      <c r="M630" s="139">
        <f t="shared" si="77"/>
        <v>23</v>
      </c>
      <c r="N630" s="137">
        <f t="shared" si="78"/>
        <v>3.375</v>
      </c>
      <c r="O630" s="137">
        <f t="shared" si="79"/>
        <v>2.4492017416546084</v>
      </c>
      <c r="P630" s="140">
        <f>IF(OR(M630=0,M630=3),loop_gain!$B$18,IF(Current_limit!M630=1,Current_limit!$B$12/(2*(Current_limit!N630-Helper_calcs!$B$27)),IF(OR(M630=2,M630=23),(Main!$B$19-Current_limit!O630)*Current_limit!O630/(Main!$B$19*loop_gain!$B$17*(Helper_calcs!$B$26-Helper_calcs!$B$27)),x)))</f>
        <v>301752.21528033196</v>
      </c>
      <c r="Q630" s="137"/>
    </row>
    <row r="631" spans="1:17" x14ac:dyDescent="0.25">
      <c r="A631">
        <f t="shared" si="80"/>
        <v>6.8999999999998964</v>
      </c>
      <c r="B631">
        <f>Main!$B$20/A631</f>
        <v>0.72463768115943117</v>
      </c>
      <c r="D631" s="137">
        <f t="shared" si="73"/>
        <v>0.72463768115943117</v>
      </c>
      <c r="E631" s="137">
        <f>-B631*Main!$B$19-2*Main!$B$19*loop_gain!$B$17*loop_gain!$B$18</f>
        <v>-73.975652173913161</v>
      </c>
      <c r="F631" s="137">
        <f>2*Main!$B$19*loop_gain!$B$17*loop_gain!$B$18*Helper_calcs!$B$26*Current_limit!B631</f>
        <v>182.12173913043748</v>
      </c>
      <c r="G631" s="137">
        <f t="shared" si="75"/>
        <v>2.5243349448485506</v>
      </c>
      <c r="H631" s="137">
        <f>(Main!$B$19-Current_limit!G631)*Current_limit!G631/(Main!$B$19*loop_gain!$B$17*loop_gain!$B$18)</f>
        <v>0.73283555221810892</v>
      </c>
      <c r="I631" s="137">
        <f t="shared" si="76"/>
        <v>3.1171644477818927</v>
      </c>
      <c r="J631" s="137"/>
      <c r="K631" s="138">
        <f>IF(A631&gt;$B$15,IF(I631&gt;Helper_calcs!$B$27,23,3),0)</f>
        <v>23</v>
      </c>
      <c r="L631" s="139">
        <f t="shared" si="74"/>
        <v>2</v>
      </c>
      <c r="M631" s="139">
        <f t="shared" si="77"/>
        <v>23</v>
      </c>
      <c r="N631" s="137">
        <f t="shared" si="78"/>
        <v>3.375</v>
      </c>
      <c r="O631" s="137">
        <f t="shared" si="79"/>
        <v>2.4456521739130803</v>
      </c>
      <c r="P631" s="140">
        <f>IF(OR(M631=0,M631=3),loop_gain!$B$18,IF(Current_limit!M631=1,Current_limit!$B$12/(2*(Current_limit!N631-Helper_calcs!$B$27)),IF(OR(M631=2,M631=23),(Main!$B$19-Current_limit!O631)*Current_limit!O631/(Main!$B$19*loop_gain!$B$17*(Helper_calcs!$B$26-Helper_calcs!$B$27)),x)))</f>
        <v>301426.87733734766</v>
      </c>
      <c r="Q631" s="137"/>
    </row>
    <row r="632" spans="1:17" x14ac:dyDescent="0.25">
      <c r="A632">
        <f t="shared" si="80"/>
        <v>6.9099999999998962</v>
      </c>
      <c r="B632">
        <f>Main!$B$20/A632</f>
        <v>0.72358900144718885</v>
      </c>
      <c r="D632" s="137">
        <f t="shared" si="73"/>
        <v>0.72358900144718885</v>
      </c>
      <c r="E632" s="137">
        <f>-B632*Main!$B$19-2*Main!$B$19*loop_gain!$B$17*loop_gain!$B$18</f>
        <v>-73.963068017366254</v>
      </c>
      <c r="F632" s="137">
        <f>2*Main!$B$19*loop_gain!$B$17*loop_gain!$B$18*Helper_calcs!$B$26*Current_limit!B632</f>
        <v>181.85817655571904</v>
      </c>
      <c r="G632" s="137">
        <f t="shared" si="75"/>
        <v>2.5209432450831364</v>
      </c>
      <c r="H632" s="137">
        <f>(Main!$B$19-Current_limit!G632)*Current_limit!G632/(Main!$B$19*loop_gain!$B$17*loop_gain!$B$18)</f>
        <v>0.73211287059029861</v>
      </c>
      <c r="I632" s="137">
        <f t="shared" si="76"/>
        <v>3.1178871294096933</v>
      </c>
      <c r="J632" s="137"/>
      <c r="K632" s="138">
        <f>IF(A632&gt;$B$15,IF(I632&gt;Helper_calcs!$B$27,23,3),0)</f>
        <v>23</v>
      </c>
      <c r="L632" s="139">
        <f t="shared" si="74"/>
        <v>2</v>
      </c>
      <c r="M632" s="139">
        <f t="shared" si="77"/>
        <v>23</v>
      </c>
      <c r="N632" s="137">
        <f t="shared" si="78"/>
        <v>3.375</v>
      </c>
      <c r="O632" s="137">
        <f t="shared" si="79"/>
        <v>2.4421128798842622</v>
      </c>
      <c r="P632" s="140">
        <f>IF(OR(M632=0,M632=3),loop_gain!$B$18,IF(Current_limit!M632=1,Current_limit!$B$12/(2*(Current_limit!N632-Helper_calcs!$B$27)),IF(OR(M632=2,M632=23),(Main!$B$19-Current_limit!O632)*Current_limit!O632/(Main!$B$19*loop_gain!$B$17*(Helper_calcs!$B$26-Helper_calcs!$B$27)),x)))</f>
        <v>301102.15738537844</v>
      </c>
      <c r="Q632" s="137"/>
    </row>
    <row r="633" spans="1:17" x14ac:dyDescent="0.25">
      <c r="A633">
        <f t="shared" si="80"/>
        <v>6.919999999999896</v>
      </c>
      <c r="B633">
        <f>Main!$B$20/A633</f>
        <v>0.72254335260116698</v>
      </c>
      <c r="D633" s="137">
        <f t="shared" si="73"/>
        <v>0.72254335260116698</v>
      </c>
      <c r="E633" s="137">
        <f>-B633*Main!$B$19-2*Main!$B$19*loop_gain!$B$17*loop_gain!$B$18</f>
        <v>-73.950520231213986</v>
      </c>
      <c r="F633" s="137">
        <f>2*Main!$B$19*loop_gain!$B$17*loop_gain!$B$18*Helper_calcs!$B$26*Current_limit!B633</f>
        <v>181.59537572254607</v>
      </c>
      <c r="G633" s="137">
        <f t="shared" si="75"/>
        <v>2.5175608827488061</v>
      </c>
      <c r="H633" s="137">
        <f>(Main!$B$19-Current_limit!G633)*Current_limit!G633/(Main!$B$19*loop_gain!$B$17*loop_gain!$B$18)</f>
        <v>0.73139147655143166</v>
      </c>
      <c r="I633" s="137">
        <f t="shared" si="76"/>
        <v>3.1186085234485792</v>
      </c>
      <c r="J633" s="137"/>
      <c r="K633" s="138">
        <f>IF(A633&gt;$B$15,IF(I633&gt;Helper_calcs!$B$27,23,3),0)</f>
        <v>23</v>
      </c>
      <c r="L633" s="139">
        <f t="shared" si="74"/>
        <v>2</v>
      </c>
      <c r="M633" s="139">
        <f t="shared" si="77"/>
        <v>23</v>
      </c>
      <c r="N633" s="137">
        <f t="shared" si="78"/>
        <v>3.375</v>
      </c>
      <c r="O633" s="137">
        <f t="shared" si="79"/>
        <v>2.4385838150289385</v>
      </c>
      <c r="P633" s="140">
        <f>IF(OR(M633=0,M633=3),loop_gain!$B$18,IF(Current_limit!M633=1,Current_limit!$B$12/(2*(Current_limit!N633-Helper_calcs!$B$27)),IF(OR(M633=2,M633=23),(Main!$B$19-Current_limit!O633)*Current_limit!O633/(Main!$B$19*loop_gain!$B$17*(Helper_calcs!$B$26-Helper_calcs!$B$27)),x)))</f>
        <v>300778.05414636439</v>
      </c>
      <c r="Q633" s="137"/>
    </row>
    <row r="634" spans="1:17" x14ac:dyDescent="0.25">
      <c r="A634">
        <f t="shared" si="80"/>
        <v>6.9299999999998958</v>
      </c>
      <c r="B634">
        <f>Main!$B$20/A634</f>
        <v>0.7215007215007323</v>
      </c>
      <c r="D634" s="137">
        <f t="shared" si="73"/>
        <v>0.7215007215007323</v>
      </c>
      <c r="E634" s="137">
        <f>-B634*Main!$B$19-2*Main!$B$19*loop_gain!$B$17*loop_gain!$B$18</f>
        <v>-73.938008658008769</v>
      </c>
      <c r="F634" s="137">
        <f>2*Main!$B$19*loop_gain!$B$17*loop_gain!$B$18*Helper_calcs!$B$26*Current_limit!B634</f>
        <v>181.33333333333601</v>
      </c>
      <c r="G634" s="137">
        <f t="shared" si="75"/>
        <v>2.5141878183709956</v>
      </c>
      <c r="H634" s="137">
        <f>(Main!$B$19-Current_limit!G634)*Current_limit!G634/(Main!$B$19*loop_gain!$B$17*loop_gain!$B$18)</f>
        <v>0.73067136747569994</v>
      </c>
      <c r="I634" s="137">
        <f t="shared" si="76"/>
        <v>3.1193286325242977</v>
      </c>
      <c r="J634" s="137"/>
      <c r="K634" s="138">
        <f>IF(A634&gt;$B$15,IF(I634&gt;Helper_calcs!$B$27,23,3),0)</f>
        <v>23</v>
      </c>
      <c r="L634" s="139">
        <f t="shared" si="74"/>
        <v>2</v>
      </c>
      <c r="M634" s="139">
        <f t="shared" si="77"/>
        <v>23</v>
      </c>
      <c r="N634" s="137">
        <f t="shared" si="78"/>
        <v>3.375</v>
      </c>
      <c r="O634" s="137">
        <f t="shared" si="79"/>
        <v>2.4350649350649713</v>
      </c>
      <c r="P634" s="140">
        <f>IF(OR(M634=0,M634=3),loop_gain!$B$18,IF(Current_limit!M634=1,Current_limit!$B$12/(2*(Current_limit!N634-Helper_calcs!$B$27)),IF(OR(M634=2,M634=23),(Main!$B$19-Current_limit!O634)*Current_limit!O634/(Main!$B$19*loop_gain!$B$17*(Helper_calcs!$B$26-Helper_calcs!$B$27)),x)))</f>
        <v>300454.56634154642</v>
      </c>
      <c r="Q634" s="137"/>
    </row>
    <row r="635" spans="1:17" x14ac:dyDescent="0.25">
      <c r="A635">
        <f t="shared" si="80"/>
        <v>6.9399999999998956</v>
      </c>
      <c r="B635">
        <f>Main!$B$20/A635</f>
        <v>0.72046109510087541</v>
      </c>
      <c r="D635" s="137">
        <f t="shared" si="73"/>
        <v>0.72046109510087541</v>
      </c>
      <c r="E635" s="137">
        <f>-B635*Main!$B$19-2*Main!$B$19*loop_gain!$B$17*loop_gain!$B$18</f>
        <v>-73.925533141210494</v>
      </c>
      <c r="F635" s="137">
        <f>2*Main!$B$19*loop_gain!$B$17*loop_gain!$B$18*Helper_calcs!$B$26*Current_limit!B635</f>
        <v>181.07204610951277</v>
      </c>
      <c r="G635" s="137">
        <f t="shared" si="75"/>
        <v>2.5108240127027108</v>
      </c>
      <c r="H635" s="137">
        <f>(Main!$B$19-Current_limit!G635)*Current_limit!G635/(Main!$B$19*loop_gain!$B$17*loop_gain!$B$18)</f>
        <v>0.72995254073737714</v>
      </c>
      <c r="I635" s="137">
        <f t="shared" si="76"/>
        <v>3.1200474592626213</v>
      </c>
      <c r="J635" s="137"/>
      <c r="K635" s="138">
        <f>IF(A635&gt;$B$15,IF(I635&gt;Helper_calcs!$B$27,23,3),0)</f>
        <v>23</v>
      </c>
      <c r="L635" s="139">
        <f t="shared" si="74"/>
        <v>2</v>
      </c>
      <c r="M635" s="139">
        <f t="shared" si="77"/>
        <v>23</v>
      </c>
      <c r="N635" s="137">
        <f t="shared" si="78"/>
        <v>3.375</v>
      </c>
      <c r="O635" s="137">
        <f t="shared" si="79"/>
        <v>2.4315561959654546</v>
      </c>
      <c r="P635" s="140">
        <f>IF(OR(M635=0,M635=3),loop_gain!$B$18,IF(Current_limit!M635=1,Current_limit!$B$12/(2*(Current_limit!N635-Helper_calcs!$B$27)),IF(OR(M635=2,M635=23),(Main!$B$19-Current_limit!O635)*Current_limit!O635/(Main!$B$19*loop_gain!$B$17*(Helper_calcs!$B$26-Helper_calcs!$B$27)),x)))</f>
        <v>300131.69269153074</v>
      </c>
      <c r="Q635" s="137"/>
    </row>
    <row r="636" spans="1:17" x14ac:dyDescent="0.25">
      <c r="A636">
        <f t="shared" si="80"/>
        <v>6.9499999999998954</v>
      </c>
      <c r="B636">
        <f>Main!$B$20/A636</f>
        <v>0.71942446043166552</v>
      </c>
      <c r="D636" s="137">
        <f t="shared" si="73"/>
        <v>0.71942446043166552</v>
      </c>
      <c r="E636" s="137">
        <f>-B636*Main!$B$19-2*Main!$B$19*loop_gain!$B$17*loop_gain!$B$18</f>
        <v>-73.913093525179974</v>
      </c>
      <c r="F636" s="137">
        <f>2*Main!$B$19*loop_gain!$B$17*loop_gain!$B$18*Helper_calcs!$B$26*Current_limit!B636</f>
        <v>180.81151079136959</v>
      </c>
      <c r="G636" s="137">
        <f t="shared" si="75"/>
        <v>2.5074694267227327</v>
      </c>
      <c r="H636" s="137">
        <f>(Main!$B$19-Current_limit!G636)*Current_limit!G636/(Main!$B$19*loop_gain!$B$17*loop_gain!$B$18)</f>
        <v>0.72923499371089362</v>
      </c>
      <c r="I636" s="137">
        <f t="shared" si="76"/>
        <v>3.120765006289099</v>
      </c>
      <c r="J636" s="137"/>
      <c r="K636" s="138">
        <f>IF(A636&gt;$B$15,IF(I636&gt;Helper_calcs!$B$27,23,3),0)</f>
        <v>23</v>
      </c>
      <c r="L636" s="139">
        <f t="shared" si="74"/>
        <v>2</v>
      </c>
      <c r="M636" s="139">
        <f t="shared" si="77"/>
        <v>23</v>
      </c>
      <c r="N636" s="137">
        <f t="shared" si="78"/>
        <v>3.375</v>
      </c>
      <c r="O636" s="137">
        <f t="shared" si="79"/>
        <v>2.428057553956871</v>
      </c>
      <c r="P636" s="140">
        <f>IF(OR(M636=0,M636=3),loop_gain!$B$18,IF(Current_limit!M636=1,Current_limit!$B$12/(2*(Current_limit!N636-Helper_calcs!$B$27)),IF(OR(M636=2,M636=23),(Main!$B$19-Current_limit!O636)*Current_limit!O636/(Main!$B$19*loop_gain!$B$17*(Helper_calcs!$B$26-Helper_calcs!$B$27)),x)))</f>
        <v>299809.43191634968</v>
      </c>
      <c r="Q636" s="137"/>
    </row>
    <row r="637" spans="1:17" x14ac:dyDescent="0.25">
      <c r="A637">
        <f t="shared" si="80"/>
        <v>6.9599999999998952</v>
      </c>
      <c r="B637">
        <f>Main!$B$20/A637</f>
        <v>0.71839080459771198</v>
      </c>
      <c r="D637" s="137">
        <f t="shared" si="73"/>
        <v>0.71839080459771198</v>
      </c>
      <c r="E637" s="137">
        <f>-B637*Main!$B$19-2*Main!$B$19*loop_gain!$B$17*loop_gain!$B$18</f>
        <v>-73.900689655172528</v>
      </c>
      <c r="F637" s="137">
        <f>2*Main!$B$19*loop_gain!$B$17*loop_gain!$B$18*Helper_calcs!$B$26*Current_limit!B637</f>
        <v>180.55172413793372</v>
      </c>
      <c r="G637" s="137">
        <f t="shared" si="75"/>
        <v>2.5041240216340364</v>
      </c>
      <c r="H637" s="137">
        <f>(Main!$B$19-Current_limit!G637)*Current_limit!G637/(Main!$B$19*loop_gain!$B$17*loop_gain!$B$18)</f>
        <v>0.72851872377095039</v>
      </c>
      <c r="I637" s="137">
        <f t="shared" si="76"/>
        <v>3.1214812762290509</v>
      </c>
      <c r="J637" s="137"/>
      <c r="K637" s="138">
        <f>IF(A637&gt;$B$15,IF(I637&gt;Helper_calcs!$B$27,23,3),0)</f>
        <v>23</v>
      </c>
      <c r="L637" s="139">
        <f t="shared" si="74"/>
        <v>2</v>
      </c>
      <c r="M637" s="139">
        <f t="shared" si="77"/>
        <v>23</v>
      </c>
      <c r="N637" s="137">
        <f t="shared" si="78"/>
        <v>3.375</v>
      </c>
      <c r="O637" s="137">
        <f t="shared" si="79"/>
        <v>2.424568965517278</v>
      </c>
      <c r="P637" s="140">
        <f>IF(OR(M637=0,M637=3),loop_gain!$B$18,IF(Current_limit!M637=1,Current_limit!$B$12/(2*(Current_limit!N637-Helper_calcs!$B$27)),IF(OR(M637=2,M637=23),(Main!$B$19-Current_limit!O637)*Current_limit!O637/(Main!$B$19*loop_gain!$B$17*(Helper_calcs!$B$26-Helper_calcs!$B$27)),x)))</f>
        <v>299487.78273552388</v>
      </c>
      <c r="Q637" s="137"/>
    </row>
    <row r="638" spans="1:17" x14ac:dyDescent="0.25">
      <c r="A638">
        <f t="shared" si="80"/>
        <v>6.9699999999998949</v>
      </c>
      <c r="B638">
        <f>Main!$B$20/A638</f>
        <v>0.71736011477762918</v>
      </c>
      <c r="D638" s="137">
        <f t="shared" si="73"/>
        <v>0.71736011477762918</v>
      </c>
      <c r="E638" s="137">
        <f>-B638*Main!$B$19-2*Main!$B$19*loop_gain!$B$17*loop_gain!$B$18</f>
        <v>-73.888321377331536</v>
      </c>
      <c r="F638" s="137">
        <f>2*Main!$B$19*loop_gain!$B$17*loop_gain!$B$18*Helper_calcs!$B$26*Current_limit!B638</f>
        <v>180.29268292683196</v>
      </c>
      <c r="G638" s="137">
        <f t="shared" si="75"/>
        <v>2.5007877588620855</v>
      </c>
      <c r="H638" s="137">
        <f>(Main!$B$19-Current_limit!G638)*Current_limit!G638/(Main!$B$19*loop_gain!$B$17*loop_gain!$B$18)</f>
        <v>0.72780372829260354</v>
      </c>
      <c r="I638" s="137">
        <f t="shared" si="76"/>
        <v>3.1221962717073928</v>
      </c>
      <c r="J638" s="137"/>
      <c r="K638" s="138">
        <f>IF(A638&gt;$B$15,IF(I638&gt;Helper_calcs!$B$27,23,3),0)</f>
        <v>23</v>
      </c>
      <c r="L638" s="139">
        <f t="shared" si="74"/>
        <v>2</v>
      </c>
      <c r="M638" s="139">
        <f t="shared" si="77"/>
        <v>23</v>
      </c>
      <c r="N638" s="137">
        <f t="shared" si="78"/>
        <v>3.375</v>
      </c>
      <c r="O638" s="137">
        <f t="shared" si="79"/>
        <v>2.4210903873744987</v>
      </c>
      <c r="P638" s="140">
        <f>IF(OR(M638=0,M638=3),loop_gain!$B$18,IF(Current_limit!M638=1,Current_limit!$B$12/(2*(Current_limit!N638-Helper_calcs!$B$27)),IF(OR(M638=2,M638=23),(Main!$B$19-Current_limit!O638)*Current_limit!O638/(Main!$B$19*loop_gain!$B$17*(Helper_calcs!$B$26-Helper_calcs!$B$27)),x)))</f>
        <v>299166.74386812159</v>
      </c>
      <c r="Q638" s="137"/>
    </row>
    <row r="639" spans="1:17" x14ac:dyDescent="0.25">
      <c r="A639">
        <f t="shared" si="80"/>
        <v>6.9799999999998947</v>
      </c>
      <c r="B639">
        <f>Main!$B$20/A639</f>
        <v>0.71633237822350648</v>
      </c>
      <c r="D639" s="137">
        <f t="shared" si="73"/>
        <v>0.71633237822350648</v>
      </c>
      <c r="E639" s="137">
        <f>-B639*Main!$B$19-2*Main!$B$19*loop_gain!$B$17*loop_gain!$B$18</f>
        <v>-73.875988538682066</v>
      </c>
      <c r="F639" s="137">
        <f>2*Main!$B$19*loop_gain!$B$17*loop_gain!$B$18*Helper_calcs!$B$26*Current_limit!B639</f>
        <v>180.03438395415739</v>
      </c>
      <c r="G639" s="137">
        <f t="shared" si="75"/>
        <v>2.4974606000532735</v>
      </c>
      <c r="H639" s="137">
        <f>(Main!$B$19-Current_limit!G639)*Current_limit!G639/(Main!$B$19*loop_gain!$B$17*loop_gain!$B$18)</f>
        <v>0.72709000465137352</v>
      </c>
      <c r="I639" s="137">
        <f t="shared" si="76"/>
        <v>3.122909995348631</v>
      </c>
      <c r="J639" s="137"/>
      <c r="K639" s="138">
        <f>IF(A639&gt;$B$15,IF(I639&gt;Helper_calcs!$B$27,23,3),0)</f>
        <v>23</v>
      </c>
      <c r="L639" s="139">
        <f t="shared" si="74"/>
        <v>2</v>
      </c>
      <c r="M639" s="139">
        <f t="shared" si="77"/>
        <v>23</v>
      </c>
      <c r="N639" s="137">
        <f t="shared" si="78"/>
        <v>3.375</v>
      </c>
      <c r="O639" s="137">
        <f t="shared" si="79"/>
        <v>2.4176217765043342</v>
      </c>
      <c r="P639" s="140">
        <f>IF(OR(M639=0,M639=3),loop_gain!$B$18,IF(Current_limit!M639=1,Current_limit!$B$12/(2*(Current_limit!N639-Helper_calcs!$B$27)),IF(OR(M639=2,M639=23),(Main!$B$19-Current_limit!O639)*Current_limit!O639/(Main!$B$19*loop_gain!$B$17*(Helper_calcs!$B$26-Helper_calcs!$B$27)),x)))</f>
        <v>298846.31403281784</v>
      </c>
      <c r="Q639" s="137"/>
    </row>
    <row r="640" spans="1:17" x14ac:dyDescent="0.25">
      <c r="A640">
        <f t="shared" si="80"/>
        <v>6.9899999999998945</v>
      </c>
      <c r="B640">
        <f>Main!$B$20/A640</f>
        <v>0.71530758226038271</v>
      </c>
      <c r="D640" s="137">
        <f t="shared" si="73"/>
        <v>0.71530758226038271</v>
      </c>
      <c r="E640" s="137">
        <f>-B640*Main!$B$19-2*Main!$B$19*loop_gain!$B$17*loop_gain!$B$18</f>
        <v>-73.863690987124585</v>
      </c>
      <c r="F640" s="137">
        <f>2*Main!$B$19*loop_gain!$B$17*loop_gain!$B$18*Helper_calcs!$B$26*Current_limit!B640</f>
        <v>179.77682403433744</v>
      </c>
      <c r="G640" s="137">
        <f t="shared" si="75"/>
        <v>2.4941425070732337</v>
      </c>
      <c r="H640" s="137">
        <f>(Main!$B$19-Current_limit!G640)*Current_limit!G640/(Main!$B$19*loop_gain!$B$17*loop_gain!$B$18)</f>
        <v>0.72637755022332273</v>
      </c>
      <c r="I640" s="137">
        <f t="shared" si="76"/>
        <v>3.1236224497766667</v>
      </c>
      <c r="J640" s="137"/>
      <c r="K640" s="138">
        <f>IF(A640&gt;$B$15,IF(I640&gt;Helper_calcs!$B$27,23,3),0)</f>
        <v>23</v>
      </c>
      <c r="L640" s="139">
        <f t="shared" si="74"/>
        <v>2</v>
      </c>
      <c r="M640" s="139">
        <f t="shared" si="77"/>
        <v>23</v>
      </c>
      <c r="N640" s="137">
        <f t="shared" si="78"/>
        <v>3.375</v>
      </c>
      <c r="O640" s="137">
        <f t="shared" si="79"/>
        <v>2.4141630901287918</v>
      </c>
      <c r="P640" s="140">
        <f>IF(OR(M640=0,M640=3),loop_gain!$B$18,IF(Current_limit!M640=1,Current_limit!$B$12/(2*(Current_limit!N640-Helper_calcs!$B$27)),IF(OR(M640=2,M640=23),(Main!$B$19-Current_limit!O640)*Current_limit!O640/(Main!$B$19*loop_gain!$B$17*(Helper_calcs!$B$26-Helper_calcs!$B$27)),x)))</f>
        <v>298526.49194795283</v>
      </c>
      <c r="Q640" s="137"/>
    </row>
    <row r="641" spans="1:17" x14ac:dyDescent="0.25">
      <c r="A641">
        <f t="shared" si="80"/>
        <v>6.9999999999998943</v>
      </c>
      <c r="B641">
        <f>Main!$B$20/A641</f>
        <v>0.71428571428572507</v>
      </c>
      <c r="D641" s="137">
        <f t="shared" si="73"/>
        <v>0.71428571428572507</v>
      </c>
      <c r="E641" s="137">
        <f>-B641*Main!$B$19-2*Main!$B$19*loop_gain!$B$17*loop_gain!$B$18</f>
        <v>-73.851428571428684</v>
      </c>
      <c r="F641" s="137">
        <f>2*Main!$B$19*loop_gain!$B$17*loop_gain!$B$18*Helper_calcs!$B$26*Current_limit!B641</f>
        <v>179.52000000000268</v>
      </c>
      <c r="G641" s="137">
        <f t="shared" si="75"/>
        <v>2.4908334420053388</v>
      </c>
      <c r="H641" s="137">
        <f>(Main!$B$19-Current_limit!G641)*Current_limit!G641/(Main!$B$19*loop_gain!$B$17*loop_gain!$B$18)</f>
        <v>0.72566636238516868</v>
      </c>
      <c r="I641" s="137">
        <f t="shared" si="76"/>
        <v>3.1243336376148374</v>
      </c>
      <c r="J641" s="137"/>
      <c r="K641" s="138">
        <f>IF(A641&gt;$B$15,IF(I641&gt;Helper_calcs!$B$27,23,3),0)</f>
        <v>23</v>
      </c>
      <c r="L641" s="139">
        <f t="shared" si="74"/>
        <v>2</v>
      </c>
      <c r="M641" s="139">
        <f t="shared" si="77"/>
        <v>23</v>
      </c>
      <c r="N641" s="137">
        <f t="shared" si="78"/>
        <v>3.375</v>
      </c>
      <c r="O641" s="137">
        <f t="shared" si="79"/>
        <v>2.410714285714322</v>
      </c>
      <c r="P641" s="140">
        <f>IF(OR(M641=0,M641=3),loop_gain!$B$18,IF(Current_limit!M641=1,Current_limit!$B$12/(2*(Current_limit!N641-Helper_calcs!$B$27)),IF(OR(M641=2,M641=23),(Main!$B$19-Current_limit!O641)*Current_limit!O641/(Main!$B$19*loop_gain!$B$17*(Helper_calcs!$B$26-Helper_calcs!$B$27)),x)))</f>
        <v>298207.27633158863</v>
      </c>
      <c r="Q641" s="137"/>
    </row>
    <row r="642" spans="1:17" x14ac:dyDescent="0.25">
      <c r="K642" s="138"/>
      <c r="L642" s="139"/>
      <c r="M642" s="139"/>
    </row>
    <row r="643" spans="1:17" x14ac:dyDescent="0.25">
      <c r="A643" s="39">
        <f>Main!B21</f>
        <v>3</v>
      </c>
      <c r="B643" s="39"/>
      <c r="C643" s="39"/>
      <c r="D643" s="39"/>
      <c r="E643" s="39"/>
      <c r="F643" s="39"/>
      <c r="G643" s="39"/>
      <c r="H643" s="39"/>
      <c r="I643" s="39"/>
      <c r="J643" s="39"/>
      <c r="K643" s="141">
        <f>IF(A643&gt;$B$15,IF(I643&gt;Helper_calcs!$B$27,23,3),0)</f>
        <v>0</v>
      </c>
      <c r="L643" s="142">
        <f t="shared" si="74"/>
        <v>0</v>
      </c>
      <c r="M643" s="142">
        <f t="shared" si="77"/>
        <v>0</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D18"/>
  <sheetViews>
    <sheetView workbookViewId="0">
      <selection activeCell="D17" sqref="D17"/>
    </sheetView>
  </sheetViews>
  <sheetFormatPr defaultRowHeight="15.75" x14ac:dyDescent="0.25"/>
  <cols>
    <col min="2" max="2" width="14" customWidth="1"/>
    <col min="3" max="3" width="21.75" customWidth="1"/>
    <col min="4" max="4" width="57.75" customWidth="1"/>
  </cols>
  <sheetData>
    <row r="10" spans="2:4" ht="16.5" thickBot="1" x14ac:dyDescent="0.3"/>
    <row r="11" spans="2:4" ht="23.25" x14ac:dyDescent="0.25">
      <c r="B11" s="154" t="s">
        <v>232</v>
      </c>
      <c r="C11" s="155" t="s">
        <v>233</v>
      </c>
      <c r="D11" s="156" t="s">
        <v>234</v>
      </c>
    </row>
    <row r="12" spans="2:4" ht="16.5" thickBot="1" x14ac:dyDescent="0.3">
      <c r="B12" s="157"/>
      <c r="C12" s="104"/>
      <c r="D12" s="158"/>
    </row>
    <row r="13" spans="2:4" ht="20.25" x14ac:dyDescent="0.3">
      <c r="B13" s="159" t="s">
        <v>31</v>
      </c>
      <c r="C13" s="160" t="s">
        <v>236</v>
      </c>
      <c r="D13" s="161" t="s">
        <v>235</v>
      </c>
    </row>
    <row r="14" spans="2:4" ht="20.25" x14ac:dyDescent="0.3">
      <c r="B14" s="162"/>
      <c r="C14" s="163"/>
      <c r="D14" s="164"/>
    </row>
    <row r="15" spans="2:4" ht="20.25" x14ac:dyDescent="0.3">
      <c r="B15" s="162"/>
      <c r="C15" s="165"/>
      <c r="D15" s="164"/>
    </row>
    <row r="16" spans="2:4" ht="20.25" x14ac:dyDescent="0.3">
      <c r="B16" s="162"/>
      <c r="C16" s="165"/>
      <c r="D16" s="166"/>
    </row>
    <row r="17" spans="2:4" ht="20.25" x14ac:dyDescent="0.3">
      <c r="B17" s="162"/>
      <c r="C17" s="165"/>
      <c r="D17" s="166"/>
    </row>
    <row r="18" spans="2:4" ht="21" thickBot="1" x14ac:dyDescent="0.35">
      <c r="B18" s="167"/>
      <c r="C18" s="168"/>
      <c r="D18" s="169"/>
    </row>
  </sheetData>
  <sheetProtection password="DCA3"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D130"/>
  <sheetViews>
    <sheetView zoomScaleNormal="100" workbookViewId="0">
      <selection activeCell="B16" sqref="B16"/>
    </sheetView>
  </sheetViews>
  <sheetFormatPr defaultColWidth="9" defaultRowHeight="15.75" x14ac:dyDescent="0.25"/>
  <cols>
    <col min="1" max="1" width="52" style="1" customWidth="1"/>
    <col min="2" max="2" width="19.875" style="1" customWidth="1"/>
    <col min="3" max="3" width="51" style="1" customWidth="1"/>
    <col min="4" max="4" width="12.5" style="1" customWidth="1"/>
    <col min="5" max="16384" width="9" style="1"/>
  </cols>
  <sheetData>
    <row r="11" spans="1:3" ht="21.75" customHeight="1" x14ac:dyDescent="0.25">
      <c r="A11"/>
      <c r="B11" s="85" t="s">
        <v>158</v>
      </c>
    </row>
    <row r="12" spans="1:3" ht="21.75" customHeight="1" x14ac:dyDescent="0.25">
      <c r="B12" s="86" t="s">
        <v>159</v>
      </c>
    </row>
    <row r="14" spans="1:3" ht="15" customHeight="1" x14ac:dyDescent="0.25">
      <c r="A14" s="45"/>
    </row>
    <row r="15" spans="1:3" ht="30.75" customHeight="1" thickBot="1" x14ac:dyDescent="0.3">
      <c r="A15" s="46" t="s">
        <v>130</v>
      </c>
      <c r="B15" s="47"/>
      <c r="C15" s="47"/>
    </row>
    <row r="16" spans="1:3" ht="24.6" customHeight="1" x14ac:dyDescent="0.25">
      <c r="A16" s="68" t="s">
        <v>120</v>
      </c>
      <c r="B16" s="93" t="s">
        <v>169</v>
      </c>
      <c r="C16" s="108"/>
    </row>
    <row r="17" spans="1:4" customFormat="1" ht="25.5" customHeight="1" thickBot="1" x14ac:dyDescent="0.3">
      <c r="A17" s="71" t="s">
        <v>172</v>
      </c>
      <c r="B17" s="170" t="s">
        <v>173</v>
      </c>
      <c r="C17" s="109"/>
    </row>
    <row r="18" spans="1:4" customFormat="1" ht="16.5" thickBot="1" x14ac:dyDescent="0.3">
      <c r="C18" s="109"/>
    </row>
    <row r="19" spans="1:4" x14ac:dyDescent="0.25">
      <c r="A19" s="68" t="s">
        <v>0</v>
      </c>
      <c r="B19" s="93">
        <v>12</v>
      </c>
      <c r="C19" s="108" t="str">
        <f>IF(OR(Main!B19&gt;Helper_calcs!B40,Main!B19&lt;Helper_calcs!B39,B19&lt;=B20),"OUT OF RANGE","")</f>
        <v/>
      </c>
    </row>
    <row r="20" spans="1:4" x14ac:dyDescent="0.25">
      <c r="A20" s="70" t="s">
        <v>1</v>
      </c>
      <c r="B20" s="94">
        <v>5</v>
      </c>
      <c r="C20" s="108" t="str">
        <f>IF(OR(B20&gt;=B19,B20&gt;24,B20&lt;1),"OUT OF RANGE","")</f>
        <v/>
      </c>
      <c r="D20" s="102" t="s">
        <v>168</v>
      </c>
    </row>
    <row r="21" spans="1:4" x14ac:dyDescent="0.25">
      <c r="A21" s="70" t="s">
        <v>2</v>
      </c>
      <c r="B21" s="94">
        <v>3</v>
      </c>
      <c r="C21" s="130" t="str">
        <f>IF(OR(AND(B21&gt;Helper_calcs!B22,Current_limit!B18=0),B21&lt;0),"OUT OF RANGE",IF(Current_limit!B18&lt;&gt;0,"CURRENT LIMIT",""))</f>
        <v/>
      </c>
      <c r="D21" s="102"/>
    </row>
    <row r="22" spans="1:4" x14ac:dyDescent="0.25">
      <c r="A22" s="70" t="s">
        <v>3</v>
      </c>
      <c r="B22" s="94">
        <v>400</v>
      </c>
      <c r="C22" s="130" t="str">
        <f>IF(AND(Main!B22=1000,OR(Main!B16="lmr33620",Main!B16="lmr33630")),"OUT OF RANGE",IF(AND(Main!B16="lmr33640",OR(Main!B22=1400,Main!B22=2100)),"OUT OF RANGE",""))</f>
        <v/>
      </c>
      <c r="D22" s="102"/>
    </row>
    <row r="23" spans="1:4" x14ac:dyDescent="0.25">
      <c r="A23" s="70"/>
      <c r="B23" s="50"/>
      <c r="C23" s="108"/>
    </row>
    <row r="24" spans="1:4" ht="16.5" thickBot="1" x14ac:dyDescent="0.3">
      <c r="A24" s="71" t="s">
        <v>161</v>
      </c>
      <c r="B24" s="95">
        <v>0.3</v>
      </c>
      <c r="C24" s="108"/>
    </row>
    <row r="25" spans="1:4" x14ac:dyDescent="0.2">
      <c r="A25" s="49"/>
      <c r="B25" s="49"/>
      <c r="C25" s="49"/>
    </row>
    <row r="26" spans="1:4" x14ac:dyDescent="0.2">
      <c r="A26" s="49"/>
      <c r="B26" s="49"/>
      <c r="C26" s="47"/>
    </row>
    <row r="27" spans="1:4" x14ac:dyDescent="0.25">
      <c r="A27" s="47"/>
      <c r="B27" s="47"/>
      <c r="C27" s="47"/>
    </row>
    <row r="28" spans="1:4" ht="33" customHeight="1" thickBot="1" x14ac:dyDescent="0.3">
      <c r="A28" s="46" t="s">
        <v>131</v>
      </c>
      <c r="B28" s="47"/>
      <c r="C28" s="47"/>
    </row>
    <row r="29" spans="1:4" ht="22.5" customHeight="1" x14ac:dyDescent="0.25">
      <c r="A29" s="68" t="s">
        <v>137</v>
      </c>
      <c r="B29" s="51">
        <f>Helper_calcs!B64*1000000</f>
        <v>8.1018518518518512</v>
      </c>
      <c r="C29" s="52"/>
    </row>
    <row r="30" spans="1:4" ht="27.75" customHeight="1" x14ac:dyDescent="0.25">
      <c r="A30" s="70" t="s">
        <v>108</v>
      </c>
      <c r="B30" s="53">
        <f>Helper_calcs!B62*1000000</f>
        <v>3.4722222222222223</v>
      </c>
      <c r="C30" s="50"/>
    </row>
    <row r="31" spans="1:4" ht="32.25" customHeight="1" thickBot="1" x14ac:dyDescent="0.3">
      <c r="A31" s="72" t="s">
        <v>9</v>
      </c>
      <c r="B31" s="96">
        <v>6.8</v>
      </c>
      <c r="C31" s="54" t="s">
        <v>11</v>
      </c>
      <c r="D31"/>
    </row>
    <row r="32" spans="1:4" ht="17.25" customHeight="1" x14ac:dyDescent="0.25">
      <c r="A32"/>
      <c r="B32"/>
      <c r="C32"/>
      <c r="D32"/>
    </row>
    <row r="33" spans="1:4" ht="16.5" customHeight="1" x14ac:dyDescent="0.25">
      <c r="A33"/>
      <c r="B33"/>
      <c r="C33"/>
      <c r="D33"/>
    </row>
    <row r="34" spans="1:4" x14ac:dyDescent="0.25">
      <c r="A34" s="47"/>
      <c r="B34" s="55"/>
      <c r="C34" s="47"/>
    </row>
    <row r="35" spans="1:4" ht="32.25" customHeight="1" thickBot="1" x14ac:dyDescent="0.3">
      <c r="A35" s="46" t="s">
        <v>132</v>
      </c>
      <c r="B35" s="55"/>
      <c r="C35" s="47"/>
    </row>
    <row r="36" spans="1:4" ht="26.25" customHeight="1" x14ac:dyDescent="0.25">
      <c r="A36" s="68" t="s">
        <v>109</v>
      </c>
      <c r="B36" s="56">
        <f>cout_calc2!B28</f>
        <v>72</v>
      </c>
      <c r="C36" s="52"/>
    </row>
    <row r="37" spans="1:4" ht="24" customHeight="1" x14ac:dyDescent="0.2">
      <c r="A37" s="70" t="s">
        <v>110</v>
      </c>
      <c r="B37" s="90">
        <f>cout_min_calc2!B30</f>
        <v>55</v>
      </c>
      <c r="C37" s="50"/>
    </row>
    <row r="38" spans="1:4" ht="38.25" customHeight="1" x14ac:dyDescent="0.25">
      <c r="A38" s="91" t="s">
        <v>111</v>
      </c>
      <c r="B38" s="97">
        <v>43</v>
      </c>
      <c r="C38" s="91" t="s">
        <v>107</v>
      </c>
    </row>
    <row r="39" spans="1:4" ht="17.25" customHeight="1" x14ac:dyDescent="0.25">
      <c r="A39" s="69"/>
      <c r="B39" s="57"/>
      <c r="C39" s="48"/>
    </row>
    <row r="40" spans="1:4" ht="32.25" customHeight="1" x14ac:dyDescent="0.25">
      <c r="A40" s="70" t="s">
        <v>115</v>
      </c>
      <c r="B40" s="98">
        <v>0</v>
      </c>
      <c r="C40" s="50"/>
    </row>
    <row r="41" spans="1:4" ht="31.5" customHeight="1" thickBot="1" x14ac:dyDescent="0.3">
      <c r="A41" s="71" t="s">
        <v>156</v>
      </c>
      <c r="B41" s="96">
        <v>0</v>
      </c>
      <c r="C41" s="58"/>
    </row>
    <row r="42" spans="1:4" ht="17.25" customHeight="1" x14ac:dyDescent="0.25">
      <c r="A42" s="77"/>
      <c r="B42"/>
      <c r="C42" s="59"/>
    </row>
    <row r="43" spans="1:4" ht="17.25" customHeight="1" x14ac:dyDescent="0.2">
      <c r="A43" s="59"/>
      <c r="B43" s="49"/>
      <c r="C43" s="59"/>
    </row>
    <row r="44" spans="1:4" ht="31.5" customHeight="1" thickBot="1" x14ac:dyDescent="0.25">
      <c r="A44" s="46" t="s">
        <v>134</v>
      </c>
      <c r="B44" s="49"/>
      <c r="C44" s="49"/>
    </row>
    <row r="45" spans="1:4" ht="31.5" customHeight="1" x14ac:dyDescent="0.25">
      <c r="A45" s="68" t="s">
        <v>4</v>
      </c>
      <c r="B45" s="62" t="str">
        <f>IF(B20=1,"SHORT","Enter Value at Right")</f>
        <v>Enter Value at Right</v>
      </c>
      <c r="C45" s="120">
        <v>100</v>
      </c>
    </row>
    <row r="46" spans="1:4" ht="31.5" customHeight="1" thickBot="1" x14ac:dyDescent="0.3">
      <c r="A46" s="71" t="s">
        <v>5</v>
      </c>
      <c r="B46" s="63">
        <f>IF(B20=1,"OPEN",C45/(B20-1))</f>
        <v>25</v>
      </c>
      <c r="C46" s="58"/>
    </row>
    <row r="47" spans="1:4" ht="13.5" customHeight="1" x14ac:dyDescent="0.2">
      <c r="A47" s="59"/>
      <c r="B47" s="49"/>
      <c r="C47" s="59"/>
    </row>
    <row r="48" spans="1:4" ht="16.5" customHeight="1" x14ac:dyDescent="0.2">
      <c r="A48" s="59"/>
      <c r="B48" s="49"/>
      <c r="C48" s="59"/>
    </row>
    <row r="49" spans="1:3" ht="29.25" customHeight="1" thickBot="1" x14ac:dyDescent="0.25">
      <c r="A49" s="46" t="s">
        <v>133</v>
      </c>
      <c r="B49" s="49"/>
      <c r="C49" s="49"/>
    </row>
    <row r="50" spans="1:3" ht="28.5" customHeight="1" x14ac:dyDescent="0.2">
      <c r="A50" s="68" t="s">
        <v>114</v>
      </c>
      <c r="B50" s="60">
        <f>IF(B20=1,"N/A",loop_gain!B26*1000000000000)</f>
        <v>45.447397934423591</v>
      </c>
      <c r="C50" s="61"/>
    </row>
    <row r="51" spans="1:3" ht="44.25" customHeight="1" thickBot="1" x14ac:dyDescent="0.25">
      <c r="A51" s="72" t="s">
        <v>118</v>
      </c>
      <c r="B51" s="99">
        <v>0</v>
      </c>
      <c r="C51" s="54" t="s">
        <v>107</v>
      </c>
    </row>
    <row r="52" spans="1:3" ht="18" customHeight="1" x14ac:dyDescent="0.2">
      <c r="A52" s="49"/>
      <c r="B52" s="49"/>
      <c r="C52" s="49"/>
    </row>
    <row r="53" spans="1:3" ht="18" customHeight="1" x14ac:dyDescent="0.25"/>
    <row r="54" spans="1:3" ht="15" customHeight="1" x14ac:dyDescent="0.25">
      <c r="A54" s="77"/>
      <c r="B54"/>
      <c r="C54" s="59"/>
    </row>
    <row r="55" spans="1:3" ht="29.25" customHeight="1" thickBot="1" x14ac:dyDescent="0.3">
      <c r="A55" s="46" t="s">
        <v>151</v>
      </c>
      <c r="B55"/>
      <c r="C55" s="59"/>
    </row>
    <row r="56" spans="1:3" ht="34.5" customHeight="1" x14ac:dyDescent="0.2">
      <c r="A56" s="78" t="s">
        <v>152</v>
      </c>
      <c r="B56" s="100">
        <v>40</v>
      </c>
      <c r="C56" s="59"/>
    </row>
    <row r="57" spans="1:3" ht="54" customHeight="1" x14ac:dyDescent="0.2">
      <c r="A57" s="79" t="s">
        <v>153</v>
      </c>
      <c r="B57" s="81">
        <f>Helper_calcs!C55</f>
        <v>36</v>
      </c>
      <c r="C57" s="92" t="s">
        <v>162</v>
      </c>
    </row>
    <row r="58" spans="1:3" ht="48.75" customHeight="1" x14ac:dyDescent="0.2">
      <c r="A58" s="79" t="s">
        <v>154</v>
      </c>
      <c r="B58" s="81">
        <f>Helper_calcs!C56</f>
        <v>5.7918219461697733</v>
      </c>
      <c r="C58" s="92" t="s">
        <v>163</v>
      </c>
    </row>
    <row r="59" spans="1:3" ht="48" customHeight="1" thickBot="1" x14ac:dyDescent="0.25">
      <c r="A59" s="80" t="s">
        <v>155</v>
      </c>
      <c r="B59" s="82">
        <f>Helper_calcs!C57</f>
        <v>5.6514722222222229</v>
      </c>
      <c r="C59" s="92" t="s">
        <v>164</v>
      </c>
    </row>
    <row r="60" spans="1:3" ht="15.75" customHeight="1" x14ac:dyDescent="0.25">
      <c r="A60" s="59"/>
      <c r="C60" s="59"/>
    </row>
    <row r="61" spans="1:3" ht="15.75" customHeight="1" x14ac:dyDescent="0.2">
      <c r="A61" s="59"/>
      <c r="B61" s="49"/>
      <c r="C61" s="59"/>
    </row>
    <row r="62" spans="1:3" ht="18" customHeight="1" x14ac:dyDescent="0.2">
      <c r="A62" s="59"/>
      <c r="B62" s="49"/>
      <c r="C62" s="59"/>
    </row>
    <row r="63" spans="1:3" ht="34.5" customHeight="1" x14ac:dyDescent="0.2">
      <c r="A63" s="46" t="s">
        <v>135</v>
      </c>
      <c r="B63" s="49"/>
      <c r="C63" s="49"/>
    </row>
    <row r="64" spans="1:3" ht="16.5" thickBot="1" x14ac:dyDescent="0.3">
      <c r="A64"/>
      <c r="B64"/>
      <c r="C64" s="47"/>
    </row>
    <row r="65" spans="1:3" ht="23.25" customHeight="1" x14ac:dyDescent="0.25">
      <c r="A65" s="68" t="s">
        <v>6</v>
      </c>
      <c r="B65" s="103">
        <v>1</v>
      </c>
      <c r="C65" s="47"/>
    </row>
    <row r="66" spans="1:3" ht="23.25" customHeight="1" x14ac:dyDescent="0.25">
      <c r="A66" s="70" t="s">
        <v>7</v>
      </c>
      <c r="B66" s="64">
        <v>0.1</v>
      </c>
      <c r="C66" s="47"/>
    </row>
    <row r="67" spans="1:3" ht="22.5" customHeight="1" x14ac:dyDescent="0.25">
      <c r="A67" s="70" t="s">
        <v>8</v>
      </c>
      <c r="B67" s="64">
        <v>0.22</v>
      </c>
      <c r="C67" s="47"/>
    </row>
    <row r="68" spans="1:3" ht="26.25" customHeight="1" thickBot="1" x14ac:dyDescent="0.3">
      <c r="A68" s="71" t="s">
        <v>10</v>
      </c>
      <c r="B68" s="65">
        <v>10</v>
      </c>
      <c r="C68" s="47"/>
    </row>
    <row r="69" spans="1:3" x14ac:dyDescent="0.25">
      <c r="A69" s="47"/>
      <c r="B69" s="47"/>
      <c r="C69" s="47"/>
    </row>
    <row r="70" spans="1:3" ht="21.75" customHeight="1" x14ac:dyDescent="0.25">
      <c r="A70" s="47"/>
      <c r="B70" s="47"/>
      <c r="C70" s="47"/>
    </row>
    <row r="71" spans="1:3" ht="24" customHeight="1" x14ac:dyDescent="0.25">
      <c r="A71" s="47"/>
      <c r="B71" s="47"/>
      <c r="C71" s="47"/>
    </row>
    <row r="72" spans="1:3" ht="29.25" customHeight="1" thickBot="1" x14ac:dyDescent="0.3">
      <c r="A72" s="46" t="s">
        <v>225</v>
      </c>
      <c r="B72" s="47"/>
      <c r="C72" s="47"/>
    </row>
    <row r="73" spans="1:3" ht="24.75" customHeight="1" x14ac:dyDescent="0.25">
      <c r="A73" s="68" t="s">
        <v>12</v>
      </c>
      <c r="B73" s="51">
        <f>Helper_calcs!B31</f>
        <v>3.5361519607843137</v>
      </c>
      <c r="C73"/>
    </row>
    <row r="74" spans="1:3" ht="27.75" customHeight="1" x14ac:dyDescent="0.25">
      <c r="A74" s="70" t="s">
        <v>13</v>
      </c>
      <c r="B74" s="66">
        <f>Helper_calcs!B32</f>
        <v>2.4638480392156863</v>
      </c>
      <c r="C74"/>
    </row>
    <row r="75" spans="1:3" ht="24.75" customHeight="1" thickBot="1" x14ac:dyDescent="0.3">
      <c r="A75" s="71" t="s">
        <v>14</v>
      </c>
      <c r="B75" s="67">
        <f>Helper_calcs!B30</f>
        <v>1.0723039215686276</v>
      </c>
      <c r="C75"/>
    </row>
    <row r="76" spans="1:3" ht="24.75" customHeight="1" x14ac:dyDescent="0.25">
      <c r="A76" s="77"/>
      <c r="B76"/>
      <c r="C76"/>
    </row>
    <row r="77" spans="1:3" ht="24.75" customHeight="1" thickBot="1" x14ac:dyDescent="0.3">
      <c r="A77" s="46" t="s">
        <v>136</v>
      </c>
      <c r="B77" s="47"/>
      <c r="C77" s="59"/>
    </row>
    <row r="78" spans="1:3" ht="38.25" customHeight="1" x14ac:dyDescent="0.25">
      <c r="A78" s="68" t="s">
        <v>226</v>
      </c>
      <c r="B78" s="143" t="str">
        <f>IF(Current_limit!B16="N",Current_limit!B13,"N/A")</f>
        <v>N/A</v>
      </c>
      <c r="C78" s="92" t="s">
        <v>227</v>
      </c>
    </row>
    <row r="79" spans="1:3" ht="39.75" customHeight="1" x14ac:dyDescent="0.25">
      <c r="A79" s="70" t="s">
        <v>228</v>
      </c>
      <c r="B79" s="144">
        <f>IF(Current_limit!B16="N",Current_limit!B14,Current_limit!B15)</f>
        <v>3.3138480392156864</v>
      </c>
      <c r="C79" s="92" t="s">
        <v>229</v>
      </c>
    </row>
    <row r="80" spans="1:3" ht="51.75" customHeight="1" thickBot="1" x14ac:dyDescent="0.3">
      <c r="A80" s="71" t="s">
        <v>230</v>
      </c>
      <c r="B80" s="145" t="str">
        <f>IF(Current_limit!B16="N",Current_limit!B14,"N/A")</f>
        <v>N/A</v>
      </c>
      <c r="C80" s="92" t="s">
        <v>231</v>
      </c>
    </row>
    <row r="81" spans="1:3" ht="24.75" customHeight="1" x14ac:dyDescent="0.25">
      <c r="A81" s="77"/>
      <c r="B81"/>
      <c r="C81" s="59"/>
    </row>
    <row r="82" spans="1:3" ht="28.5" customHeight="1" thickBot="1" x14ac:dyDescent="0.3">
      <c r="A82" s="46" t="s">
        <v>157</v>
      </c>
      <c r="B82" s="47"/>
      <c r="C82" s="47"/>
    </row>
    <row r="83" spans="1:3" ht="35.25" customHeight="1" x14ac:dyDescent="0.25">
      <c r="A83" s="68" t="s">
        <v>116</v>
      </c>
      <c r="B83" s="83">
        <f>loop_gain!B87/1000</f>
        <v>35.037356598406653</v>
      </c>
      <c r="C83" s="47"/>
    </row>
    <row r="84" spans="1:3" ht="33" customHeight="1" thickBot="1" x14ac:dyDescent="0.3">
      <c r="A84" s="71" t="s">
        <v>117</v>
      </c>
      <c r="B84" s="84">
        <f>loop_gain!B89</f>
        <v>62.66446419762687</v>
      </c>
      <c r="C84" s="47"/>
    </row>
    <row r="85" spans="1:3" ht="30" customHeight="1" x14ac:dyDescent="0.25"/>
    <row r="86" spans="1:3" ht="27" customHeight="1" x14ac:dyDescent="0.25"/>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17" spans="1:2" x14ac:dyDescent="0.25">
      <c r="A117"/>
      <c r="B117"/>
    </row>
    <row r="118" spans="1:2" x14ac:dyDescent="0.25">
      <c r="A118"/>
      <c r="B118"/>
    </row>
    <row r="119" spans="1:2" x14ac:dyDescent="0.25">
      <c r="A119"/>
      <c r="B119"/>
    </row>
    <row r="124" spans="1:2" x14ac:dyDescent="0.25">
      <c r="B124" s="3"/>
    </row>
    <row r="127" spans="1:2" x14ac:dyDescent="0.25">
      <c r="B127" s="2"/>
    </row>
    <row r="128" spans="1:2" x14ac:dyDescent="0.25">
      <c r="B128" s="4"/>
    </row>
    <row r="129" spans="2:2" x14ac:dyDescent="0.25">
      <c r="B129" s="4"/>
    </row>
    <row r="130" spans="2:2" x14ac:dyDescent="0.25">
      <c r="B130" s="2"/>
    </row>
  </sheetData>
  <sheetProtection password="DCA3" sheet="1" objects="1" scenarios="1" selectLockedCells="1"/>
  <conditionalFormatting sqref="C19">
    <cfRule type="expression" dxfId="5" priority="4">
      <formula>$C$19="out of range"</formula>
    </cfRule>
  </conditionalFormatting>
  <conditionalFormatting sqref="C45">
    <cfRule type="expression" dxfId="4" priority="1">
      <formula>$B$20=1</formula>
    </cfRule>
    <cfRule type="expression" dxfId="3" priority="23">
      <formula>$D$20="adj"</formula>
    </cfRule>
  </conditionalFormatting>
  <conditionalFormatting sqref="B51:C51">
    <cfRule type="expression" dxfId="2" priority="24">
      <formula>$D$20&lt;&gt;"adj"</formula>
    </cfRule>
  </conditionalFormatting>
  <conditionalFormatting sqref="C20">
    <cfRule type="expression" dxfId="1" priority="3">
      <formula>$C$20="out of range"</formula>
    </cfRule>
  </conditionalFormatting>
  <conditionalFormatting sqref="C22">
    <cfRule type="expression" dxfId="0" priority="2">
      <formula>$C$22="out of range"</formula>
    </cfRule>
  </conditionalFormatting>
  <dataValidations count="1">
    <dataValidation allowBlank="1" showErrorMessage="1" promptTitle="Maximum Input Voltage" prompt="This is the maximum input voltage before the switching frequency will drop because of the minimum on-time limitation." sqref="A57"/>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Helper_calcs!$A$6:$A$8</xm:f>
          </x14:formula1>
          <xm:sqref>B16</xm:sqref>
        </x14:dataValidation>
        <x14:dataValidation type="list" allowBlank="1" showInputMessage="1" showErrorMessage="1">
          <x14:formula1>
            <xm:f>Helper_calcs!$A$11:$A$14</xm:f>
          </x14:formula1>
          <xm:sqref>B22</xm:sqref>
        </x14:dataValidation>
        <x14:dataValidation type="list" allowBlank="1" showInputMessage="1" showErrorMessage="1">
          <x14:formula1>
            <xm:f>Helper_calcs!$A$16:$A$17</xm:f>
          </x14:formula1>
          <xm:sqref>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M242"/>
  <sheetViews>
    <sheetView topLeftCell="A4" zoomScale="115" zoomScaleNormal="115" workbookViewId="0">
      <selection activeCell="B14" sqref="B14"/>
    </sheetView>
  </sheetViews>
  <sheetFormatPr defaultColWidth="9" defaultRowHeight="15" x14ac:dyDescent="0.25"/>
  <cols>
    <col min="1" max="1" width="18" style="8" customWidth="1"/>
    <col min="2" max="2" width="15.625" style="8" customWidth="1"/>
    <col min="3" max="3" width="16.875" style="8" customWidth="1"/>
    <col min="4" max="4" width="16.5" style="8" customWidth="1"/>
    <col min="5" max="5" width="11.75" style="8" customWidth="1"/>
    <col min="6" max="7" width="13" style="8" customWidth="1"/>
    <col min="8" max="8" width="14" style="8" customWidth="1"/>
    <col min="9" max="17" width="13.75" style="8" customWidth="1"/>
    <col min="18" max="18" width="14.25" style="8" customWidth="1"/>
    <col min="19" max="19" width="12.5" style="8" customWidth="1"/>
    <col min="20" max="20" width="15" style="8" customWidth="1"/>
    <col min="21" max="21" width="13.75" style="8" customWidth="1"/>
    <col min="22" max="26" width="11.375" style="8" customWidth="1"/>
    <col min="27" max="27" width="13.5" style="8" customWidth="1"/>
    <col min="28" max="28" width="14.25" style="8" customWidth="1"/>
    <col min="29" max="29" width="11.875" style="8" customWidth="1"/>
    <col min="30" max="30" width="12.625" style="8" customWidth="1"/>
    <col min="31" max="31" width="12" style="8" customWidth="1"/>
    <col min="32" max="32" width="13" style="8" customWidth="1"/>
    <col min="33" max="33" width="14.875" style="8" customWidth="1"/>
    <col min="34" max="34" width="9" style="8"/>
    <col min="35" max="35" width="11.125" style="8" customWidth="1"/>
    <col min="36" max="36" width="12.375" style="8" customWidth="1"/>
    <col min="37" max="37" width="9" style="8"/>
    <col min="38" max="38" width="11.375" style="8" customWidth="1"/>
    <col min="39" max="39" width="10.875" style="8" customWidth="1"/>
    <col min="40" max="16384" width="9" style="8"/>
  </cols>
  <sheetData>
    <row r="6" spans="1:3" x14ac:dyDescent="0.25">
      <c r="A6" s="38">
        <v>43934</v>
      </c>
    </row>
    <row r="8" spans="1:3" x14ac:dyDescent="0.25">
      <c r="A8" s="37" t="s">
        <v>129</v>
      </c>
    </row>
    <row r="9" spans="1:3" x14ac:dyDescent="0.25">
      <c r="A9" s="28"/>
    </row>
    <row r="10" spans="1:3" x14ac:dyDescent="0.25">
      <c r="A10" s="28"/>
    </row>
    <row r="11" spans="1:3" x14ac:dyDescent="0.25">
      <c r="A11" s="28"/>
    </row>
    <row r="12" spans="1:3" x14ac:dyDescent="0.25">
      <c r="A12" s="37" t="s">
        <v>123</v>
      </c>
    </row>
    <row r="13" spans="1:3" x14ac:dyDescent="0.25">
      <c r="A13" s="37" t="s">
        <v>124</v>
      </c>
      <c r="B13" s="18">
        <v>1</v>
      </c>
      <c r="C13" s="10" t="s">
        <v>125</v>
      </c>
    </row>
    <row r="16" spans="1:3" x14ac:dyDescent="0.25">
      <c r="A16" s="29" t="s">
        <v>80</v>
      </c>
    </row>
    <row r="17" spans="1:3" x14ac:dyDescent="0.25">
      <c r="A17" s="29" t="s">
        <v>17</v>
      </c>
      <c r="B17" s="8">
        <f>Main!B31*0.000001</f>
        <v>6.7999999999999993E-6</v>
      </c>
    </row>
    <row r="18" spans="1:3" x14ac:dyDescent="0.25">
      <c r="A18" s="29" t="s">
        <v>81</v>
      </c>
      <c r="B18" s="116">
        <f>Main!B22*1000</f>
        <v>400000</v>
      </c>
    </row>
    <row r="19" spans="1:3" x14ac:dyDescent="0.25">
      <c r="A19" s="29" t="s">
        <v>82</v>
      </c>
      <c r="B19" s="8">
        <f>Main!B38*0.000001</f>
        <v>4.2999999999999995E-5</v>
      </c>
    </row>
    <row r="20" spans="1:3" x14ac:dyDescent="0.25">
      <c r="A20" s="29" t="s">
        <v>27</v>
      </c>
      <c r="B20" s="8">
        <f>Main!B40*0.000001</f>
        <v>0</v>
      </c>
    </row>
    <row r="21" spans="1:3" x14ac:dyDescent="0.25">
      <c r="A21" s="29" t="s">
        <v>28</v>
      </c>
      <c r="B21" s="8">
        <f>Main!B41/1000</f>
        <v>0</v>
      </c>
    </row>
    <row r="22" spans="1:3" x14ac:dyDescent="0.25">
      <c r="A22" s="29" t="s">
        <v>93</v>
      </c>
      <c r="B22" s="8">
        <f>B19+B20</f>
        <v>4.2999999999999995E-5</v>
      </c>
    </row>
    <row r="23" spans="1:3" x14ac:dyDescent="0.25">
      <c r="A23" s="35" t="s">
        <v>113</v>
      </c>
      <c r="B23" s="8">
        <f>Main!B51/1000000000000</f>
        <v>0</v>
      </c>
    </row>
    <row r="24" spans="1:3" x14ac:dyDescent="0.25">
      <c r="A24" s="29" t="s">
        <v>83</v>
      </c>
      <c r="B24" s="117">
        <f>Main!C45*1000</f>
        <v>100000</v>
      </c>
    </row>
    <row r="25" spans="1:3" x14ac:dyDescent="0.25">
      <c r="A25" s="29"/>
      <c r="B25" s="117"/>
    </row>
    <row r="26" spans="1:3" x14ac:dyDescent="0.25">
      <c r="A26" s="35" t="s">
        <v>112</v>
      </c>
      <c r="B26" s="8">
        <f>1/(6.28*B87*B24)</f>
        <v>4.5447397934423589E-11</v>
      </c>
    </row>
    <row r="27" spans="1:3" x14ac:dyDescent="0.25">
      <c r="A27" s="29"/>
    </row>
    <row r="29" spans="1:3" x14ac:dyDescent="0.25">
      <c r="A29" s="113" t="s">
        <v>182</v>
      </c>
    </row>
    <row r="30" spans="1:3" x14ac:dyDescent="0.25">
      <c r="A30" s="8" t="s">
        <v>29</v>
      </c>
      <c r="B30" s="8">
        <f>Helper_calcs!B35</f>
        <v>4.05</v>
      </c>
      <c r="C30" s="29" t="s">
        <v>85</v>
      </c>
    </row>
    <row r="31" spans="1:3" x14ac:dyDescent="0.25">
      <c r="A31" s="8" t="s">
        <v>30</v>
      </c>
      <c r="B31" s="117">
        <f>Helper_calcs!B36</f>
        <v>720000</v>
      </c>
      <c r="C31" s="29" t="s">
        <v>86</v>
      </c>
    </row>
    <row r="32" spans="1:3" x14ac:dyDescent="0.25">
      <c r="A32" s="8" t="s">
        <v>31</v>
      </c>
      <c r="B32" s="117">
        <f>Eamp!B20</f>
        <v>100</v>
      </c>
      <c r="C32" s="29" t="s">
        <v>87</v>
      </c>
    </row>
    <row r="33" spans="1:3" x14ac:dyDescent="0.25">
      <c r="A33" s="8" t="s">
        <v>32</v>
      </c>
      <c r="B33" s="9">
        <f>Eamp!B26</f>
        <v>2.3793000000000002E-4</v>
      </c>
      <c r="C33" s="10" t="s">
        <v>88</v>
      </c>
    </row>
    <row r="34" spans="1:3" x14ac:dyDescent="0.25">
      <c r="A34" s="8" t="s">
        <v>33</v>
      </c>
      <c r="B34" s="9">
        <f>Eamp!B23</f>
        <v>2.7929999999999999E-5</v>
      </c>
      <c r="C34" s="10" t="s">
        <v>89</v>
      </c>
    </row>
    <row r="35" spans="1:3" x14ac:dyDescent="0.25">
      <c r="B35" s="9"/>
      <c r="C35" s="10"/>
    </row>
    <row r="36" spans="1:3" x14ac:dyDescent="0.25">
      <c r="A36" s="34"/>
      <c r="C36" s="10"/>
    </row>
    <row r="37" spans="1:3" x14ac:dyDescent="0.25">
      <c r="A37" s="8" t="s">
        <v>35</v>
      </c>
      <c r="B37" s="8">
        <f>IF(Main!B20=1,FB_div!C64,FB_div!B64)</f>
        <v>0</v>
      </c>
      <c r="C37" s="10" t="s">
        <v>92</v>
      </c>
    </row>
    <row r="38" spans="1:3" x14ac:dyDescent="0.25">
      <c r="A38" s="8" t="s">
        <v>36</v>
      </c>
      <c r="B38" s="8">
        <f>IF(Main!B20=1,FB_div!C65,FB_div!B65)</f>
        <v>9.2778000000000016E-14</v>
      </c>
      <c r="C38" s="10" t="s">
        <v>92</v>
      </c>
    </row>
    <row r="39" spans="1:3" x14ac:dyDescent="0.25">
      <c r="A39" s="29" t="s">
        <v>90</v>
      </c>
      <c r="B39" s="8">
        <f>IF(Main!B20=1,FB_div!C66,FB_div!B66)</f>
        <v>8.272E-7</v>
      </c>
      <c r="C39" s="10" t="s">
        <v>92</v>
      </c>
    </row>
    <row r="40" spans="1:3" x14ac:dyDescent="0.25">
      <c r="A40" s="8" t="s">
        <v>37</v>
      </c>
      <c r="B40" s="9">
        <f>IF(Main!B20=1,FB_div!C73,FB_div!B73)</f>
        <v>7.24E-8</v>
      </c>
      <c r="C40" s="10" t="s">
        <v>91</v>
      </c>
    </row>
    <row r="41" spans="1:3" x14ac:dyDescent="0.25">
      <c r="A41" s="34" t="s">
        <v>97</v>
      </c>
      <c r="B41" s="11">
        <f>IF(Main!B20=1,FB_div!C67,FB_div!B67)</f>
        <v>0</v>
      </c>
      <c r="C41" s="10" t="s">
        <v>39</v>
      </c>
    </row>
    <row r="42" spans="1:3" x14ac:dyDescent="0.25">
      <c r="A42" s="113" t="s">
        <v>180</v>
      </c>
      <c r="B42" s="11">
        <f>IF(Main!B20=1,FB_div!C68,FB_div!B68)</f>
        <v>2.35E-7</v>
      </c>
    </row>
    <row r="45" spans="1:3" x14ac:dyDescent="0.25">
      <c r="A45" s="8" t="s">
        <v>40</v>
      </c>
    </row>
    <row r="47" spans="1:3" x14ac:dyDescent="0.25">
      <c r="A47" s="8" t="s">
        <v>41</v>
      </c>
      <c r="B47" s="8">
        <f>1/Main!B20</f>
        <v>0.2</v>
      </c>
    </row>
    <row r="48" spans="1:3" x14ac:dyDescent="0.25">
      <c r="A48" s="8" t="s">
        <v>42</v>
      </c>
      <c r="B48" s="8">
        <f>Main!B20/Main!B19</f>
        <v>0.41666666666666669</v>
      </c>
    </row>
    <row r="49" spans="1:4" x14ac:dyDescent="0.25">
      <c r="A49" s="8" t="s">
        <v>43</v>
      </c>
      <c r="B49" s="8">
        <f>1-B48</f>
        <v>0.58333333333333326</v>
      </c>
    </row>
    <row r="50" spans="1:4" x14ac:dyDescent="0.25">
      <c r="A50" s="8" t="s">
        <v>44</v>
      </c>
      <c r="B50" s="115">
        <f>Main!B20/loop_gain!B17</f>
        <v>735294.11764705891</v>
      </c>
    </row>
    <row r="51" spans="1:4" x14ac:dyDescent="0.25">
      <c r="A51" s="8" t="s">
        <v>45</v>
      </c>
      <c r="B51" s="118">
        <f>(B18*B17)/(0.5-B48+B48*(B31/B50))</f>
        <v>5.5359565807326998</v>
      </c>
    </row>
    <row r="52" spans="1:4" x14ac:dyDescent="0.25">
      <c r="A52" s="8" t="s">
        <v>46</v>
      </c>
      <c r="B52" s="118">
        <f>Main!B20/(Main!B21+0.000003)</f>
        <v>1.6666650000016667</v>
      </c>
    </row>
    <row r="53" spans="1:4" x14ac:dyDescent="0.25">
      <c r="A53" s="8" t="s">
        <v>47</v>
      </c>
      <c r="B53" s="118">
        <f>(B51*B52)/(B51+B52)</f>
        <v>1.2810037249930555</v>
      </c>
    </row>
    <row r="54" spans="1:4" x14ac:dyDescent="0.25">
      <c r="A54" s="8" t="s">
        <v>48</v>
      </c>
      <c r="B54" s="117">
        <f>B32*B47*B53*B30</f>
        <v>103.7613017244375</v>
      </c>
      <c r="C54" s="12">
        <f>20*LOG10(B54)</f>
        <v>40.320708229946462</v>
      </c>
    </row>
    <row r="55" spans="1:4" x14ac:dyDescent="0.25">
      <c r="A55" s="8" t="s">
        <v>49</v>
      </c>
      <c r="B55" s="43">
        <f>IF(C55="vatche'",4/(B17*(6.28*B18)^2),D55)</f>
        <v>9.3220581672565177E-8</v>
      </c>
      <c r="C55" s="18" t="s">
        <v>128</v>
      </c>
      <c r="D55" s="44">
        <v>0</v>
      </c>
    </row>
    <row r="56" spans="1:4" x14ac:dyDescent="0.25">
      <c r="A56" s="8" t="s">
        <v>50</v>
      </c>
      <c r="B56" s="8">
        <f>B17*B22*B55*B53</f>
        <v>3.4917212776571427E-17</v>
      </c>
    </row>
    <row r="57" spans="1:4" x14ac:dyDescent="0.25">
      <c r="A57" s="8" t="s">
        <v>51</v>
      </c>
      <c r="B57" s="8">
        <f>(B17/(B51+B52))*(B51*B55+B52*B22)</f>
        <v>6.8147699157605567E-11</v>
      </c>
    </row>
    <row r="58" spans="1:4" x14ac:dyDescent="0.25">
      <c r="A58" s="8" t="s">
        <v>52</v>
      </c>
      <c r="B58" s="8">
        <f>B53*B22+B53*B55+(B17/(B51+B52))</f>
        <v>5.614667677648958E-5</v>
      </c>
    </row>
    <row r="59" spans="1:4" x14ac:dyDescent="0.25">
      <c r="C59" s="10"/>
    </row>
    <row r="60" spans="1:4" x14ac:dyDescent="0.25">
      <c r="C60" s="10"/>
    </row>
    <row r="61" spans="1:4" x14ac:dyDescent="0.25">
      <c r="A61" s="29" t="s">
        <v>94</v>
      </c>
      <c r="C61" s="10"/>
    </row>
    <row r="62" spans="1:4" x14ac:dyDescent="0.25">
      <c r="A62" s="34" t="s">
        <v>105</v>
      </c>
      <c r="B62" s="8">
        <f>B20*B21</f>
        <v>0</v>
      </c>
      <c r="C62" s="10" t="s">
        <v>95</v>
      </c>
    </row>
    <row r="63" spans="1:4" x14ac:dyDescent="0.25">
      <c r="A63" s="34" t="s">
        <v>106</v>
      </c>
      <c r="B63" s="8">
        <f>B21*(B19*B20)/(B19+B20)</f>
        <v>0</v>
      </c>
      <c r="C63" s="10" t="s">
        <v>96</v>
      </c>
    </row>
    <row r="64" spans="1:4" x14ac:dyDescent="0.25">
      <c r="A64" s="8" t="s">
        <v>53</v>
      </c>
    </row>
    <row r="72" spans="1:3" x14ac:dyDescent="0.25">
      <c r="A72" s="13" t="s">
        <v>48</v>
      </c>
      <c r="B72" s="14">
        <f>B54</f>
        <v>103.7613017244375</v>
      </c>
    </row>
    <row r="73" spans="1:3" x14ac:dyDescent="0.25">
      <c r="A73" s="15" t="s">
        <v>50</v>
      </c>
      <c r="B73" s="14">
        <f>B56</f>
        <v>3.4917212776571427E-17</v>
      </c>
    </row>
    <row r="74" spans="1:3" x14ac:dyDescent="0.25">
      <c r="A74" s="15" t="s">
        <v>51</v>
      </c>
      <c r="B74" s="14">
        <f>B57</f>
        <v>6.8147699157605567E-11</v>
      </c>
    </row>
    <row r="75" spans="1:3" x14ac:dyDescent="0.25">
      <c r="A75" s="13" t="s">
        <v>52</v>
      </c>
      <c r="B75" s="14">
        <f>B58</f>
        <v>5.614667677648958E-5</v>
      </c>
    </row>
    <row r="76" spans="1:3" x14ac:dyDescent="0.25">
      <c r="A76" s="13" t="s">
        <v>33</v>
      </c>
      <c r="B76" s="14">
        <f>B34</f>
        <v>2.7929999999999999E-5</v>
      </c>
    </row>
    <row r="77" spans="1:3" x14ac:dyDescent="0.25">
      <c r="A77" s="114" t="s">
        <v>180</v>
      </c>
      <c r="B77" s="14">
        <f>B42</f>
        <v>2.35E-7</v>
      </c>
      <c r="C77" s="10"/>
    </row>
    <row r="78" spans="1:3" x14ac:dyDescent="0.25">
      <c r="A78" s="36" t="s">
        <v>97</v>
      </c>
      <c r="B78" s="14">
        <f>B41</f>
        <v>0</v>
      </c>
      <c r="C78" s="10" t="s">
        <v>39</v>
      </c>
    </row>
    <row r="79" spans="1:3" x14ac:dyDescent="0.25">
      <c r="A79" s="16" t="s">
        <v>32</v>
      </c>
      <c r="B79" s="14">
        <f>B33</f>
        <v>2.3793000000000002E-4</v>
      </c>
    </row>
    <row r="80" spans="1:3" x14ac:dyDescent="0.25">
      <c r="A80" s="16" t="s">
        <v>34</v>
      </c>
      <c r="B80" s="14">
        <v>0</v>
      </c>
      <c r="C80" s="10" t="s">
        <v>179</v>
      </c>
    </row>
    <row r="81" spans="1:39" x14ac:dyDescent="0.25">
      <c r="A81" s="16" t="s">
        <v>35</v>
      </c>
      <c r="B81" s="14">
        <f>B37</f>
        <v>0</v>
      </c>
    </row>
    <row r="82" spans="1:39" x14ac:dyDescent="0.25">
      <c r="A82" s="16" t="s">
        <v>36</v>
      </c>
      <c r="B82" s="14">
        <f>B38</f>
        <v>9.2778000000000016E-14</v>
      </c>
    </row>
    <row r="83" spans="1:39" x14ac:dyDescent="0.25">
      <c r="A83" s="32" t="s">
        <v>90</v>
      </c>
      <c r="B83" s="14">
        <f>B39</f>
        <v>8.272E-7</v>
      </c>
    </row>
    <row r="84" spans="1:39" x14ac:dyDescent="0.25">
      <c r="A84" s="16" t="s">
        <v>37</v>
      </c>
      <c r="B84" s="14">
        <f>B40</f>
        <v>7.24E-8</v>
      </c>
      <c r="C84" s="10"/>
    </row>
    <row r="85" spans="1:39" x14ac:dyDescent="0.25">
      <c r="A85" s="17"/>
    </row>
    <row r="87" spans="1:39" x14ac:dyDescent="0.25">
      <c r="A87" s="18" t="s">
        <v>18</v>
      </c>
      <c r="B87" s="121">
        <f>B237</f>
        <v>35037.356598406652</v>
      </c>
      <c r="C87" s="20" t="s">
        <v>54</v>
      </c>
    </row>
    <row r="88" spans="1:39" x14ac:dyDescent="0.25">
      <c r="A88" s="18" t="s">
        <v>55</v>
      </c>
      <c r="B88" s="19">
        <f>B241</f>
        <v>-117.33553580237313</v>
      </c>
      <c r="C88" s="20" t="s">
        <v>56</v>
      </c>
    </row>
    <row r="89" spans="1:39" x14ac:dyDescent="0.25">
      <c r="A89" s="18" t="s">
        <v>19</v>
      </c>
      <c r="B89" s="19">
        <f>B242</f>
        <v>62.66446419762687</v>
      </c>
      <c r="C89" s="20" t="s">
        <v>57</v>
      </c>
    </row>
    <row r="93" spans="1:39" ht="15.75" x14ac:dyDescent="0.25">
      <c r="AF93" s="146" t="s">
        <v>193</v>
      </c>
      <c r="AG93" s="147"/>
      <c r="AI93" s="146" t="s">
        <v>195</v>
      </c>
      <c r="AJ93" s="147"/>
      <c r="AL93" s="146" t="s">
        <v>196</v>
      </c>
      <c r="AM93" s="147"/>
    </row>
    <row r="94" spans="1:39" ht="15.75" x14ac:dyDescent="0.25">
      <c r="A94" s="21" t="s">
        <v>58</v>
      </c>
      <c r="B94" s="8" t="s">
        <v>59</v>
      </c>
      <c r="C94" s="8" t="s">
        <v>48</v>
      </c>
      <c r="D94" s="8" t="s">
        <v>60</v>
      </c>
      <c r="E94" s="8" t="s">
        <v>61</v>
      </c>
      <c r="F94" s="9" t="s">
        <v>62</v>
      </c>
      <c r="G94" s="8" t="s">
        <v>33</v>
      </c>
      <c r="H94" s="113" t="s">
        <v>180</v>
      </c>
      <c r="I94" s="8" t="s">
        <v>38</v>
      </c>
      <c r="J94" s="8" t="s">
        <v>32</v>
      </c>
      <c r="K94" s="8" t="s">
        <v>34</v>
      </c>
      <c r="L94" s="29" t="s">
        <v>98</v>
      </c>
      <c r="M94" s="29" t="s">
        <v>99</v>
      </c>
      <c r="N94" s="29" t="s">
        <v>100</v>
      </c>
      <c r="O94" s="8" t="s">
        <v>37</v>
      </c>
      <c r="P94" s="33" t="s">
        <v>101</v>
      </c>
      <c r="Q94" s="33" t="s">
        <v>102</v>
      </c>
      <c r="R94" s="21" t="s">
        <v>63</v>
      </c>
      <c r="S94" s="8" t="s">
        <v>64</v>
      </c>
      <c r="T94" s="8" t="s">
        <v>65</v>
      </c>
      <c r="U94" s="113" t="s">
        <v>181</v>
      </c>
      <c r="V94" s="8" t="s">
        <v>66</v>
      </c>
      <c r="W94" s="8" t="s">
        <v>67</v>
      </c>
      <c r="X94" s="8" t="s">
        <v>68</v>
      </c>
      <c r="Y94" s="122" t="s">
        <v>183</v>
      </c>
      <c r="Z94" s="8" t="s">
        <v>69</v>
      </c>
      <c r="AA94" s="33" t="s">
        <v>103</v>
      </c>
      <c r="AB94" s="33" t="s">
        <v>104</v>
      </c>
      <c r="AD94" s="21" t="s">
        <v>70</v>
      </c>
      <c r="AF94" s="125" t="s">
        <v>194</v>
      </c>
      <c r="AG94" s="125" t="s">
        <v>70</v>
      </c>
      <c r="AI94" s="125" t="s">
        <v>194</v>
      </c>
      <c r="AJ94" s="125" t="s">
        <v>70</v>
      </c>
      <c r="AL94" s="125" t="s">
        <v>194</v>
      </c>
      <c r="AM94" s="125" t="s">
        <v>70</v>
      </c>
    </row>
    <row r="95" spans="1:39" x14ac:dyDescent="0.25">
      <c r="A95" s="22">
        <v>0.1</v>
      </c>
      <c r="B95" s="8">
        <f>A95*2*PI()</f>
        <v>0.62831853071795862</v>
      </c>
      <c r="C95" s="9">
        <f>20*LOG10($B$72)</f>
        <v>40.320708229946462</v>
      </c>
      <c r="D95" s="9">
        <f>1-$B$74*B95*B95</f>
        <v>0.99999999997309641</v>
      </c>
      <c r="E95" s="9">
        <f>B95*$B$75-$B$73*B95*B95*B95</f>
        <v>3.5277997456891403E-5</v>
      </c>
      <c r="F95" s="9">
        <f>20*LOG10(SQRT(D95^2+E95^2))</f>
        <v>5.1712735407752636E-9</v>
      </c>
      <c r="G95" s="9">
        <f>20*LOG10(SQRT(1+($B$76*B95)^2))</f>
        <v>1.3374759082880405E-9</v>
      </c>
      <c r="H95" s="9">
        <f>20*LOG10(SQRT(1+($B$77*B95)^2))</f>
        <v>9.4504091722221625E-14</v>
      </c>
      <c r="I95" s="9">
        <f>20*LOG10(SQRT(1+($B$78*B95)^2))</f>
        <v>0</v>
      </c>
      <c r="J95" s="9">
        <f>20*LOG10(SQRT(1+($B$79*B95)^2))</f>
        <v>9.7060484720654989E-8</v>
      </c>
      <c r="K95" s="9">
        <f>20*LOG10(SQRT(1+($B$80*B95)^2))</f>
        <v>0</v>
      </c>
      <c r="L95" s="9">
        <f>1-$B$82*B95^2</f>
        <v>0.99999999999996336</v>
      </c>
      <c r="M95" s="9">
        <f>B95*$B$83-$B$81*B95^3</f>
        <v>5.1974508860989533E-7</v>
      </c>
      <c r="N95" s="9">
        <f>20*LOG10(SQRT(L95^2+M95^2))</f>
        <v>8.5632279029927676E-13</v>
      </c>
      <c r="O95" s="9">
        <f t="shared" ref="O95:O126" si="0">20*LOG10(SQRT(1+($B$84*B95)^2))</f>
        <v>7.7146197324262939E-15</v>
      </c>
      <c r="P95" s="9">
        <f>20*LOG10(SQRT(1+($B$62*B95)^2))</f>
        <v>0</v>
      </c>
      <c r="Q95" s="9">
        <f>20*LOG10(SQRT(1+($B$63*B95)^2))</f>
        <v>0</v>
      </c>
      <c r="R95" s="23">
        <f>C95-F95+G95+H95+I95-J95-K95-N95-O95+P95-Q95</f>
        <v>40.320708129051404</v>
      </c>
      <c r="S95" s="8">
        <f t="shared" ref="S95:S126" si="1">ATAN2(D95,E95)</f>
        <v>3.527799744320558E-5</v>
      </c>
      <c r="T95" s="8">
        <f t="shared" ref="T95:T126" si="2">ATAN($B$76*B95)</f>
        <v>1.7548936561151097E-5</v>
      </c>
      <c r="U95" s="8">
        <f t="shared" ref="U95:U126" si="3">ATAN($B$77*B95)</f>
        <v>1.4765485471871919E-7</v>
      </c>
      <c r="V95" s="8">
        <f t="shared" ref="V95:V126" si="4">ATAN($B$78*B95)</f>
        <v>0</v>
      </c>
      <c r="W95" s="8">
        <f t="shared" ref="W95:W126" si="5">ATAN($B$79*B95)</f>
        <v>1.4949582690002971E-4</v>
      </c>
      <c r="X95" s="8">
        <f t="shared" ref="X95:X126" si="6">ATAN($B$80*B95)</f>
        <v>0</v>
      </c>
      <c r="Y95" s="8">
        <f t="shared" ref="Y95:Y126" si="7">ATAN2(L95,M95)</f>
        <v>5.1974508860986759E-7</v>
      </c>
      <c r="Z95" s="8">
        <f t="shared" ref="Z95:Z126" si="8">ATAN($B$84*B95)</f>
        <v>4.5490261623980174E-8</v>
      </c>
      <c r="AA95" s="8">
        <f>ATAN($B$62*B95)</f>
        <v>0</v>
      </c>
      <c r="AB95" s="8">
        <f>ATAN($B$63*B95)</f>
        <v>0</v>
      </c>
      <c r="AC95" s="8">
        <f t="shared" ref="AC95:AC126" si="9">IF(-S95&gt;0,-S95-2*PI(),-S95)</f>
        <v>-3.527799744320558E-5</v>
      </c>
      <c r="AD95" s="8">
        <f>(180/PI())*(AC95+T95+U95+V95-W95-X95-Y95-Z95+AA95-AB95)</f>
        <v>-9.6052058994622273E-3</v>
      </c>
      <c r="AF95" s="23">
        <f>20*LOG10($B$30*$B$53)-F95-P95+Q95</f>
        <v>14.30010831149556</v>
      </c>
      <c r="AG95" s="8">
        <f>(-S95+AA95-AB95)*180/3.14</f>
        <v>-2.0223055859162433E-3</v>
      </c>
      <c r="AI95" s="12">
        <f>20*LOG10($B$47)-N95+H95+I95</f>
        <v>-13.979400086721137</v>
      </c>
      <c r="AJ95" s="8">
        <f>(-Y95+U95+V95)*180/3.14</f>
        <v>-2.1330013407772835E-5</v>
      </c>
      <c r="AL95" s="12">
        <f>20*LOG10($B$32)-J95+G95-K95-O95</f>
        <v>39.999999904276983</v>
      </c>
      <c r="AM95" s="8">
        <f>((-W95-X95+T95-Z95)*180/3.14)+180</f>
        <v>179.99243355779998</v>
      </c>
    </row>
    <row r="96" spans="1:39" x14ac:dyDescent="0.25">
      <c r="A96" s="22">
        <v>0.2</v>
      </c>
      <c r="B96" s="8">
        <f t="shared" ref="B96:B159" si="10">A96*2*PI()</f>
        <v>1.2566370614359172</v>
      </c>
      <c r="C96" s="9">
        <f t="shared" ref="C96:C159" si="11">20*LOG10($B$72)</f>
        <v>40.320708229946462</v>
      </c>
      <c r="D96" s="9">
        <f t="shared" ref="D96:D159" si="12">1-$B$74*B96*B96</f>
        <v>0.99999999989238542</v>
      </c>
      <c r="E96" s="9">
        <f t="shared" ref="E96:E159" si="13">B96*$B$75-$B$73*B96*B96*B96</f>
        <v>7.0555994913730832E-5</v>
      </c>
      <c r="F96" s="9">
        <f t="shared" ref="F96:F159" si="14">20*LOG10(SQRT(D96^2+E96^2))</f>
        <v>2.0685094144628288E-8</v>
      </c>
      <c r="G96" s="9">
        <f t="shared" ref="G96:G159" si="15">20*LOG10(SQRT(1+($B$76*B96)^2))</f>
        <v>5.3499017032615426E-9</v>
      </c>
      <c r="H96" s="9">
        <f t="shared" ref="H96:H159" si="16">20*LOG10(SQRT(1+($B$77*B96)^2))</f>
        <v>3.7801636688888034E-13</v>
      </c>
      <c r="I96" s="9">
        <f t="shared" ref="I96:I159" si="17">20*LOG10(SQRT(1+($B$78*B96)^2))</f>
        <v>0</v>
      </c>
      <c r="J96" s="9">
        <f t="shared" ref="J96:J159" si="18">20*LOG10(SQRT(1+($B$79*B96)^2))</f>
        <v>3.8824192273173082E-7</v>
      </c>
      <c r="K96" s="9">
        <f t="shared" ref="K96:K159" si="19">20*LOG10(SQRT(1+($B$80*B96)^2))</f>
        <v>0</v>
      </c>
      <c r="L96" s="9">
        <f t="shared" ref="L96:L159" si="20">1-$B$82*B96^2</f>
        <v>0.99999999999985345</v>
      </c>
      <c r="M96" s="9">
        <f t="shared" ref="M96:M159" si="21">B96*$B$83-$B$81*B96^3</f>
        <v>1.0394901772197907E-6</v>
      </c>
      <c r="N96" s="9">
        <f t="shared" ref="N96:N159" si="22">20*LOG10(SQRT(L96^2+M96^2))</f>
        <v>3.419505196397283E-12</v>
      </c>
      <c r="O96" s="9">
        <f t="shared" si="0"/>
        <v>3.4715788795918267E-14</v>
      </c>
      <c r="P96" s="9">
        <f t="shared" ref="P96:P159" si="23">20*LOG10(SQRT(1+($B$62*B96)^2))</f>
        <v>0</v>
      </c>
      <c r="Q96" s="9">
        <f t="shared" ref="Q96:Q159" si="24">20*LOG10(SQRT(1+($B$63*B96)^2))</f>
        <v>0</v>
      </c>
      <c r="R96" s="23">
        <f t="shared" ref="R96:R159" si="25">C96-F96+G96+H96+I96-J96-K96-N96-O96+P96-Q96</f>
        <v>40.320707826366274</v>
      </c>
      <c r="S96" s="8">
        <f t="shared" si="1"/>
        <v>7.0555994804244289E-5</v>
      </c>
      <c r="T96" s="8">
        <f t="shared" si="2"/>
        <v>3.5097873111493267E-5</v>
      </c>
      <c r="U96" s="8">
        <f t="shared" si="3"/>
        <v>2.9530970943743197E-7</v>
      </c>
      <c r="V96" s="8">
        <f t="shared" si="4"/>
        <v>0</v>
      </c>
      <c r="W96" s="8">
        <f t="shared" si="5"/>
        <v>2.9899164711789456E-4</v>
      </c>
      <c r="X96" s="8">
        <f t="shared" si="6"/>
        <v>0</v>
      </c>
      <c r="Y96" s="8">
        <f t="shared" si="7"/>
        <v>1.0394901772195685E-6</v>
      </c>
      <c r="Z96" s="8">
        <f t="shared" si="8"/>
        <v>9.0980523247960163E-8</v>
      </c>
      <c r="AA96" s="8">
        <f t="shared" ref="AA96:AA159" si="26">ATAN($B$62*B96)</f>
        <v>0</v>
      </c>
      <c r="AB96" s="8">
        <f t="shared" ref="AB96:AB159" si="27">ATAN($B$63*B96)</f>
        <v>0</v>
      </c>
      <c r="AC96" s="8">
        <f t="shared" si="9"/>
        <v>-7.0555994804244289E-5</v>
      </c>
      <c r="AD96" s="8">
        <f t="shared" ref="AD96:AD159" si="28">(180/PI())*(AC96+T96+U96+V96-W96-X96-Y96-Z96+AA96-AB96)</f>
        <v>-1.9210411411976092E-2</v>
      </c>
      <c r="AF96" s="23">
        <f t="shared" ref="AF96:AF159" si="29">20*LOG10($B$30*$B$53)-F96-P96+Q96</f>
        <v>14.300108295981738</v>
      </c>
      <c r="AG96" s="8">
        <f t="shared" ref="AG96:AG159" si="30">(-S96+AA96-AB96)*180/3.14</f>
        <v>-4.0446111671222839E-3</v>
      </c>
      <c r="AI96" s="12">
        <f t="shared" ref="AI96:AI159" si="31">20*LOG10($B$47)-N96+H96+I96</f>
        <v>-13.979400086723416</v>
      </c>
      <c r="AJ96" s="8">
        <f t="shared" ref="AJ96:AJ159" si="32">(-Y96+U96+V96)*180/3.14</f>
        <v>-4.2660026815536494E-5</v>
      </c>
      <c r="AL96" s="12">
        <f t="shared" ref="AL96:AL159" si="33">20*LOG10($B$32)-J96+G96-K96-O96</f>
        <v>39.999999617107946</v>
      </c>
      <c r="AM96" s="8">
        <f t="shared" ref="AM96:AM159" si="34">((-W96-X96+T96-Z96)*180/3.14)+180</f>
        <v>179.98486711598238</v>
      </c>
    </row>
    <row r="97" spans="1:39" x14ac:dyDescent="0.25">
      <c r="A97" s="22">
        <v>0.3</v>
      </c>
      <c r="B97" s="8">
        <f t="shared" si="10"/>
        <v>1.8849555921538759</v>
      </c>
      <c r="C97" s="9">
        <f t="shared" si="11"/>
        <v>40.320708229946462</v>
      </c>
      <c r="D97" s="9">
        <f t="shared" si="12"/>
        <v>0.99999999975786735</v>
      </c>
      <c r="E97" s="9">
        <f t="shared" si="13"/>
        <v>1.0583399237046633E-4</v>
      </c>
      <c r="F97" s="9">
        <f t="shared" si="14"/>
        <v>4.6541465613450614E-8</v>
      </c>
      <c r="G97" s="9">
        <f t="shared" si="15"/>
        <v>1.2037281238523307E-8</v>
      </c>
      <c r="H97" s="9">
        <f t="shared" si="16"/>
        <v>8.5246548043306394E-13</v>
      </c>
      <c r="I97" s="9">
        <f t="shared" si="17"/>
        <v>0</v>
      </c>
      <c r="J97" s="9">
        <f t="shared" si="18"/>
        <v>8.7354427715249322E-7</v>
      </c>
      <c r="K97" s="9">
        <f t="shared" si="19"/>
        <v>0</v>
      </c>
      <c r="L97" s="9">
        <f t="shared" si="20"/>
        <v>0.99999999999967037</v>
      </c>
      <c r="M97" s="9">
        <f t="shared" si="21"/>
        <v>1.5592352658296861E-6</v>
      </c>
      <c r="N97" s="9">
        <f t="shared" si="22"/>
        <v>7.6953331830918232E-12</v>
      </c>
      <c r="O97" s="9">
        <f t="shared" si="0"/>
        <v>8.100350719047573E-14</v>
      </c>
      <c r="P97" s="9">
        <f t="shared" si="23"/>
        <v>0</v>
      </c>
      <c r="Q97" s="9">
        <f t="shared" si="24"/>
        <v>0</v>
      </c>
      <c r="R97" s="23">
        <f t="shared" si="25"/>
        <v>40.320707321891078</v>
      </c>
      <c r="S97" s="8">
        <f t="shared" si="1"/>
        <v>1.0583399200094921E-4</v>
      </c>
      <c r="T97" s="8">
        <f t="shared" si="2"/>
        <v>5.2646809640217598E-5</v>
      </c>
      <c r="U97" s="8">
        <f t="shared" si="3"/>
        <v>4.4296456415613187E-7</v>
      </c>
      <c r="V97" s="8">
        <f t="shared" si="4"/>
        <v>0</v>
      </c>
      <c r="W97" s="8">
        <f t="shared" si="5"/>
        <v>4.4848745397143154E-4</v>
      </c>
      <c r="X97" s="8">
        <f t="shared" si="6"/>
        <v>0</v>
      </c>
      <c r="Y97" s="8">
        <f t="shared" si="7"/>
        <v>1.5592352658289365E-6</v>
      </c>
      <c r="Z97" s="8">
        <f t="shared" si="8"/>
        <v>1.3647078487193975E-7</v>
      </c>
      <c r="AA97" s="8">
        <f t="shared" si="26"/>
        <v>0</v>
      </c>
      <c r="AB97" s="8">
        <f t="shared" si="27"/>
        <v>0</v>
      </c>
      <c r="AC97" s="8">
        <f t="shared" si="9"/>
        <v>-1.0583399200094921E-4</v>
      </c>
      <c r="AD97" s="8">
        <f t="shared" si="28"/>
        <v>-2.8815616150593328E-2</v>
      </c>
      <c r="AF97" s="23">
        <f t="shared" si="29"/>
        <v>14.300108270125367</v>
      </c>
      <c r="AG97" s="8">
        <f t="shared" si="30"/>
        <v>-6.0669167389079169E-3</v>
      </c>
      <c r="AI97" s="12">
        <f t="shared" si="31"/>
        <v>-13.979400086727217</v>
      </c>
      <c r="AJ97" s="8">
        <f t="shared" si="32"/>
        <v>-6.3990040223281793E-5</v>
      </c>
      <c r="AL97" s="12">
        <f t="shared" si="33"/>
        <v>39.999999138492925</v>
      </c>
      <c r="AM97" s="8">
        <f t="shared" si="34"/>
        <v>179.97730067492964</v>
      </c>
    </row>
    <row r="98" spans="1:39" x14ac:dyDescent="0.25">
      <c r="A98" s="22">
        <v>0.4</v>
      </c>
      <c r="B98" s="8">
        <f t="shared" si="10"/>
        <v>2.5132741228718345</v>
      </c>
      <c r="C98" s="9">
        <f t="shared" si="11"/>
        <v>40.320708229946462</v>
      </c>
      <c r="D98" s="9">
        <f t="shared" si="12"/>
        <v>0.99999999956954189</v>
      </c>
      <c r="E98" s="9">
        <f t="shared" si="13"/>
        <v>1.4111198982704593E-4</v>
      </c>
      <c r="F98" s="9">
        <f t="shared" si="14"/>
        <v>8.2740382068913616E-8</v>
      </c>
      <c r="G98" s="9">
        <f t="shared" si="15"/>
        <v>2.1399612579239959E-8</v>
      </c>
      <c r="H98" s="9">
        <f t="shared" si="16"/>
        <v>1.5159227774216349E-12</v>
      </c>
      <c r="I98" s="9">
        <f t="shared" si="17"/>
        <v>0</v>
      </c>
      <c r="J98" s="9">
        <f t="shared" si="18"/>
        <v>1.5529674826577541E-6</v>
      </c>
      <c r="K98" s="9">
        <f t="shared" si="19"/>
        <v>0</v>
      </c>
      <c r="L98" s="9">
        <f t="shared" si="20"/>
        <v>0.99999999999941391</v>
      </c>
      <c r="M98" s="9">
        <f t="shared" si="21"/>
        <v>2.0789803544395813E-6</v>
      </c>
      <c r="N98" s="9">
        <f t="shared" si="22"/>
        <v>1.3679949440514157E-11</v>
      </c>
      <c r="O98" s="9">
        <f t="shared" si="0"/>
        <v>1.4272046504988532E-13</v>
      </c>
      <c r="P98" s="9">
        <f t="shared" si="23"/>
        <v>0</v>
      </c>
      <c r="Q98" s="9">
        <f t="shared" si="24"/>
        <v>0</v>
      </c>
      <c r="R98" s="23">
        <f t="shared" si="25"/>
        <v>40.320706615625902</v>
      </c>
      <c r="S98" s="8">
        <f t="shared" si="1"/>
        <v>1.411119889511535E-4</v>
      </c>
      <c r="T98" s="8">
        <f t="shared" si="2"/>
        <v>7.0195746136515164E-5</v>
      </c>
      <c r="U98" s="8">
        <f t="shared" si="3"/>
        <v>5.9061941887481238E-7</v>
      </c>
      <c r="V98" s="8">
        <f t="shared" si="4"/>
        <v>0</v>
      </c>
      <c r="W98" s="8">
        <f t="shared" si="5"/>
        <v>5.9798324077848109E-4</v>
      </c>
      <c r="X98" s="8">
        <f t="shared" si="6"/>
        <v>0</v>
      </c>
      <c r="Y98" s="8">
        <f t="shared" si="7"/>
        <v>2.0789803544378047E-6</v>
      </c>
      <c r="Z98" s="8">
        <f t="shared" si="8"/>
        <v>1.8196104649591882E-7</v>
      </c>
      <c r="AA98" s="8">
        <f t="shared" si="26"/>
        <v>0</v>
      </c>
      <c r="AB98" s="8">
        <f t="shared" si="27"/>
        <v>0</v>
      </c>
      <c r="AC98" s="8">
        <f t="shared" si="9"/>
        <v>-1.411119889511535E-4</v>
      </c>
      <c r="AD98" s="8">
        <f t="shared" si="28"/>
        <v>-3.8420819728365897E-2</v>
      </c>
      <c r="AF98" s="23">
        <f t="shared" si="29"/>
        <v>14.300108233926451</v>
      </c>
      <c r="AG98" s="8">
        <f t="shared" si="30"/>
        <v>-8.0892222965629392E-3</v>
      </c>
      <c r="AI98" s="12">
        <f t="shared" si="31"/>
        <v>-13.979400086732539</v>
      </c>
      <c r="AJ98" s="8">
        <f t="shared" si="32"/>
        <v>-8.5320053630999547E-5</v>
      </c>
      <c r="AL98" s="12">
        <f t="shared" si="33"/>
        <v>39.99999846843199</v>
      </c>
      <c r="AM98" s="8">
        <f t="shared" si="34"/>
        <v>179.96973423502422</v>
      </c>
    </row>
    <row r="99" spans="1:39" x14ac:dyDescent="0.25">
      <c r="A99" s="22">
        <v>0.5</v>
      </c>
      <c r="B99" s="8">
        <f t="shared" si="10"/>
        <v>3.1415926535897931</v>
      </c>
      <c r="C99" s="9">
        <f t="shared" si="11"/>
        <v>40.320708229946462</v>
      </c>
      <c r="D99" s="9">
        <f t="shared" si="12"/>
        <v>0.99999999932740913</v>
      </c>
      <c r="E99" s="9">
        <f t="shared" si="13"/>
        <v>1.7638998728341767E-4</v>
      </c>
      <c r="F99" s="9">
        <f t="shared" si="14"/>
        <v>1.2928184723901775E-7</v>
      </c>
      <c r="G99" s="9">
        <f t="shared" si="15"/>
        <v>3.3436893788106757E-8</v>
      </c>
      <c r="H99" s="9">
        <f t="shared" si="16"/>
        <v>2.36838825785455E-12</v>
      </c>
      <c r="I99" s="9">
        <f t="shared" si="17"/>
        <v>0</v>
      </c>
      <c r="J99" s="9">
        <f t="shared" si="18"/>
        <v>2.426511447406545E-6</v>
      </c>
      <c r="K99" s="9">
        <f t="shared" si="19"/>
        <v>0</v>
      </c>
      <c r="L99" s="9">
        <f t="shared" si="20"/>
        <v>0.99999999999908429</v>
      </c>
      <c r="M99" s="9">
        <f t="shared" si="21"/>
        <v>2.5987254430494767E-6</v>
      </c>
      <c r="N99" s="9">
        <f t="shared" si="22"/>
        <v>2.1375282623593859E-11</v>
      </c>
      <c r="O99" s="9">
        <f t="shared" si="0"/>
        <v>2.2372397224035973E-13</v>
      </c>
      <c r="P99" s="9">
        <f t="shared" si="23"/>
        <v>0</v>
      </c>
      <c r="Q99" s="9">
        <f t="shared" si="24"/>
        <v>0</v>
      </c>
      <c r="R99" s="23">
        <f t="shared" si="25"/>
        <v>40.320705707570831</v>
      </c>
      <c r="S99" s="8">
        <f t="shared" si="1"/>
        <v>1.7638998557269029E-4</v>
      </c>
      <c r="T99" s="8">
        <f t="shared" si="2"/>
        <v>8.774468258957703E-5</v>
      </c>
      <c r="U99" s="8">
        <f t="shared" si="3"/>
        <v>7.3827427359346722E-7</v>
      </c>
      <c r="V99" s="8">
        <f t="shared" si="4"/>
        <v>0</v>
      </c>
      <c r="W99" s="8">
        <f t="shared" si="5"/>
        <v>7.4747900085688922E-4</v>
      </c>
      <c r="X99" s="8">
        <f t="shared" si="6"/>
        <v>0</v>
      </c>
      <c r="Y99" s="8">
        <f t="shared" si="7"/>
        <v>2.5987254430460065E-6</v>
      </c>
      <c r="Z99" s="8">
        <f t="shared" si="8"/>
        <v>2.2745130811989711E-7</v>
      </c>
      <c r="AA99" s="8">
        <f t="shared" si="26"/>
        <v>0</v>
      </c>
      <c r="AB99" s="8">
        <f t="shared" si="27"/>
        <v>0</v>
      </c>
      <c r="AC99" s="8">
        <f t="shared" si="9"/>
        <v>-1.7638998557269029E-4</v>
      </c>
      <c r="AD99" s="8">
        <f t="shared" si="28"/>
        <v>-4.8026021758346048E-2</v>
      </c>
      <c r="AF99" s="23">
        <f t="shared" si="29"/>
        <v>14.300108187384986</v>
      </c>
      <c r="AG99" s="8">
        <f t="shared" si="30"/>
        <v>-1.0111527835377151E-2</v>
      </c>
      <c r="AI99" s="12">
        <f t="shared" si="31"/>
        <v>-13.979400086739382</v>
      </c>
      <c r="AJ99" s="8">
        <f t="shared" si="32"/>
        <v>-1.0665006703868059E-4</v>
      </c>
      <c r="AL99" s="12">
        <f t="shared" si="33"/>
        <v>39.99999760692522</v>
      </c>
      <c r="AM99" s="8">
        <f t="shared" si="34"/>
        <v>179.96216779664854</v>
      </c>
    </row>
    <row r="100" spans="1:39" x14ac:dyDescent="0.25">
      <c r="A100" s="22">
        <v>0.6</v>
      </c>
      <c r="B100" s="8">
        <f t="shared" si="10"/>
        <v>3.7699111843077517</v>
      </c>
      <c r="C100" s="9">
        <f t="shared" si="11"/>
        <v>40.320708229946462</v>
      </c>
      <c r="D100" s="9">
        <f t="shared" si="12"/>
        <v>0.99999999903146919</v>
      </c>
      <c r="E100" s="9">
        <f t="shared" si="13"/>
        <v>2.1166798473952955E-4</v>
      </c>
      <c r="F100" s="9">
        <f t="shared" si="14"/>
        <v>1.8616585902885316E-7</v>
      </c>
      <c r="G100" s="9">
        <f t="shared" si="15"/>
        <v>4.8149126782657441E-8</v>
      </c>
      <c r="H100" s="9">
        <f t="shared" si="16"/>
        <v>3.4098619217317541E-12</v>
      </c>
      <c r="I100" s="9">
        <f t="shared" si="17"/>
        <v>0</v>
      </c>
      <c r="J100" s="9">
        <f t="shared" si="18"/>
        <v>3.4941760549707956E-6</v>
      </c>
      <c r="K100" s="9">
        <f t="shared" si="19"/>
        <v>0</v>
      </c>
      <c r="L100" s="9">
        <f t="shared" si="20"/>
        <v>0.99999999999868139</v>
      </c>
      <c r="M100" s="9">
        <f t="shared" si="21"/>
        <v>3.1184705316593722E-6</v>
      </c>
      <c r="N100" s="9">
        <f t="shared" si="22"/>
        <v>3.0781332732326386E-11</v>
      </c>
      <c r="O100" s="9">
        <f t="shared" si="0"/>
        <v>3.2401402876189843E-13</v>
      </c>
      <c r="P100" s="9">
        <f t="shared" si="23"/>
        <v>0</v>
      </c>
      <c r="Q100" s="9">
        <f t="shared" si="24"/>
        <v>0</v>
      </c>
      <c r="R100" s="23">
        <f t="shared" si="25"/>
        <v>40.320704597725978</v>
      </c>
      <c r="S100" s="8">
        <f t="shared" si="1"/>
        <v>2.1166798178339267E-4</v>
      </c>
      <c r="T100" s="8">
        <f t="shared" si="2"/>
        <v>1.0529361898859428E-4</v>
      </c>
      <c r="U100" s="8">
        <f t="shared" si="3"/>
        <v>8.8592912831208988E-7</v>
      </c>
      <c r="V100" s="8">
        <f t="shared" si="4"/>
        <v>0</v>
      </c>
      <c r="W100" s="8">
        <f t="shared" si="5"/>
        <v>8.9697472752450899E-4</v>
      </c>
      <c r="X100" s="8">
        <f t="shared" si="6"/>
        <v>0</v>
      </c>
      <c r="Y100" s="8">
        <f t="shared" si="7"/>
        <v>3.1184705316533752E-6</v>
      </c>
      <c r="Z100" s="8">
        <f t="shared" si="8"/>
        <v>2.7294156974387443E-7</v>
      </c>
      <c r="AA100" s="8">
        <f t="shared" si="26"/>
        <v>0</v>
      </c>
      <c r="AB100" s="8">
        <f t="shared" si="27"/>
        <v>0</v>
      </c>
      <c r="AC100" s="8">
        <f t="shared" si="9"/>
        <v>-2.1166798178339267E-4</v>
      </c>
      <c r="AD100" s="8">
        <f t="shared" si="28"/>
        <v>-5.7631221853586427E-2</v>
      </c>
      <c r="AF100" s="23">
        <f t="shared" si="29"/>
        <v>14.300108130500973</v>
      </c>
      <c r="AG100" s="8">
        <f t="shared" si="30"/>
        <v>-1.2133833350640343E-2</v>
      </c>
      <c r="AI100" s="12">
        <f t="shared" si="31"/>
        <v>-13.979400086747745</v>
      </c>
      <c r="AJ100" s="8">
        <f t="shared" si="32"/>
        <v>-1.2798008044631571E-4</v>
      </c>
      <c r="AL100" s="12">
        <f t="shared" si="33"/>
        <v>39.999996553972743</v>
      </c>
      <c r="AM100" s="8">
        <f t="shared" si="34"/>
        <v>179.95460136018502</v>
      </c>
    </row>
    <row r="101" spans="1:39" x14ac:dyDescent="0.25">
      <c r="A101" s="22">
        <v>0.7</v>
      </c>
      <c r="B101" s="8">
        <f t="shared" si="10"/>
        <v>4.3982297150257104</v>
      </c>
      <c r="C101" s="9">
        <f t="shared" si="11"/>
        <v>40.320708229946462</v>
      </c>
      <c r="D101" s="9">
        <f t="shared" si="12"/>
        <v>0.99999999868172196</v>
      </c>
      <c r="E101" s="9">
        <f t="shared" si="13"/>
        <v>2.4694598219532961E-4</v>
      </c>
      <c r="F101" s="9">
        <f t="shared" si="14"/>
        <v>2.5339241723521946E-7</v>
      </c>
      <c r="G101" s="9">
        <f t="shared" si="15"/>
        <v>6.5536311549299439E-8</v>
      </c>
      <c r="H101" s="9">
        <f t="shared" si="16"/>
        <v>4.6403437690531782E-12</v>
      </c>
      <c r="I101" s="9">
        <f t="shared" si="17"/>
        <v>0</v>
      </c>
      <c r="J101" s="9">
        <f t="shared" si="18"/>
        <v>4.7559611624067141E-6</v>
      </c>
      <c r="K101" s="9">
        <f t="shared" si="19"/>
        <v>0</v>
      </c>
      <c r="L101" s="9">
        <f t="shared" si="20"/>
        <v>0.99999999999820521</v>
      </c>
      <c r="M101" s="9">
        <f t="shared" si="21"/>
        <v>3.6382156202692676E-6</v>
      </c>
      <c r="N101" s="9">
        <f t="shared" si="22"/>
        <v>4.189617111177307E-11</v>
      </c>
      <c r="O101" s="9">
        <f t="shared" si="0"/>
        <v>4.3973332474828777E-13</v>
      </c>
      <c r="P101" s="9">
        <f t="shared" si="23"/>
        <v>0</v>
      </c>
      <c r="Q101" s="9">
        <f t="shared" si="24"/>
        <v>0</v>
      </c>
      <c r="R101" s="23">
        <f t="shared" si="25"/>
        <v>40.320703286091501</v>
      </c>
      <c r="S101" s="8">
        <f t="shared" si="1"/>
        <v>2.4694597750109378E-4</v>
      </c>
      <c r="T101" s="8">
        <f t="shared" si="2"/>
        <v>1.2284255532275801E-4</v>
      </c>
      <c r="U101" s="8">
        <f t="shared" si="3"/>
        <v>1.033583983030674E-6</v>
      </c>
      <c r="V101" s="8">
        <f t="shared" si="4"/>
        <v>0</v>
      </c>
      <c r="W101" s="8">
        <f t="shared" si="5"/>
        <v>1.0464704140992023E-3</v>
      </c>
      <c r="X101" s="8">
        <f t="shared" si="6"/>
        <v>0</v>
      </c>
      <c r="Y101" s="8">
        <f t="shared" si="7"/>
        <v>3.6382156202597448E-6</v>
      </c>
      <c r="Z101" s="8">
        <f t="shared" si="8"/>
        <v>3.1843183136785068E-7</v>
      </c>
      <c r="AA101" s="8">
        <f t="shared" si="26"/>
        <v>0</v>
      </c>
      <c r="AB101" s="8">
        <f t="shared" si="27"/>
        <v>0</v>
      </c>
      <c r="AC101" s="8">
        <f t="shared" si="9"/>
        <v>-2.4694597750109378E-4</v>
      </c>
      <c r="AD101" s="8">
        <f t="shared" si="28"/>
        <v>-6.723641962714022E-2</v>
      </c>
      <c r="AF101" s="23">
        <f t="shared" si="29"/>
        <v>14.300108063274417</v>
      </c>
      <c r="AG101" s="8">
        <f t="shared" si="30"/>
        <v>-1.4156138837642319E-2</v>
      </c>
      <c r="AI101" s="12">
        <f t="shared" si="31"/>
        <v>-13.97940008675763</v>
      </c>
      <c r="AJ101" s="8">
        <f t="shared" si="32"/>
        <v>-1.4931009385389576E-4</v>
      </c>
      <c r="AL101" s="12">
        <f t="shared" si="33"/>
        <v>39.999995309574707</v>
      </c>
      <c r="AM101" s="8">
        <f t="shared" si="34"/>
        <v>179.9470349260161</v>
      </c>
    </row>
    <row r="102" spans="1:39" x14ac:dyDescent="0.25">
      <c r="A102" s="22">
        <v>0.8</v>
      </c>
      <c r="B102" s="8">
        <f t="shared" si="10"/>
        <v>5.026548245743669</v>
      </c>
      <c r="C102" s="9">
        <f t="shared" si="11"/>
        <v>40.320708229946462</v>
      </c>
      <c r="D102" s="9">
        <f t="shared" si="12"/>
        <v>0.99999999827816743</v>
      </c>
      <c r="E102" s="9">
        <f t="shared" si="13"/>
        <v>2.8222397965076596E-4</v>
      </c>
      <c r="F102" s="9">
        <f t="shared" si="14"/>
        <v>3.3096152161797063E-7</v>
      </c>
      <c r="G102" s="9">
        <f t="shared" si="15"/>
        <v>8.5598448071968823E-8</v>
      </c>
      <c r="H102" s="9">
        <f t="shared" si="16"/>
        <v>6.0598337998187422E-12</v>
      </c>
      <c r="I102" s="9">
        <f t="shared" si="17"/>
        <v>0</v>
      </c>
      <c r="J102" s="9">
        <f t="shared" si="18"/>
        <v>6.2118665983261728E-6</v>
      </c>
      <c r="K102" s="9">
        <f t="shared" si="19"/>
        <v>0</v>
      </c>
      <c r="L102" s="9">
        <f t="shared" si="20"/>
        <v>0.99999999999765588</v>
      </c>
      <c r="M102" s="9">
        <f t="shared" si="21"/>
        <v>4.1579607088791626E-6</v>
      </c>
      <c r="N102" s="9">
        <f t="shared" si="22"/>
        <v>5.4723655071793554E-11</v>
      </c>
      <c r="O102" s="9">
        <f t="shared" si="0"/>
        <v>5.7473917006574018E-13</v>
      </c>
      <c r="P102" s="9">
        <f t="shared" si="23"/>
        <v>0</v>
      </c>
      <c r="Q102" s="9">
        <f t="shared" si="24"/>
        <v>0</v>
      </c>
      <c r="R102" s="23">
        <f t="shared" si="25"/>
        <v>40.320701772667555</v>
      </c>
      <c r="S102" s="8">
        <f t="shared" si="1"/>
        <v>2.8222397264362684E-4</v>
      </c>
      <c r="T102" s="8">
        <f t="shared" si="2"/>
        <v>1.4039149158125928E-4</v>
      </c>
      <c r="U102" s="8">
        <f t="shared" si="3"/>
        <v>1.1812388377492129E-6</v>
      </c>
      <c r="V102" s="8">
        <f t="shared" si="4"/>
        <v>0</v>
      </c>
      <c r="W102" s="8">
        <f t="shared" si="5"/>
        <v>1.1959660538988421E-3</v>
      </c>
      <c r="X102" s="8">
        <f t="shared" si="6"/>
        <v>0</v>
      </c>
      <c r="Y102" s="8">
        <f t="shared" si="7"/>
        <v>4.1579607088649477E-6</v>
      </c>
      <c r="Z102" s="8">
        <f t="shared" si="8"/>
        <v>3.6392209299182562E-7</v>
      </c>
      <c r="AA102" s="8">
        <f t="shared" si="26"/>
        <v>0</v>
      </c>
      <c r="AB102" s="8">
        <f t="shared" si="27"/>
        <v>0</v>
      </c>
      <c r="AC102" s="8">
        <f t="shared" si="9"/>
        <v>-2.8222397264362684E-4</v>
      </c>
      <c r="AD102" s="8">
        <f t="shared" si="28"/>
        <v>-7.684161469206123E-2</v>
      </c>
      <c r="AF102" s="23">
        <f t="shared" si="29"/>
        <v>14.300107985705312</v>
      </c>
      <c r="AG102" s="8">
        <f t="shared" si="30"/>
        <v>-1.6178444291672874E-2</v>
      </c>
      <c r="AI102" s="12">
        <f t="shared" si="31"/>
        <v>-13.97940008676904</v>
      </c>
      <c r="AJ102" s="8">
        <f t="shared" si="32"/>
        <v>-1.7064010726141154E-4</v>
      </c>
      <c r="AL102" s="12">
        <f t="shared" si="33"/>
        <v>39.999993873731277</v>
      </c>
      <c r="AM102" s="8">
        <f t="shared" si="34"/>
        <v>179.93946849452422</v>
      </c>
    </row>
    <row r="103" spans="1:39" x14ac:dyDescent="0.25">
      <c r="A103" s="22">
        <v>0.9</v>
      </c>
      <c r="B103" s="8">
        <f t="shared" si="10"/>
        <v>5.6548667764616276</v>
      </c>
      <c r="C103" s="9">
        <f t="shared" si="11"/>
        <v>40.320708229946462</v>
      </c>
      <c r="D103" s="9">
        <f t="shared" si="12"/>
        <v>0.99999999782080573</v>
      </c>
      <c r="E103" s="9">
        <f t="shared" si="13"/>
        <v>3.1750197710578656E-4</v>
      </c>
      <c r="F103" s="9">
        <f t="shared" si="14"/>
        <v>4.1887317190001508E-7</v>
      </c>
      <c r="G103" s="9">
        <f t="shared" si="15"/>
        <v>1.0833553440347533E-7</v>
      </c>
      <c r="H103" s="9">
        <f t="shared" si="16"/>
        <v>7.6683320140283542E-12</v>
      </c>
      <c r="I103" s="9">
        <f t="shared" si="17"/>
        <v>0</v>
      </c>
      <c r="J103" s="9">
        <f t="shared" si="18"/>
        <v>7.8618921706113683E-6</v>
      </c>
      <c r="K103" s="9">
        <f t="shared" si="19"/>
        <v>0</v>
      </c>
      <c r="L103" s="9">
        <f t="shared" si="20"/>
        <v>0.99999999999703315</v>
      </c>
      <c r="M103" s="9">
        <f t="shared" si="21"/>
        <v>4.6777057974890581E-6</v>
      </c>
      <c r="N103" s="9">
        <f t="shared" si="22"/>
        <v>6.9257998647580957E-11</v>
      </c>
      <c r="O103" s="9">
        <f t="shared" si="0"/>
        <v>7.2903156471425442E-13</v>
      </c>
      <c r="P103" s="9">
        <f t="shared" si="23"/>
        <v>0</v>
      </c>
      <c r="Q103" s="9">
        <f t="shared" si="24"/>
        <v>0</v>
      </c>
      <c r="R103" s="23">
        <f t="shared" si="25"/>
        <v>40.320700057454331</v>
      </c>
      <c r="S103" s="8">
        <f t="shared" si="1"/>
        <v>3.1750196712882487E-4</v>
      </c>
      <c r="T103" s="8">
        <f t="shared" si="2"/>
        <v>1.5794042775328917E-4</v>
      </c>
      <c r="U103" s="8">
        <f t="shared" si="3"/>
        <v>1.3288936924677003E-6</v>
      </c>
      <c r="V103" s="8">
        <f t="shared" si="4"/>
        <v>0</v>
      </c>
      <c r="W103" s="8">
        <f t="shared" si="5"/>
        <v>1.3454616402413136E-3</v>
      </c>
      <c r="X103" s="8">
        <f t="shared" si="6"/>
        <v>0</v>
      </c>
      <c r="Y103" s="8">
        <f t="shared" si="7"/>
        <v>4.6777057974688182E-6</v>
      </c>
      <c r="Z103" s="8">
        <f t="shared" si="8"/>
        <v>4.0941235461579896E-7</v>
      </c>
      <c r="AA103" s="8">
        <f t="shared" si="26"/>
        <v>0</v>
      </c>
      <c r="AB103" s="8">
        <f t="shared" si="27"/>
        <v>0</v>
      </c>
      <c r="AC103" s="8">
        <f t="shared" si="9"/>
        <v>-3.1750196712882487E-4</v>
      </c>
      <c r="AD103" s="8">
        <f t="shared" si="28"/>
        <v>-8.6446806661403988E-2</v>
      </c>
      <c r="AF103" s="23">
        <f t="shared" si="29"/>
        <v>14.30010789779366</v>
      </c>
      <c r="AG103" s="8">
        <f t="shared" si="30"/>
        <v>-1.8200749708021807E-2</v>
      </c>
      <c r="AI103" s="12">
        <f t="shared" si="31"/>
        <v>-13.979400086781965</v>
      </c>
      <c r="AJ103" s="8">
        <f t="shared" si="32"/>
        <v>-1.9197012066885389E-4</v>
      </c>
      <c r="AL103" s="12">
        <f t="shared" si="33"/>
        <v>39.999992246442631</v>
      </c>
      <c r="AM103" s="8">
        <f t="shared" si="34"/>
        <v>179.93190206609182</v>
      </c>
    </row>
    <row r="104" spans="1:39" x14ac:dyDescent="0.25">
      <c r="A104" s="22">
        <v>1</v>
      </c>
      <c r="B104" s="8">
        <f t="shared" si="10"/>
        <v>6.2831853071795862</v>
      </c>
      <c r="C104" s="9">
        <f t="shared" si="11"/>
        <v>40.320708229946462</v>
      </c>
      <c r="D104" s="9">
        <f t="shared" si="12"/>
        <v>0.99999999730963662</v>
      </c>
      <c r="E104" s="9">
        <f t="shared" si="13"/>
        <v>3.5277997456033944E-4</v>
      </c>
      <c r="F104" s="9">
        <f t="shared" si="14"/>
        <v>5.1712736776731598E-7</v>
      </c>
      <c r="G104" s="9">
        <f t="shared" si="15"/>
        <v>1.3374757438012213E-7</v>
      </c>
      <c r="H104" s="9">
        <f t="shared" si="16"/>
        <v>9.469695721548119E-12</v>
      </c>
      <c r="I104" s="9">
        <f t="shared" si="17"/>
        <v>0</v>
      </c>
      <c r="J104" s="9">
        <f t="shared" si="18"/>
        <v>9.7060376567716133E-6</v>
      </c>
      <c r="K104" s="9">
        <f t="shared" si="19"/>
        <v>0</v>
      </c>
      <c r="L104" s="9">
        <f t="shared" si="20"/>
        <v>0.99999999999633726</v>
      </c>
      <c r="M104" s="9">
        <f t="shared" si="21"/>
        <v>5.1974508860989535E-6</v>
      </c>
      <c r="N104" s="9">
        <f t="shared" si="22"/>
        <v>8.5504987803926012E-11</v>
      </c>
      <c r="O104" s="9">
        <f t="shared" si="0"/>
        <v>8.987531988276171E-13</v>
      </c>
      <c r="P104" s="9">
        <f t="shared" si="23"/>
        <v>0</v>
      </c>
      <c r="Q104" s="9">
        <f t="shared" si="24"/>
        <v>0</v>
      </c>
      <c r="R104" s="23">
        <f t="shared" si="25"/>
        <v>40.32069814045208</v>
      </c>
      <c r="S104" s="8">
        <f t="shared" si="1"/>
        <v>3.5277996087452112E-4</v>
      </c>
      <c r="T104" s="8">
        <f t="shared" si="2"/>
        <v>1.7548936382803877E-4</v>
      </c>
      <c r="U104" s="8">
        <f t="shared" si="3"/>
        <v>1.4765485471861298E-6</v>
      </c>
      <c r="V104" s="8">
        <f t="shared" si="4"/>
        <v>0</v>
      </c>
      <c r="W104" s="8">
        <f t="shared" si="5"/>
        <v>1.4949571664445165E-3</v>
      </c>
      <c r="X104" s="8">
        <f t="shared" si="6"/>
        <v>0</v>
      </c>
      <c r="Y104" s="8">
        <f t="shared" si="7"/>
        <v>5.1974508860711903E-6</v>
      </c>
      <c r="Z104" s="8">
        <f t="shared" si="8"/>
        <v>4.5490261623977067E-7</v>
      </c>
      <c r="AA104" s="8">
        <f t="shared" si="26"/>
        <v>0</v>
      </c>
      <c r="AB104" s="8">
        <f t="shared" si="27"/>
        <v>0</v>
      </c>
      <c r="AC104" s="8">
        <f t="shared" si="9"/>
        <v>-3.5277996087452112E-4</v>
      </c>
      <c r="AD104" s="8">
        <f t="shared" si="28"/>
        <v>-9.6051995148223782E-2</v>
      </c>
      <c r="AF104" s="23">
        <f t="shared" si="29"/>
        <v>14.300107799539465</v>
      </c>
      <c r="AG104" s="8">
        <f t="shared" si="30"/>
        <v>-2.0223055081978917E-2</v>
      </c>
      <c r="AI104" s="12">
        <f t="shared" si="31"/>
        <v>-13.97940008679641</v>
      </c>
      <c r="AJ104" s="8">
        <f t="shared" si="32"/>
        <v>-2.1330013407621365E-4</v>
      </c>
      <c r="AL104" s="12">
        <f t="shared" si="33"/>
        <v>39.999990427709022</v>
      </c>
      <c r="AM104" s="8">
        <f t="shared" si="34"/>
        <v>179.92433564110132</v>
      </c>
    </row>
    <row r="105" spans="1:39" x14ac:dyDescent="0.25">
      <c r="A105" s="22">
        <v>2</v>
      </c>
      <c r="B105" s="8">
        <f t="shared" si="10"/>
        <v>12.566370614359172</v>
      </c>
      <c r="C105" s="9">
        <f t="shared" si="11"/>
        <v>40.320708229946462</v>
      </c>
      <c r="D105" s="9">
        <f t="shared" si="12"/>
        <v>0.99999998923854672</v>
      </c>
      <c r="E105" s="9">
        <f t="shared" si="13"/>
        <v>7.0555994906871156E-4</v>
      </c>
      <c r="F105" s="9">
        <f t="shared" si="14"/>
        <v>2.0685090992621205E-6</v>
      </c>
      <c r="G105" s="9">
        <f t="shared" si="15"/>
        <v>5.3499026973437208E-7</v>
      </c>
      <c r="H105" s="9">
        <f t="shared" si="16"/>
        <v>3.7874925576264331E-11</v>
      </c>
      <c r="I105" s="9">
        <f t="shared" si="17"/>
        <v>0</v>
      </c>
      <c r="J105" s="9">
        <f t="shared" si="18"/>
        <v>3.8824020474866743E-5</v>
      </c>
      <c r="K105" s="9">
        <f t="shared" si="19"/>
        <v>0</v>
      </c>
      <c r="L105" s="9">
        <f t="shared" si="20"/>
        <v>0.99999999998534905</v>
      </c>
      <c r="M105" s="9">
        <f t="shared" si="21"/>
        <v>1.0394901772197907E-5</v>
      </c>
      <c r="N105" s="9">
        <f t="shared" si="22"/>
        <v>3.4201609390078765E-10</v>
      </c>
      <c r="O105" s="9">
        <f t="shared" si="0"/>
        <v>3.5950127953099102E-12</v>
      </c>
      <c r="P105" s="9">
        <f t="shared" si="23"/>
        <v>0</v>
      </c>
      <c r="Q105" s="9">
        <f t="shared" si="24"/>
        <v>0</v>
      </c>
      <c r="R105" s="23">
        <f t="shared" si="25"/>
        <v>40.320667872099428</v>
      </c>
      <c r="S105" s="8">
        <f t="shared" si="1"/>
        <v>7.0555983958218841E-4</v>
      </c>
      <c r="T105" s="8">
        <f t="shared" si="2"/>
        <v>3.5097871684715591E-4</v>
      </c>
      <c r="U105" s="8">
        <f t="shared" si="3"/>
        <v>2.9530970943658212E-6</v>
      </c>
      <c r="V105" s="8">
        <f t="shared" si="4"/>
        <v>0</v>
      </c>
      <c r="W105" s="8">
        <f t="shared" si="5"/>
        <v>2.9899076507685389E-3</v>
      </c>
      <c r="X105" s="8">
        <f t="shared" si="6"/>
        <v>0</v>
      </c>
      <c r="Y105" s="8">
        <f t="shared" si="7"/>
        <v>1.0394901771975798E-5</v>
      </c>
      <c r="Z105" s="8">
        <f t="shared" si="8"/>
        <v>9.0980523247935308E-7</v>
      </c>
      <c r="AA105" s="8">
        <f t="shared" si="26"/>
        <v>0</v>
      </c>
      <c r="AB105" s="8">
        <f t="shared" si="27"/>
        <v>0</v>
      </c>
      <c r="AC105" s="8">
        <f t="shared" si="9"/>
        <v>-7.0555983958218841E-4</v>
      </c>
      <c r="AD105" s="8">
        <f t="shared" si="28"/>
        <v>-0.19210360335062751</v>
      </c>
      <c r="AF105" s="23">
        <f t="shared" si="29"/>
        <v>14.300106248157734</v>
      </c>
      <c r="AG105" s="8">
        <f t="shared" si="30"/>
        <v>-4.0446105453756022E-2</v>
      </c>
      <c r="AI105" s="12">
        <f t="shared" si="31"/>
        <v>-13.979400087024516</v>
      </c>
      <c r="AJ105" s="8">
        <f t="shared" si="32"/>
        <v>-4.266002681432471E-4</v>
      </c>
      <c r="AL105" s="12">
        <f t="shared" si="33"/>
        <v>39.999961710966204</v>
      </c>
      <c r="AM105" s="8">
        <f t="shared" si="34"/>
        <v>179.84867166463448</v>
      </c>
    </row>
    <row r="106" spans="1:39" x14ac:dyDescent="0.25">
      <c r="A106" s="22">
        <v>3</v>
      </c>
      <c r="B106" s="8">
        <f t="shared" si="10"/>
        <v>18.849555921538759</v>
      </c>
      <c r="C106" s="9">
        <f t="shared" si="11"/>
        <v>40.320708229946462</v>
      </c>
      <c r="D106" s="9">
        <f t="shared" si="12"/>
        <v>0.99999997578673006</v>
      </c>
      <c r="E106" s="9">
        <f t="shared" si="13"/>
        <v>1.0583399234731488E-3</v>
      </c>
      <c r="F106" s="9">
        <f t="shared" si="14"/>
        <v>4.6541440887068065E-6</v>
      </c>
      <c r="G106" s="9">
        <f t="shared" si="15"/>
        <v>1.2037280162049938E-6</v>
      </c>
      <c r="H106" s="9">
        <f t="shared" si="16"/>
        <v>8.5215689563962853E-11</v>
      </c>
      <c r="I106" s="9">
        <f t="shared" si="17"/>
        <v>0</v>
      </c>
      <c r="J106" s="9">
        <f t="shared" si="18"/>
        <v>8.7353558005119462E-5</v>
      </c>
      <c r="K106" s="9">
        <f t="shared" si="19"/>
        <v>0</v>
      </c>
      <c r="L106" s="9">
        <f t="shared" si="20"/>
        <v>0.99999999996703548</v>
      </c>
      <c r="M106" s="9">
        <f t="shared" si="21"/>
        <v>1.5592352658296861E-5</v>
      </c>
      <c r="N106" s="9">
        <f t="shared" si="22"/>
        <v>7.6953717558530033E-10</v>
      </c>
      <c r="O106" s="9">
        <f t="shared" si="0"/>
        <v>8.0887787894452052E-12</v>
      </c>
      <c r="P106" s="9">
        <f t="shared" si="23"/>
        <v>0</v>
      </c>
      <c r="Q106" s="9">
        <f t="shared" si="24"/>
        <v>0</v>
      </c>
      <c r="R106" s="23">
        <f t="shared" si="25"/>
        <v>40.320617425279977</v>
      </c>
      <c r="S106" s="8">
        <f t="shared" si="1"/>
        <v>1.0583395539562653E-3</v>
      </c>
      <c r="T106" s="8">
        <f t="shared" si="2"/>
        <v>5.2646804824843388E-4</v>
      </c>
      <c r="U106" s="8">
        <f t="shared" si="3"/>
        <v>4.4296456415326353E-6</v>
      </c>
      <c r="V106" s="8">
        <f t="shared" si="4"/>
        <v>0</v>
      </c>
      <c r="W106" s="8">
        <f t="shared" si="5"/>
        <v>4.4848447710307757E-3</v>
      </c>
      <c r="X106" s="8">
        <f t="shared" si="6"/>
        <v>0</v>
      </c>
      <c r="Y106" s="8">
        <f t="shared" si="7"/>
        <v>1.5592352657547244E-5</v>
      </c>
      <c r="Z106" s="8">
        <f t="shared" si="8"/>
        <v>1.3647078487185589E-6</v>
      </c>
      <c r="AA106" s="8">
        <f t="shared" si="26"/>
        <v>0</v>
      </c>
      <c r="AB106" s="8">
        <f t="shared" si="27"/>
        <v>0</v>
      </c>
      <c r="AC106" s="8">
        <f t="shared" si="9"/>
        <v>-1.0583395539562653E-3</v>
      </c>
      <c r="AD106" s="8">
        <f t="shared" si="28"/>
        <v>-0.28815443767166515</v>
      </c>
      <c r="AF106" s="23">
        <f t="shared" si="29"/>
        <v>14.300103662522744</v>
      </c>
      <c r="AG106" s="8">
        <f t="shared" si="30"/>
        <v>-6.066914640513623E-2</v>
      </c>
      <c r="AI106" s="12">
        <f t="shared" si="31"/>
        <v>-13.979400087404697</v>
      </c>
      <c r="AJ106" s="8">
        <f t="shared" si="32"/>
        <v>-6.3990040219192017E-4</v>
      </c>
      <c r="AL106" s="12">
        <f t="shared" si="33"/>
        <v>39.999913850161924</v>
      </c>
      <c r="AM106" s="8">
        <f t="shared" si="34"/>
        <v>179.77300845302116</v>
      </c>
    </row>
    <row r="107" spans="1:39" x14ac:dyDescent="0.25">
      <c r="A107" s="22">
        <v>4</v>
      </c>
      <c r="B107" s="8">
        <f t="shared" si="10"/>
        <v>25.132741228718345</v>
      </c>
      <c r="C107" s="9">
        <f t="shared" si="11"/>
        <v>40.320708229946462</v>
      </c>
      <c r="D107" s="9">
        <f t="shared" si="12"/>
        <v>0.99999995695418675</v>
      </c>
      <c r="E107" s="9">
        <f t="shared" si="13"/>
        <v>1.4111198977216843E-3</v>
      </c>
      <c r="F107" s="9">
        <f t="shared" si="14"/>
        <v>8.2740304886403336E-6</v>
      </c>
      <c r="G107" s="9">
        <f t="shared" si="15"/>
        <v>2.1399606864333829E-6</v>
      </c>
      <c r="H107" s="9">
        <f t="shared" si="16"/>
        <v>1.5149584499420024E-10</v>
      </c>
      <c r="I107" s="9">
        <f t="shared" si="17"/>
        <v>0</v>
      </c>
      <c r="J107" s="9">
        <f t="shared" si="18"/>
        <v>1.552939995219681E-4</v>
      </c>
      <c r="K107" s="9">
        <f t="shared" si="19"/>
        <v>0</v>
      </c>
      <c r="L107" s="9">
        <f t="shared" si="20"/>
        <v>0.99999999994139632</v>
      </c>
      <c r="M107" s="9">
        <f t="shared" si="21"/>
        <v>2.0789803544395814E-5</v>
      </c>
      <c r="N107" s="9">
        <f t="shared" si="22"/>
        <v>1.3680643755223469E-9</v>
      </c>
      <c r="O107" s="9">
        <f t="shared" si="0"/>
        <v>1.4380051181230715E-11</v>
      </c>
      <c r="P107" s="9">
        <f t="shared" si="23"/>
        <v>0</v>
      </c>
      <c r="Q107" s="9">
        <f t="shared" si="24"/>
        <v>0</v>
      </c>
      <c r="R107" s="23">
        <f t="shared" si="25"/>
        <v>40.320546800646184</v>
      </c>
      <c r="S107" s="8">
        <f t="shared" si="1"/>
        <v>1.4111190218302511E-3</v>
      </c>
      <c r="T107" s="8">
        <f t="shared" si="2"/>
        <v>7.0195734722296285E-4</v>
      </c>
      <c r="U107" s="8">
        <f t="shared" si="3"/>
        <v>5.9061941886801352E-6</v>
      </c>
      <c r="V107" s="8">
        <f t="shared" si="4"/>
        <v>0</v>
      </c>
      <c r="W107" s="8">
        <f t="shared" si="5"/>
        <v>5.9797618456483327E-3</v>
      </c>
      <c r="X107" s="8">
        <f t="shared" si="6"/>
        <v>0</v>
      </c>
      <c r="Y107" s="8">
        <f t="shared" si="7"/>
        <v>2.0789803542618946E-5</v>
      </c>
      <c r="Z107" s="8">
        <f t="shared" si="8"/>
        <v>1.8196104649571999E-6</v>
      </c>
      <c r="AA107" s="8">
        <f t="shared" si="26"/>
        <v>0</v>
      </c>
      <c r="AB107" s="8">
        <f t="shared" si="27"/>
        <v>0</v>
      </c>
      <c r="AC107" s="8">
        <f t="shared" si="9"/>
        <v>-1.4111190218302511E-3</v>
      </c>
      <c r="AD107" s="8">
        <f t="shared" si="28"/>
        <v>-0.38420411119633852</v>
      </c>
      <c r="AF107" s="23">
        <f t="shared" si="29"/>
        <v>14.300100042636345</v>
      </c>
      <c r="AG107" s="8">
        <f t="shared" si="30"/>
        <v>-8.0892173225937961E-2</v>
      </c>
      <c r="AI107" s="12">
        <f t="shared" si="31"/>
        <v>-13.979400087936943</v>
      </c>
      <c r="AJ107" s="8">
        <f t="shared" si="32"/>
        <v>-8.5320053621305283E-4</v>
      </c>
      <c r="AL107" s="12">
        <f t="shared" si="33"/>
        <v>39.999846845946784</v>
      </c>
      <c r="AM107" s="8">
        <f t="shared" si="34"/>
        <v>179.69734638866234</v>
      </c>
    </row>
    <row r="108" spans="1:39" x14ac:dyDescent="0.25">
      <c r="A108" s="22">
        <v>5</v>
      </c>
      <c r="B108" s="8">
        <f t="shared" si="10"/>
        <v>31.415926535897931</v>
      </c>
      <c r="C108" s="9">
        <f t="shared" si="11"/>
        <v>40.320708229946462</v>
      </c>
      <c r="D108" s="9">
        <f t="shared" si="12"/>
        <v>0.99999993274091681</v>
      </c>
      <c r="E108" s="9">
        <f t="shared" si="13"/>
        <v>1.7638998717623502E-3</v>
      </c>
      <c r="F108" s="9">
        <f t="shared" si="14"/>
        <v>1.2928165711849633E-5</v>
      </c>
      <c r="G108" s="9">
        <f t="shared" si="15"/>
        <v>3.3436881109893693E-6</v>
      </c>
      <c r="H108" s="9">
        <f t="shared" si="16"/>
        <v>2.3671153455667681E-10</v>
      </c>
      <c r="I108" s="9">
        <f t="shared" si="17"/>
        <v>0</v>
      </c>
      <c r="J108" s="9">
        <f t="shared" si="18"/>
        <v>2.4264443404741872E-4</v>
      </c>
      <c r="K108" s="9">
        <f t="shared" si="19"/>
        <v>0</v>
      </c>
      <c r="L108" s="9">
        <f t="shared" si="20"/>
        <v>0.9999999999084318</v>
      </c>
      <c r="M108" s="9">
        <f t="shared" si="21"/>
        <v>2.598725443049477E-5</v>
      </c>
      <c r="N108" s="9">
        <f t="shared" si="22"/>
        <v>2.1376015509864421E-9</v>
      </c>
      <c r="O108" s="9">
        <f t="shared" si="0"/>
        <v>2.2468829970662528E-11</v>
      </c>
      <c r="P108" s="9">
        <f t="shared" si="23"/>
        <v>0</v>
      </c>
      <c r="Q108" s="9">
        <f t="shared" si="24"/>
        <v>0</v>
      </c>
      <c r="R108" s="23">
        <f t="shared" si="25"/>
        <v>40.320455999111459</v>
      </c>
      <c r="S108" s="8">
        <f t="shared" si="1"/>
        <v>1.7638981610379953E-3</v>
      </c>
      <c r="T108" s="8">
        <f t="shared" si="2"/>
        <v>8.7744660296184521E-4</v>
      </c>
      <c r="U108" s="8">
        <f t="shared" si="3"/>
        <v>7.382742735801882E-6</v>
      </c>
      <c r="V108" s="8">
        <f t="shared" si="4"/>
        <v>0</v>
      </c>
      <c r="W108" s="8">
        <f t="shared" si="5"/>
        <v>7.4746521935758758E-3</v>
      </c>
      <c r="X108" s="8">
        <f t="shared" si="6"/>
        <v>0</v>
      </c>
      <c r="Y108" s="8">
        <f t="shared" si="7"/>
        <v>2.5987254427024324E-5</v>
      </c>
      <c r="Z108" s="8">
        <f t="shared" si="8"/>
        <v>2.2745130811950881E-6</v>
      </c>
      <c r="AA108" s="8">
        <f t="shared" si="26"/>
        <v>0</v>
      </c>
      <c r="AB108" s="8">
        <f t="shared" si="27"/>
        <v>0</v>
      </c>
      <c r="AC108" s="8">
        <f t="shared" si="9"/>
        <v>-1.7638981610379953E-3</v>
      </c>
      <c r="AD108" s="8">
        <f t="shared" si="28"/>
        <v>-0.48025223704046854</v>
      </c>
      <c r="AF108" s="23">
        <f t="shared" si="29"/>
        <v>14.300095388501122</v>
      </c>
      <c r="AG108" s="8">
        <f t="shared" si="30"/>
        <v>-0.10111518120599973</v>
      </c>
      <c r="AI108" s="12">
        <f t="shared" si="31"/>
        <v>-13.979400088621265</v>
      </c>
      <c r="AJ108" s="8">
        <f t="shared" si="32"/>
        <v>-1.0665006701974648E-3</v>
      </c>
      <c r="AL108" s="12">
        <f t="shared" si="33"/>
        <v>39.999760699231601</v>
      </c>
      <c r="AM108" s="8">
        <f t="shared" si="34"/>
        <v>179.62168585392831</v>
      </c>
    </row>
    <row r="109" spans="1:39" x14ac:dyDescent="0.25">
      <c r="A109" s="22">
        <v>6</v>
      </c>
      <c r="B109" s="8">
        <f t="shared" si="10"/>
        <v>37.699111843077517</v>
      </c>
      <c r="C109" s="9">
        <f t="shared" si="11"/>
        <v>40.320708229946462</v>
      </c>
      <c r="D109" s="9">
        <f t="shared" si="12"/>
        <v>0.99999990314692022</v>
      </c>
      <c r="E109" s="9">
        <f t="shared" si="13"/>
        <v>2.11667984554318E-3</v>
      </c>
      <c r="F109" s="9">
        <f t="shared" si="14"/>
        <v>1.8616546437159416E-5</v>
      </c>
      <c r="G109" s="9">
        <f t="shared" si="15"/>
        <v>4.8149100629420503E-6</v>
      </c>
      <c r="H109" s="9">
        <f t="shared" si="16"/>
        <v>3.4086468690576828E-10</v>
      </c>
      <c r="I109" s="9">
        <f t="shared" si="17"/>
        <v>0</v>
      </c>
      <c r="J109" s="9">
        <f t="shared" si="18"/>
        <v>3.4940369039192026E-4</v>
      </c>
      <c r="K109" s="9">
        <f t="shared" si="19"/>
        <v>0</v>
      </c>
      <c r="L109" s="9">
        <f t="shared" si="20"/>
        <v>0.99999999986814181</v>
      </c>
      <c r="M109" s="9">
        <f t="shared" si="21"/>
        <v>3.1184705316593723E-5</v>
      </c>
      <c r="N109" s="9">
        <f t="shared" si="22"/>
        <v>3.0781467732771999E-9</v>
      </c>
      <c r="O109" s="9">
        <f t="shared" si="0"/>
        <v>3.235511515773563E-11</v>
      </c>
      <c r="P109" s="9">
        <f t="shared" si="23"/>
        <v>0</v>
      </c>
      <c r="Q109" s="9">
        <f t="shared" si="24"/>
        <v>0</v>
      </c>
      <c r="R109" s="23">
        <f t="shared" si="25"/>
        <v>40.320345021850052</v>
      </c>
      <c r="S109" s="8">
        <f t="shared" si="1"/>
        <v>2.1166768894138191E-3</v>
      </c>
      <c r="T109" s="8">
        <f t="shared" si="2"/>
        <v>1.0529358046561996E-3</v>
      </c>
      <c r="U109" s="8">
        <f t="shared" si="3"/>
        <v>8.8592912828914356E-6</v>
      </c>
      <c r="V109" s="8">
        <f t="shared" si="4"/>
        <v>0</v>
      </c>
      <c r="W109" s="8">
        <f t="shared" si="5"/>
        <v>8.9695091344847693E-3</v>
      </c>
      <c r="X109" s="8">
        <f t="shared" si="6"/>
        <v>0</v>
      </c>
      <c r="Y109" s="8">
        <f t="shared" si="7"/>
        <v>3.1184705310596784E-5</v>
      </c>
      <c r="Z109" s="8">
        <f t="shared" si="8"/>
        <v>2.7294156974320344E-6</v>
      </c>
      <c r="AA109" s="8">
        <f t="shared" si="26"/>
        <v>0</v>
      </c>
      <c r="AB109" s="8">
        <f t="shared" si="27"/>
        <v>0</v>
      </c>
      <c r="AC109" s="8">
        <f t="shared" si="9"/>
        <v>-2.1166768894138191E-3</v>
      </c>
      <c r="AD109" s="8">
        <f t="shared" si="28"/>
        <v>-0.57629842836096601</v>
      </c>
      <c r="AF109" s="23">
        <f t="shared" si="29"/>
        <v>14.300089700120395</v>
      </c>
      <c r="AG109" s="8">
        <f t="shared" si="30"/>
        <v>-0.12133816563518708</v>
      </c>
      <c r="AI109" s="12">
        <f t="shared" si="31"/>
        <v>-13.979400089457657</v>
      </c>
      <c r="AJ109" s="8">
        <f t="shared" si="32"/>
        <v>-1.2798008041359755E-3</v>
      </c>
      <c r="AL109" s="12">
        <f t="shared" si="33"/>
        <v>39.999655411187312</v>
      </c>
      <c r="AM109" s="8">
        <f t="shared" si="34"/>
        <v>179.5460272311482</v>
      </c>
    </row>
    <row r="110" spans="1:39" x14ac:dyDescent="0.25">
      <c r="A110" s="22">
        <v>7</v>
      </c>
      <c r="B110" s="8">
        <f t="shared" si="10"/>
        <v>43.982297150257104</v>
      </c>
      <c r="C110" s="9">
        <f t="shared" si="11"/>
        <v>40.320708229946462</v>
      </c>
      <c r="D110" s="9">
        <f t="shared" si="12"/>
        <v>0.99999986817219699</v>
      </c>
      <c r="E110" s="9">
        <f t="shared" si="13"/>
        <v>2.4694598190122051E-3</v>
      </c>
      <c r="F110" s="9">
        <f t="shared" si="14"/>
        <v>2.5339168595936547E-5</v>
      </c>
      <c r="G110" s="9">
        <f t="shared" si="15"/>
        <v>6.5536262752177636E-6</v>
      </c>
      <c r="H110" s="9">
        <f t="shared" si="16"/>
        <v>4.639553020407933E-10</v>
      </c>
      <c r="I110" s="9">
        <f t="shared" si="17"/>
        <v>0</v>
      </c>
      <c r="J110" s="9">
        <f t="shared" si="18"/>
        <v>4.7557033721214875E-4</v>
      </c>
      <c r="K110" s="9">
        <f t="shared" si="19"/>
        <v>0</v>
      </c>
      <c r="L110" s="9">
        <f t="shared" si="20"/>
        <v>0.99999999982052634</v>
      </c>
      <c r="M110" s="9">
        <f t="shared" si="21"/>
        <v>3.6382156202692679E-5</v>
      </c>
      <c r="N110" s="9">
        <f t="shared" si="22"/>
        <v>4.1896981136841369E-9</v>
      </c>
      <c r="O110" s="9">
        <f t="shared" si="0"/>
        <v>4.4036978087510776E-11</v>
      </c>
      <c r="P110" s="9">
        <f t="shared" si="23"/>
        <v>0</v>
      </c>
      <c r="Q110" s="9">
        <f t="shared" si="24"/>
        <v>0</v>
      </c>
      <c r="R110" s="23">
        <f t="shared" si="25"/>
        <v>40.320213870297145</v>
      </c>
      <c r="S110" s="8">
        <f t="shared" si="1"/>
        <v>2.4694551247926282E-3</v>
      </c>
      <c r="T110" s="8">
        <f t="shared" si="2"/>
        <v>1.228424941497164E-3</v>
      </c>
      <c r="U110" s="8">
        <f t="shared" si="3"/>
        <v>1.0335839829942362E-5</v>
      </c>
      <c r="V110" s="8">
        <f t="shared" si="4"/>
        <v>0</v>
      </c>
      <c r="W110" s="8">
        <f t="shared" si="5"/>
        <v>1.0464325988942152E-2</v>
      </c>
      <c r="X110" s="8">
        <f t="shared" si="6"/>
        <v>0</v>
      </c>
      <c r="Y110" s="8">
        <f t="shared" si="7"/>
        <v>3.6382156193169772E-5</v>
      </c>
      <c r="Z110" s="8">
        <f t="shared" si="8"/>
        <v>3.1843183136678516E-6</v>
      </c>
      <c r="AA110" s="8">
        <f t="shared" si="26"/>
        <v>0</v>
      </c>
      <c r="AB110" s="8">
        <f t="shared" si="27"/>
        <v>0</v>
      </c>
      <c r="AC110" s="8">
        <f t="shared" si="9"/>
        <v>-2.4694551247926282E-3</v>
      </c>
      <c r="AD110" s="8">
        <f t="shared" si="28"/>
        <v>-0.6723422983660986</v>
      </c>
      <c r="AF110" s="23">
        <f t="shared" si="29"/>
        <v>14.300082977498237</v>
      </c>
      <c r="AG110" s="8">
        <f t="shared" si="30"/>
        <v>-0.14156112180339905</v>
      </c>
      <c r="AI110" s="12">
        <f t="shared" si="31"/>
        <v>-13.979400090446116</v>
      </c>
      <c r="AJ110" s="8">
        <f t="shared" si="32"/>
        <v>-1.4931009380194057E-3</v>
      </c>
      <c r="AL110" s="12">
        <f t="shared" si="33"/>
        <v>39.999530983245023</v>
      </c>
      <c r="AM110" s="8">
        <f t="shared" si="34"/>
        <v>179.47037090259983</v>
      </c>
    </row>
    <row r="111" spans="1:39" x14ac:dyDescent="0.25">
      <c r="A111" s="22">
        <v>8</v>
      </c>
      <c r="B111" s="8">
        <f t="shared" si="10"/>
        <v>50.26548245743669</v>
      </c>
      <c r="C111" s="9">
        <f t="shared" si="11"/>
        <v>40.320708229946462</v>
      </c>
      <c r="D111" s="9">
        <f t="shared" si="12"/>
        <v>0.99999982781674712</v>
      </c>
      <c r="E111" s="9">
        <f t="shared" si="13"/>
        <v>2.8222397921174596E-3</v>
      </c>
      <c r="F111" s="9">
        <f t="shared" si="14"/>
        <v>3.3096027391382629E-5</v>
      </c>
      <c r="G111" s="9">
        <f t="shared" si="15"/>
        <v>8.5598364232423051E-6</v>
      </c>
      <c r="H111" s="9">
        <f t="shared" si="16"/>
        <v>6.0598337996094702E-10</v>
      </c>
      <c r="I111" s="9">
        <f t="shared" si="17"/>
        <v>0</v>
      </c>
      <c r="J111" s="9">
        <f t="shared" si="18"/>
        <v>6.2114268307026732E-4</v>
      </c>
      <c r="K111" s="9">
        <f t="shared" si="19"/>
        <v>0</v>
      </c>
      <c r="L111" s="9">
        <f t="shared" si="20"/>
        <v>0.9999999997655854</v>
      </c>
      <c r="M111" s="9">
        <f t="shared" si="21"/>
        <v>4.1579607088791628E-5</v>
      </c>
      <c r="N111" s="9">
        <f t="shared" si="22"/>
        <v>5.4722594294514639E-9</v>
      </c>
      <c r="O111" s="9">
        <f t="shared" si="0"/>
        <v>5.7516347414913824E-11</v>
      </c>
      <c r="P111" s="9">
        <f t="shared" si="23"/>
        <v>0</v>
      </c>
      <c r="Q111" s="9">
        <f t="shared" si="24"/>
        <v>0</v>
      </c>
      <c r="R111" s="23">
        <f t="shared" si="25"/>
        <v>40.320062546148627</v>
      </c>
      <c r="S111" s="8">
        <f t="shared" si="1"/>
        <v>2.8222327850100362E-3</v>
      </c>
      <c r="T111" s="8">
        <f t="shared" si="2"/>
        <v>1.4039140026759005E-3</v>
      </c>
      <c r="U111" s="8">
        <f t="shared" si="3"/>
        <v>1.1812388376948218E-5</v>
      </c>
      <c r="V111" s="8">
        <f t="shared" si="4"/>
        <v>0</v>
      </c>
      <c r="W111" s="8">
        <f t="shared" si="5"/>
        <v>1.1959096078589965E-2</v>
      </c>
      <c r="X111" s="8">
        <f t="shared" si="6"/>
        <v>0</v>
      </c>
      <c r="Y111" s="8">
        <f t="shared" si="7"/>
        <v>4.1579607074576674E-5</v>
      </c>
      <c r="Z111" s="8">
        <f t="shared" si="8"/>
        <v>3.6392209299023508E-6</v>
      </c>
      <c r="AA111" s="8">
        <f t="shared" si="26"/>
        <v>0</v>
      </c>
      <c r="AB111" s="8">
        <f t="shared" si="27"/>
        <v>0</v>
      </c>
      <c r="AC111" s="8">
        <f t="shared" si="9"/>
        <v>-2.8222327850100362E-3</v>
      </c>
      <c r="AD111" s="8">
        <f t="shared" si="28"/>
        <v>-0.76838346032575422</v>
      </c>
      <c r="AF111" s="23">
        <f t="shared" si="29"/>
        <v>14.300075220639442</v>
      </c>
      <c r="AG111" s="8">
        <f t="shared" si="30"/>
        <v>-0.16178404500057533</v>
      </c>
      <c r="AI111" s="12">
        <f t="shared" si="31"/>
        <v>-13.979400091586651</v>
      </c>
      <c r="AJ111" s="8">
        <f t="shared" si="32"/>
        <v>-1.7064010718385739E-3</v>
      </c>
      <c r="AL111" s="12">
        <f t="shared" si="33"/>
        <v>39.999387417095832</v>
      </c>
      <c r="AM111" s="8">
        <f t="shared" si="34"/>
        <v>179.39471725049938</v>
      </c>
    </row>
    <row r="112" spans="1:39" x14ac:dyDescent="0.25">
      <c r="A112" s="22">
        <v>9</v>
      </c>
      <c r="B112" s="8">
        <f t="shared" si="10"/>
        <v>56.548667764616276</v>
      </c>
      <c r="C112" s="9">
        <f t="shared" si="11"/>
        <v>40.320708229946462</v>
      </c>
      <c r="D112" s="9">
        <f t="shared" si="12"/>
        <v>0.99999978208057061</v>
      </c>
      <c r="E112" s="9">
        <f t="shared" si="13"/>
        <v>3.1750197648069745E-3</v>
      </c>
      <c r="F112" s="9">
        <f t="shared" si="14"/>
        <v>4.188711728118326E-5</v>
      </c>
      <c r="G112" s="9">
        <f t="shared" si="15"/>
        <v>1.0833540134584326E-5</v>
      </c>
      <c r="H112" s="9">
        <f t="shared" si="16"/>
        <v>7.6694506335543442E-10</v>
      </c>
      <c r="I112" s="9">
        <f t="shared" si="17"/>
        <v>0</v>
      </c>
      <c r="J112" s="9">
        <f t="shared" si="18"/>
        <v>7.8611877651008912E-4</v>
      </c>
      <c r="K112" s="9">
        <f t="shared" si="19"/>
        <v>0</v>
      </c>
      <c r="L112" s="9">
        <f t="shared" si="20"/>
        <v>0.99999999970331899</v>
      </c>
      <c r="M112" s="9">
        <f t="shared" si="21"/>
        <v>4.6777057974890584E-5</v>
      </c>
      <c r="N112" s="9">
        <f t="shared" si="22"/>
        <v>6.925828791848496E-9</v>
      </c>
      <c r="O112" s="9">
        <f t="shared" si="0"/>
        <v>7.2795151794869486E-11</v>
      </c>
      <c r="P112" s="9">
        <f t="shared" si="23"/>
        <v>0</v>
      </c>
      <c r="Q112" s="9">
        <f t="shared" si="24"/>
        <v>0</v>
      </c>
      <c r="R112" s="23">
        <f t="shared" si="25"/>
        <v>40.319891051361125</v>
      </c>
      <c r="S112" s="8">
        <f t="shared" si="1"/>
        <v>3.1750097879024741E-3</v>
      </c>
      <c r="T112" s="8">
        <f t="shared" si="2"/>
        <v>1.5794029773835996E-3</v>
      </c>
      <c r="U112" s="8">
        <f t="shared" si="3"/>
        <v>1.3288936923902567E-5</v>
      </c>
      <c r="V112" s="8">
        <f t="shared" si="4"/>
        <v>0</v>
      </c>
      <c r="W112" s="8">
        <f t="shared" si="5"/>
        <v>1.3453812726323905E-2</v>
      </c>
      <c r="X112" s="8">
        <f t="shared" si="6"/>
        <v>0</v>
      </c>
      <c r="Y112" s="8">
        <f t="shared" si="7"/>
        <v>4.6777057954650928E-5</v>
      </c>
      <c r="Z112" s="8">
        <f t="shared" si="8"/>
        <v>4.0941235461353431E-6</v>
      </c>
      <c r="AA112" s="8">
        <f t="shared" si="26"/>
        <v>0</v>
      </c>
      <c r="AB112" s="8">
        <f t="shared" si="27"/>
        <v>0</v>
      </c>
      <c r="AC112" s="8">
        <f t="shared" si="9"/>
        <v>-3.1750097879024741E-3</v>
      </c>
      <c r="AD112" s="8">
        <f t="shared" si="28"/>
        <v>-0.86442152758170121</v>
      </c>
      <c r="AF112" s="23">
        <f t="shared" si="29"/>
        <v>14.300066429549553</v>
      </c>
      <c r="AG112" s="8">
        <f t="shared" si="30"/>
        <v>-0.18200693051670236</v>
      </c>
      <c r="AI112" s="12">
        <f t="shared" si="31"/>
        <v>-13.979400092879258</v>
      </c>
      <c r="AJ112" s="8">
        <f t="shared" si="32"/>
        <v>-1.9197012055843009E-3</v>
      </c>
      <c r="AL112" s="12">
        <f t="shared" si="33"/>
        <v>39.999224714690833</v>
      </c>
      <c r="AM112" s="8">
        <f t="shared" si="34"/>
        <v>179.31906665699123</v>
      </c>
    </row>
    <row r="113" spans="1:39" x14ac:dyDescent="0.25">
      <c r="A113" s="22">
        <v>10</v>
      </c>
      <c r="B113" s="8">
        <f t="shared" si="10"/>
        <v>62.831853071795862</v>
      </c>
      <c r="C113" s="9">
        <f t="shared" si="11"/>
        <v>40.320708229946462</v>
      </c>
      <c r="D113" s="9">
        <f t="shared" si="12"/>
        <v>0.99999973096366734</v>
      </c>
      <c r="E113" s="9">
        <f t="shared" si="13"/>
        <v>3.5277997370287842E-3</v>
      </c>
      <c r="F113" s="9">
        <f t="shared" si="14"/>
        <v>5.1712431981373614E-5</v>
      </c>
      <c r="G113" s="9">
        <f t="shared" si="15"/>
        <v>1.3374736994741427E-5</v>
      </c>
      <c r="H113" s="9">
        <f t="shared" si="16"/>
        <v>9.4684613818800138E-10</v>
      </c>
      <c r="I113" s="9">
        <f t="shared" si="17"/>
        <v>0</v>
      </c>
      <c r="J113" s="9">
        <f t="shared" si="18"/>
        <v>9.7049640614627758E-4</v>
      </c>
      <c r="K113" s="9">
        <f t="shared" si="19"/>
        <v>0</v>
      </c>
      <c r="L113" s="9">
        <f t="shared" si="20"/>
        <v>0.9999999996337271</v>
      </c>
      <c r="M113" s="9">
        <f t="shared" si="21"/>
        <v>5.197450886098954E-5</v>
      </c>
      <c r="N113" s="9">
        <f t="shared" si="22"/>
        <v>8.5504062007893794E-9</v>
      </c>
      <c r="O113" s="9">
        <f t="shared" si="0"/>
        <v>8.9871462572435208E-11</v>
      </c>
      <c r="P113" s="9">
        <f t="shared" si="23"/>
        <v>0</v>
      </c>
      <c r="Q113" s="9">
        <f t="shared" si="24"/>
        <v>0</v>
      </c>
      <c r="R113" s="23">
        <f t="shared" si="25"/>
        <v>40.319699388151896</v>
      </c>
      <c r="S113" s="8">
        <f t="shared" si="1"/>
        <v>3.5277860513073171E-3</v>
      </c>
      <c r="T113" s="8">
        <f t="shared" si="2"/>
        <v>1.7548918548114835E-3</v>
      </c>
      <c r="U113" s="8">
        <f t="shared" si="3"/>
        <v>1.4765485470798973E-5</v>
      </c>
      <c r="V113" s="8">
        <f t="shared" si="4"/>
        <v>0</v>
      </c>
      <c r="W113" s="8">
        <f t="shared" si="5"/>
        <v>1.4948469256472287E-2</v>
      </c>
      <c r="X113" s="8">
        <f t="shared" si="6"/>
        <v>0</v>
      </c>
      <c r="Y113" s="8">
        <f t="shared" si="7"/>
        <v>5.1974508833225955E-5</v>
      </c>
      <c r="Z113" s="8">
        <f t="shared" si="8"/>
        <v>4.5490261623666423E-6</v>
      </c>
      <c r="AA113" s="8">
        <f t="shared" si="26"/>
        <v>0</v>
      </c>
      <c r="AB113" s="8">
        <f t="shared" si="27"/>
        <v>0</v>
      </c>
      <c r="AC113" s="8">
        <f t="shared" si="9"/>
        <v>-3.5277860513073171E-3</v>
      </c>
      <c r="AD113" s="8">
        <f t="shared" si="28"/>
        <v>-0.96045611355784333</v>
      </c>
      <c r="AF113" s="23">
        <f t="shared" si="29"/>
        <v>14.300056604234852</v>
      </c>
      <c r="AG113" s="8">
        <f t="shared" si="30"/>
        <v>-0.20222977364182071</v>
      </c>
      <c r="AI113" s="12">
        <f t="shared" si="31"/>
        <v>-13.979400094323935</v>
      </c>
      <c r="AJ113" s="8">
        <f t="shared" si="32"/>
        <v>-2.1330013392474065E-3</v>
      </c>
      <c r="AL113" s="12">
        <f t="shared" si="33"/>
        <v>39.999042878240978</v>
      </c>
      <c r="AM113" s="8">
        <f t="shared" si="34"/>
        <v>179.24341950413753</v>
      </c>
    </row>
    <row r="114" spans="1:39" x14ac:dyDescent="0.25">
      <c r="A114" s="22">
        <f>A113+5</f>
        <v>15</v>
      </c>
      <c r="B114" s="8">
        <f t="shared" si="10"/>
        <v>94.247779607693786</v>
      </c>
      <c r="C114" s="9">
        <f t="shared" si="11"/>
        <v>40.320708229946462</v>
      </c>
      <c r="D114" s="9">
        <f t="shared" si="12"/>
        <v>0.99999939466825161</v>
      </c>
      <c r="E114" s="9">
        <f t="shared" si="13"/>
        <v>5.2916995893033843E-3</v>
      </c>
      <c r="F114" s="9">
        <f t="shared" si="14"/>
        <v>1.1635210620751556E-4</v>
      </c>
      <c r="G114" s="9">
        <f t="shared" si="15"/>
        <v>3.0093100317257246E-5</v>
      </c>
      <c r="H114" s="9">
        <f t="shared" si="16"/>
        <v>2.130405739432789E-9</v>
      </c>
      <c r="I114" s="9">
        <f t="shared" si="17"/>
        <v>0</v>
      </c>
      <c r="J114" s="9">
        <f t="shared" si="18"/>
        <v>2.1833120170191393E-3</v>
      </c>
      <c r="K114" s="9">
        <f t="shared" si="19"/>
        <v>0</v>
      </c>
      <c r="L114" s="9">
        <f t="shared" si="20"/>
        <v>0.99999999917588611</v>
      </c>
      <c r="M114" s="9">
        <f t="shared" si="21"/>
        <v>7.7961763291484293E-5</v>
      </c>
      <c r="N114" s="9">
        <f t="shared" si="22"/>
        <v>1.9238413939939646E-8</v>
      </c>
      <c r="O114" s="9">
        <f t="shared" si="0"/>
        <v>2.0221175511413808E-10</v>
      </c>
      <c r="P114" s="9">
        <f t="shared" si="23"/>
        <v>0</v>
      </c>
      <c r="Q114" s="9">
        <f t="shared" si="24"/>
        <v>0</v>
      </c>
      <c r="R114" s="23">
        <f t="shared" si="25"/>
        <v>40.318438641613334</v>
      </c>
      <c r="S114" s="8">
        <f t="shared" si="1"/>
        <v>5.2916534004061461E-3</v>
      </c>
      <c r="T114" s="8">
        <f t="shared" si="2"/>
        <v>2.6323344044491903E-3</v>
      </c>
      <c r="U114" s="8">
        <f t="shared" si="3"/>
        <v>2.214822820418648E-5</v>
      </c>
      <c r="V114" s="8">
        <f t="shared" si="4"/>
        <v>0</v>
      </c>
      <c r="W114" s="8">
        <f t="shared" si="5"/>
        <v>2.242061661772099E-2</v>
      </c>
      <c r="X114" s="8">
        <f t="shared" si="6"/>
        <v>0</v>
      </c>
      <c r="Y114" s="8">
        <f t="shared" si="7"/>
        <v>7.7961763197782188E-5</v>
      </c>
      <c r="Z114" s="8">
        <f t="shared" si="8"/>
        <v>6.8235392434911276E-6</v>
      </c>
      <c r="AA114" s="8">
        <f t="shared" si="26"/>
        <v>0</v>
      </c>
      <c r="AB114" s="8">
        <f t="shared" si="27"/>
        <v>0</v>
      </c>
      <c r="AC114" s="8">
        <f t="shared" si="9"/>
        <v>-5.2916534004061461E-3</v>
      </c>
      <c r="AD114" s="8">
        <f t="shared" si="28"/>
        <v>-1.4405633011184251</v>
      </c>
      <c r="AF114" s="23">
        <f t="shared" si="29"/>
        <v>14.299991964560625</v>
      </c>
      <c r="AG114" s="8">
        <f t="shared" si="30"/>
        <v>-0.3033431885583141</v>
      </c>
      <c r="AI114" s="12">
        <f t="shared" si="31"/>
        <v>-13.979400103828382</v>
      </c>
      <c r="AJ114" s="8">
        <f t="shared" si="32"/>
        <v>-3.1995020060023014E-3</v>
      </c>
      <c r="AL114" s="12">
        <f t="shared" si="33"/>
        <v>39.997846780881083</v>
      </c>
      <c r="AM114" s="8">
        <f t="shared" si="34"/>
        <v>178.86524871482396</v>
      </c>
    </row>
    <row r="115" spans="1:39" x14ac:dyDescent="0.25">
      <c r="A115" s="22">
        <f t="shared" ref="A115:A131" si="35">A114+5</f>
        <v>20</v>
      </c>
      <c r="B115" s="8">
        <f t="shared" si="10"/>
        <v>125.66370614359172</v>
      </c>
      <c r="C115" s="9">
        <f t="shared" si="11"/>
        <v>40.320708229946462</v>
      </c>
      <c r="D115" s="9">
        <f t="shared" si="12"/>
        <v>0.9999989238546696</v>
      </c>
      <c r="E115" s="9">
        <f t="shared" si="13"/>
        <v>7.0555994220902352E-3</v>
      </c>
      <c r="F115" s="9">
        <f t="shared" si="14"/>
        <v>2.0684603410695845E-4</v>
      </c>
      <c r="G115" s="9">
        <f t="shared" si="15"/>
        <v>5.3498700844771752E-5</v>
      </c>
      <c r="H115" s="9">
        <f t="shared" si="16"/>
        <v>3.7873864807876461E-9</v>
      </c>
      <c r="I115" s="9">
        <f t="shared" si="17"/>
        <v>0</v>
      </c>
      <c r="J115" s="9">
        <f t="shared" si="18"/>
        <v>3.8806850704737749E-3</v>
      </c>
      <c r="K115" s="9">
        <f t="shared" si="19"/>
        <v>0</v>
      </c>
      <c r="L115" s="9">
        <f t="shared" si="20"/>
        <v>0.99999999853490851</v>
      </c>
      <c r="M115" s="9">
        <f t="shared" si="21"/>
        <v>1.0394901772197908E-4</v>
      </c>
      <c r="N115" s="9">
        <f t="shared" si="22"/>
        <v>3.4201624752655296E-8</v>
      </c>
      <c r="O115" s="9">
        <f t="shared" si="0"/>
        <v>3.594858502841615E-10</v>
      </c>
      <c r="P115" s="9">
        <f t="shared" si="23"/>
        <v>0</v>
      </c>
      <c r="Q115" s="9">
        <f t="shared" si="24"/>
        <v>0</v>
      </c>
      <c r="R115" s="23">
        <f t="shared" si="25"/>
        <v>40.316674166769005</v>
      </c>
      <c r="S115" s="8">
        <f t="shared" si="1"/>
        <v>7.0554899386663424E-3</v>
      </c>
      <c r="T115" s="8">
        <f t="shared" si="2"/>
        <v>3.5097729008002078E-3</v>
      </c>
      <c r="U115" s="8">
        <f t="shared" si="3"/>
        <v>2.9530970935159617E-5</v>
      </c>
      <c r="V115" s="8">
        <f t="shared" si="4"/>
        <v>0</v>
      </c>
      <c r="W115" s="8">
        <f t="shared" si="5"/>
        <v>2.9890260824838741E-2</v>
      </c>
      <c r="X115" s="8">
        <f t="shared" si="6"/>
        <v>0</v>
      </c>
      <c r="Y115" s="8">
        <f t="shared" si="7"/>
        <v>1.0394901749987039E-4</v>
      </c>
      <c r="Z115" s="8">
        <f t="shared" si="8"/>
        <v>9.0980523245450128E-6</v>
      </c>
      <c r="AA115" s="8">
        <f t="shared" si="26"/>
        <v>0</v>
      </c>
      <c r="AB115" s="8">
        <f t="shared" si="27"/>
        <v>0</v>
      </c>
      <c r="AC115" s="8">
        <f t="shared" si="9"/>
        <v>-7.0554899386663424E-3</v>
      </c>
      <c r="AD115" s="8">
        <f t="shared" si="28"/>
        <v>-1.9205255354135915</v>
      </c>
      <c r="AF115" s="23">
        <f t="shared" si="29"/>
        <v>14.299901470632726</v>
      </c>
      <c r="AG115" s="8">
        <f t="shared" si="30"/>
        <v>-0.40445483724838904</v>
      </c>
      <c r="AI115" s="12">
        <f t="shared" si="31"/>
        <v>-13.979400117134613</v>
      </c>
      <c r="AJ115" s="8">
        <f t="shared" si="32"/>
        <v>-4.2660026693146294E-3</v>
      </c>
      <c r="AL115" s="12">
        <f t="shared" si="33"/>
        <v>39.996172813270888</v>
      </c>
      <c r="AM115" s="8">
        <f t="shared" si="34"/>
        <v>178.48722118606835</v>
      </c>
    </row>
    <row r="116" spans="1:39" x14ac:dyDescent="0.25">
      <c r="A116" s="22">
        <f t="shared" si="35"/>
        <v>25</v>
      </c>
      <c r="B116" s="8">
        <f t="shared" si="10"/>
        <v>157.07963267948966</v>
      </c>
      <c r="C116" s="9">
        <f t="shared" si="11"/>
        <v>40.320708229946462</v>
      </c>
      <c r="D116" s="9">
        <f t="shared" si="12"/>
        <v>0.9999983185229212</v>
      </c>
      <c r="E116" s="9">
        <f t="shared" si="13"/>
        <v>8.8194992288934213E-3</v>
      </c>
      <c r="F116" s="9">
        <f t="shared" si="14"/>
        <v>3.2319259977828534E-4</v>
      </c>
      <c r="G116" s="9">
        <f t="shared" si="15"/>
        <v>8.3591430463783454E-5</v>
      </c>
      <c r="H116" s="9">
        <f t="shared" si="16"/>
        <v>5.9177922192914942E-9</v>
      </c>
      <c r="I116" s="9">
        <f t="shared" si="17"/>
        <v>0</v>
      </c>
      <c r="J116" s="9">
        <f t="shared" si="18"/>
        <v>6.0620475265727586E-3</v>
      </c>
      <c r="K116" s="9">
        <f t="shared" si="19"/>
        <v>0</v>
      </c>
      <c r="L116" s="9">
        <f t="shared" si="20"/>
        <v>0.99999999771079462</v>
      </c>
      <c r="M116" s="9">
        <f t="shared" si="21"/>
        <v>1.2993627215247385E-4</v>
      </c>
      <c r="N116" s="9">
        <f t="shared" si="22"/>
        <v>5.3440040545496544E-8</v>
      </c>
      <c r="O116" s="9">
        <f t="shared" si="0"/>
        <v>5.6169567673499758E-10</v>
      </c>
      <c r="P116" s="9">
        <f t="shared" si="23"/>
        <v>0</v>
      </c>
      <c r="Q116" s="9">
        <f t="shared" si="24"/>
        <v>0</v>
      </c>
      <c r="R116" s="23">
        <f t="shared" si="25"/>
        <v>40.314406533166633</v>
      </c>
      <c r="S116" s="8">
        <f t="shared" si="1"/>
        <v>8.8192853975202039E-3</v>
      </c>
      <c r="T116" s="8">
        <f t="shared" si="2"/>
        <v>4.387205992827224E-3</v>
      </c>
      <c r="U116" s="8">
        <f t="shared" si="3"/>
        <v>3.6913713662913586E-5</v>
      </c>
      <c r="V116" s="8">
        <f t="shared" si="4"/>
        <v>0</v>
      </c>
      <c r="W116" s="8">
        <f t="shared" si="5"/>
        <v>3.7356570100728986E-2</v>
      </c>
      <c r="X116" s="8">
        <f t="shared" si="6"/>
        <v>0</v>
      </c>
      <c r="Y116" s="8">
        <f t="shared" si="7"/>
        <v>1.2993627171866781E-4</v>
      </c>
      <c r="Z116" s="8">
        <f t="shared" si="8"/>
        <v>1.137256540550476E-5</v>
      </c>
      <c r="AA116" s="8">
        <f t="shared" si="26"/>
        <v>0</v>
      </c>
      <c r="AB116" s="8">
        <f t="shared" si="27"/>
        <v>0</v>
      </c>
      <c r="AC116" s="8">
        <f t="shared" si="9"/>
        <v>-8.8192853975202039E-3</v>
      </c>
      <c r="AD116" s="8">
        <f t="shared" si="28"/>
        <v>-2.4002946481882108</v>
      </c>
      <c r="AF116" s="23">
        <f t="shared" si="29"/>
        <v>14.299785124067055</v>
      </c>
      <c r="AG116" s="8">
        <f t="shared" si="30"/>
        <v>-0.5055641310680371</v>
      </c>
      <c r="AI116" s="12">
        <f t="shared" si="31"/>
        <v>-13.979400134242622</v>
      </c>
      <c r="AJ116" s="8">
        <f t="shared" si="32"/>
        <v>-5.3325033280368665E-3</v>
      </c>
      <c r="AL116" s="12">
        <f t="shared" si="33"/>
        <v>39.9940215433422</v>
      </c>
      <c r="AM116" s="8">
        <f t="shared" si="34"/>
        <v>178.10938452191232</v>
      </c>
    </row>
    <row r="117" spans="1:39" x14ac:dyDescent="0.25">
      <c r="A117" s="22">
        <f t="shared" si="35"/>
        <v>30</v>
      </c>
      <c r="B117" s="8">
        <f t="shared" si="10"/>
        <v>188.49555921538757</v>
      </c>
      <c r="C117" s="9">
        <f t="shared" si="11"/>
        <v>40.320708229946462</v>
      </c>
      <c r="D117" s="9">
        <f t="shared" si="12"/>
        <v>0.99999757867300654</v>
      </c>
      <c r="E117" s="9">
        <f t="shared" si="13"/>
        <v>1.0583399003217022E-2</v>
      </c>
      <c r="F117" s="9">
        <f t="shared" si="14"/>
        <v>4.6538972579681054E-4</v>
      </c>
      <c r="G117" s="9">
        <f t="shared" si="15"/>
        <v>1.2037115016087981E-4</v>
      </c>
      <c r="H117" s="9">
        <f t="shared" si="16"/>
        <v>8.5216210259410525E-9</v>
      </c>
      <c r="I117" s="9">
        <f t="shared" si="17"/>
        <v>0</v>
      </c>
      <c r="J117" s="9">
        <f t="shared" si="18"/>
        <v>8.7266701345771625E-3</v>
      </c>
      <c r="K117" s="9">
        <f t="shared" si="19"/>
        <v>0</v>
      </c>
      <c r="L117" s="9">
        <f t="shared" si="20"/>
        <v>0.99999999670354422</v>
      </c>
      <c r="M117" s="9">
        <f t="shared" si="21"/>
        <v>1.5592352658296859E-4</v>
      </c>
      <c r="N117" s="9">
        <f t="shared" si="22"/>
        <v>7.6953657432746038E-8</v>
      </c>
      <c r="O117" s="9">
        <f t="shared" si="0"/>
        <v>8.0884316311844101E-10</v>
      </c>
      <c r="P117" s="9">
        <f t="shared" si="23"/>
        <v>0</v>
      </c>
      <c r="Q117" s="9">
        <f t="shared" si="24"/>
        <v>0</v>
      </c>
      <c r="R117" s="23">
        <f t="shared" si="25"/>
        <v>40.311636471995371</v>
      </c>
      <c r="S117" s="8">
        <f t="shared" si="1"/>
        <v>1.058302950986712E-2</v>
      </c>
      <c r="T117" s="8">
        <f t="shared" si="2"/>
        <v>5.2646323295428531E-3</v>
      </c>
      <c r="U117" s="8">
        <f t="shared" si="3"/>
        <v>4.4296456386643596E-5</v>
      </c>
      <c r="V117" s="8">
        <f t="shared" si="4"/>
        <v>0</v>
      </c>
      <c r="W117" s="8">
        <f t="shared" si="5"/>
        <v>4.4818714897782913E-2</v>
      </c>
      <c r="X117" s="8">
        <f t="shared" si="6"/>
        <v>0</v>
      </c>
      <c r="Y117" s="8">
        <f t="shared" si="7"/>
        <v>1.5592352583335175E-4</v>
      </c>
      <c r="Z117" s="8">
        <f t="shared" si="8"/>
        <v>1.3647078486346838E-5</v>
      </c>
      <c r="AA117" s="8">
        <f t="shared" si="26"/>
        <v>0</v>
      </c>
      <c r="AB117" s="8">
        <f t="shared" si="27"/>
        <v>0</v>
      </c>
      <c r="AC117" s="8">
        <f t="shared" si="9"/>
        <v>-1.058302950986712E-2</v>
      </c>
      <c r="AD117" s="8">
        <f t="shared" si="28"/>
        <v>-2.8798225990085871</v>
      </c>
      <c r="AF117" s="23">
        <f t="shared" si="29"/>
        <v>14.299642926941036</v>
      </c>
      <c r="AG117" s="8">
        <f t="shared" si="30"/>
        <v>-0.60667048145735081</v>
      </c>
      <c r="AI117" s="12">
        <f t="shared" si="31"/>
        <v>-13.979400155152412</v>
      </c>
      <c r="AJ117" s="8">
        <f t="shared" si="32"/>
        <v>-6.3990039810214857E-3</v>
      </c>
      <c r="AL117" s="12">
        <f t="shared" si="33"/>
        <v>39.991393700206736</v>
      </c>
      <c r="AM117" s="8">
        <f t="shared" si="34"/>
        <v>177.7317861985953</v>
      </c>
    </row>
    <row r="118" spans="1:39" x14ac:dyDescent="0.25">
      <c r="A118" s="22">
        <f t="shared" si="35"/>
        <v>35</v>
      </c>
      <c r="B118" s="8">
        <f t="shared" si="10"/>
        <v>219.91148575128551</v>
      </c>
      <c r="C118" s="9">
        <f t="shared" si="11"/>
        <v>40.320708229946462</v>
      </c>
      <c r="D118" s="9">
        <f t="shared" si="12"/>
        <v>0.99999670430492549</v>
      </c>
      <c r="E118" s="9">
        <f t="shared" si="13"/>
        <v>1.2347298738565124E-2</v>
      </c>
      <c r="F118" s="9">
        <f t="shared" si="14"/>
        <v>6.3343487334007343E-4</v>
      </c>
      <c r="G118" s="9">
        <f t="shared" si="15"/>
        <v>1.6383769004721862E-4</v>
      </c>
      <c r="H118" s="9">
        <f t="shared" si="16"/>
        <v>1.1598874828965484E-8</v>
      </c>
      <c r="I118" s="9">
        <f t="shared" si="17"/>
        <v>0</v>
      </c>
      <c r="J118" s="9">
        <f t="shared" si="18"/>
        <v>1.1873663244186971E-2</v>
      </c>
      <c r="K118" s="9">
        <f t="shared" si="19"/>
        <v>0</v>
      </c>
      <c r="L118" s="9">
        <f t="shared" si="20"/>
        <v>0.99999999551315744</v>
      </c>
      <c r="M118" s="9">
        <f t="shared" si="21"/>
        <v>1.8191078101346337E-4</v>
      </c>
      <c r="N118" s="9">
        <f t="shared" si="22"/>
        <v>1.0474247730833842E-7</v>
      </c>
      <c r="O118" s="9">
        <f t="shared" si="0"/>
        <v>1.100922523465857E-9</v>
      </c>
      <c r="P118" s="9">
        <f t="shared" si="23"/>
        <v>0</v>
      </c>
      <c r="Q118" s="9">
        <f t="shared" si="24"/>
        <v>0</v>
      </c>
      <c r="R118" s="23">
        <f t="shared" si="25"/>
        <v>40.308364875274457</v>
      </c>
      <c r="S118" s="8">
        <f t="shared" si="1"/>
        <v>1.2346712010440103E-2</v>
      </c>
      <c r="T118" s="8">
        <f t="shared" si="2"/>
        <v>6.1420505600221246E-3</v>
      </c>
      <c r="U118" s="8">
        <f t="shared" si="3"/>
        <v>5.1679199105544861E-5</v>
      </c>
      <c r="V118" s="8">
        <f t="shared" si="4"/>
        <v>0</v>
      </c>
      <c r="W118" s="8">
        <f t="shared" si="5"/>
        <v>5.2275868448259745E-2</v>
      </c>
      <c r="X118" s="8">
        <f t="shared" si="6"/>
        <v>0</v>
      </c>
      <c r="Y118" s="8">
        <f t="shared" si="7"/>
        <v>1.8191077982309959E-4</v>
      </c>
      <c r="Z118" s="8">
        <f t="shared" si="8"/>
        <v>1.5921591567047713E-5</v>
      </c>
      <c r="AA118" s="8">
        <f t="shared" si="26"/>
        <v>0</v>
      </c>
      <c r="AB118" s="8">
        <f t="shared" si="27"/>
        <v>0</v>
      </c>
      <c r="AC118" s="8">
        <f t="shared" si="9"/>
        <v>-1.2346712010440103E-2</v>
      </c>
      <c r="AD118" s="8">
        <f t="shared" si="28"/>
        <v>-3.3590615068172136</v>
      </c>
      <c r="AF118" s="23">
        <f t="shared" si="29"/>
        <v>14.299474881793493</v>
      </c>
      <c r="AG118" s="8">
        <f t="shared" si="30"/>
        <v>-0.7077732999615346</v>
      </c>
      <c r="AI118" s="12">
        <f t="shared" si="31"/>
        <v>-13.979400179863978</v>
      </c>
      <c r="AJ118" s="8">
        <f t="shared" si="32"/>
        <v>-7.4655046271209719E-3</v>
      </c>
      <c r="AL118" s="12">
        <f t="shared" si="33"/>
        <v>39.988290173344936</v>
      </c>
      <c r="AM118" s="8">
        <f t="shared" si="34"/>
        <v>177.35447353300484</v>
      </c>
    </row>
    <row r="119" spans="1:39" x14ac:dyDescent="0.25">
      <c r="A119" s="22">
        <f t="shared" si="35"/>
        <v>40</v>
      </c>
      <c r="B119" s="8">
        <f t="shared" si="10"/>
        <v>251.32741228718345</v>
      </c>
      <c r="C119" s="9">
        <f t="shared" si="11"/>
        <v>40.320708229946462</v>
      </c>
      <c r="D119" s="9">
        <f t="shared" si="12"/>
        <v>0.99999569541867817</v>
      </c>
      <c r="E119" s="9">
        <f t="shared" si="13"/>
        <v>1.4111198428441812E-2</v>
      </c>
      <c r="F119" s="9">
        <f t="shared" si="14"/>
        <v>8.2732504234398299E-4</v>
      </c>
      <c r="G119" s="9">
        <f t="shared" si="15"/>
        <v>2.1399084934473384E-4</v>
      </c>
      <c r="H119" s="9">
        <f t="shared" si="16"/>
        <v>1.5149549770551754E-8</v>
      </c>
      <c r="I119" s="9">
        <f t="shared" si="17"/>
        <v>0</v>
      </c>
      <c r="J119" s="9">
        <f t="shared" si="18"/>
        <v>1.5501977793202133E-2</v>
      </c>
      <c r="K119" s="9">
        <f t="shared" si="19"/>
        <v>0</v>
      </c>
      <c r="L119" s="9">
        <f t="shared" si="20"/>
        <v>0.99999999413963414</v>
      </c>
      <c r="M119" s="9">
        <f t="shared" si="21"/>
        <v>2.0789803544395816E-4</v>
      </c>
      <c r="N119" s="9">
        <f t="shared" si="22"/>
        <v>1.3680650013124066E-7</v>
      </c>
      <c r="O119" s="9">
        <f t="shared" si="0"/>
        <v>1.4379414723924442E-9</v>
      </c>
      <c r="P119" s="9">
        <f t="shared" si="23"/>
        <v>0</v>
      </c>
      <c r="Q119" s="9">
        <f t="shared" si="24"/>
        <v>0</v>
      </c>
      <c r="R119" s="23">
        <f t="shared" si="25"/>
        <v>40.304592794865378</v>
      </c>
      <c r="S119" s="8">
        <f t="shared" si="1"/>
        <v>1.4110322636172158E-2</v>
      </c>
      <c r="T119" s="8">
        <f t="shared" si="2"/>
        <v>7.0194593334149472E-3</v>
      </c>
      <c r="U119" s="8">
        <f t="shared" si="3"/>
        <v>5.9061941818812598E-5</v>
      </c>
      <c r="V119" s="8">
        <f t="shared" si="4"/>
        <v>0</v>
      </c>
      <c r="W119" s="8">
        <f t="shared" si="5"/>
        <v>5.9727207310037958E-2</v>
      </c>
      <c r="X119" s="8">
        <f t="shared" si="6"/>
        <v>0</v>
      </c>
      <c r="Y119" s="8">
        <f t="shared" si="7"/>
        <v>2.0789803366708863E-4</v>
      </c>
      <c r="Z119" s="8">
        <f t="shared" si="8"/>
        <v>1.8196104647583849E-5</v>
      </c>
      <c r="AA119" s="8">
        <f t="shared" si="26"/>
        <v>0</v>
      </c>
      <c r="AB119" s="8">
        <f t="shared" si="27"/>
        <v>0</v>
      </c>
      <c r="AC119" s="8">
        <f t="shared" si="9"/>
        <v>-1.4110322636172158E-2</v>
      </c>
      <c r="AD119" s="8">
        <f t="shared" si="28"/>
        <v>-3.8379636812222899</v>
      </c>
      <c r="AF119" s="23">
        <f t="shared" si="29"/>
        <v>14.299280991624489</v>
      </c>
      <c r="AG119" s="8">
        <f t="shared" si="30"/>
        <v>-0.80887199825190714</v>
      </c>
      <c r="AI119" s="12">
        <f t="shared" si="31"/>
        <v>-13.979400208377326</v>
      </c>
      <c r="AJ119" s="8">
        <f t="shared" si="32"/>
        <v>-8.5320052651877976E-3</v>
      </c>
      <c r="AL119" s="12">
        <f t="shared" si="33"/>
        <v>39.984712011618207</v>
      </c>
      <c r="AM119" s="8">
        <f t="shared" si="34"/>
        <v>176.97749365139214</v>
      </c>
    </row>
    <row r="120" spans="1:39" x14ac:dyDescent="0.25">
      <c r="A120" s="22">
        <f t="shared" si="35"/>
        <v>45</v>
      </c>
      <c r="B120" s="8">
        <f t="shared" si="10"/>
        <v>282.74333882308139</v>
      </c>
      <c r="C120" s="9">
        <f t="shared" si="11"/>
        <v>40.320708229946462</v>
      </c>
      <c r="D120" s="9">
        <f t="shared" si="12"/>
        <v>0.99999455201426457</v>
      </c>
      <c r="E120" s="9">
        <f t="shared" si="13"/>
        <v>1.5875098066351165E-2</v>
      </c>
      <c r="F120" s="9">
        <f t="shared" si="14"/>
        <v>1.0470567716703155E-3</v>
      </c>
      <c r="G120" s="9">
        <f t="shared" si="15"/>
        <v>2.7083039639385346E-4</v>
      </c>
      <c r="H120" s="9">
        <f t="shared" si="16"/>
        <v>1.9173649707429133E-8</v>
      </c>
      <c r="I120" s="9">
        <f t="shared" si="17"/>
        <v>0</v>
      </c>
      <c r="J120" s="9">
        <f t="shared" si="18"/>
        <v>1.9610406469286679E-2</v>
      </c>
      <c r="K120" s="9">
        <f t="shared" si="19"/>
        <v>0</v>
      </c>
      <c r="L120" s="9">
        <f t="shared" si="20"/>
        <v>0.99999999258297456</v>
      </c>
      <c r="M120" s="9">
        <f t="shared" si="21"/>
        <v>2.3388528987445292E-4</v>
      </c>
      <c r="N120" s="9">
        <f t="shared" si="22"/>
        <v>1.7314572778276183E-7</v>
      </c>
      <c r="O120" s="9">
        <f t="shared" si="0"/>
        <v>1.8198942239281734E-9</v>
      </c>
      <c r="P120" s="9">
        <f t="shared" si="23"/>
        <v>0</v>
      </c>
      <c r="Q120" s="9">
        <f t="shared" si="24"/>
        <v>0</v>
      </c>
      <c r="R120" s="23">
        <f t="shared" si="25"/>
        <v>40.300321441309933</v>
      </c>
      <c r="S120" s="8">
        <f t="shared" si="1"/>
        <v>1.5873851126562435E-2</v>
      </c>
      <c r="T120" s="8">
        <f t="shared" si="2"/>
        <v>7.8968572989585959E-3</v>
      </c>
      <c r="U120" s="8">
        <f t="shared" si="3"/>
        <v>6.644468452564201E-5</v>
      </c>
      <c r="V120" s="8">
        <f t="shared" si="4"/>
        <v>0</v>
      </c>
      <c r="W120" s="8">
        <f t="shared" si="5"/>
        <v>6.7171911906843365E-2</v>
      </c>
      <c r="X120" s="8">
        <f t="shared" si="6"/>
        <v>0</v>
      </c>
      <c r="Y120" s="8">
        <f t="shared" si="7"/>
        <v>2.338852873444961E-4</v>
      </c>
      <c r="Z120" s="8">
        <f t="shared" si="8"/>
        <v>2.0470617727931716E-5</v>
      </c>
      <c r="AA120" s="8">
        <f t="shared" si="26"/>
        <v>0</v>
      </c>
      <c r="AB120" s="8">
        <f t="shared" si="27"/>
        <v>0</v>
      </c>
      <c r="AC120" s="8">
        <f t="shared" si="9"/>
        <v>-1.5873851126562435E-2</v>
      </c>
      <c r="AD120" s="8">
        <f t="shared" si="28"/>
        <v>-4.3164816534707775</v>
      </c>
      <c r="AF120" s="23">
        <f t="shared" si="29"/>
        <v>14.299061259895163</v>
      </c>
      <c r="AG120" s="8">
        <f t="shared" si="30"/>
        <v>-0.90996598814689111</v>
      </c>
      <c r="AI120" s="12">
        <f t="shared" si="31"/>
        <v>-13.979400240692453</v>
      </c>
      <c r="AJ120" s="8">
        <f t="shared" si="32"/>
        <v>-9.598505894074438E-3</v>
      </c>
      <c r="AL120" s="12">
        <f t="shared" si="33"/>
        <v>39.980660422107221</v>
      </c>
      <c r="AM120" s="8">
        <f t="shared" si="34"/>
        <v>176.60089345840436</v>
      </c>
    </row>
    <row r="121" spans="1:39" x14ac:dyDescent="0.25">
      <c r="A121" s="22">
        <f t="shared" si="35"/>
        <v>50</v>
      </c>
      <c r="B121" s="8">
        <f t="shared" si="10"/>
        <v>314.15926535897933</v>
      </c>
      <c r="C121" s="9">
        <f t="shared" si="11"/>
        <v>40.320708229946462</v>
      </c>
      <c r="D121" s="9">
        <f t="shared" si="12"/>
        <v>0.9999932740916847</v>
      </c>
      <c r="E121" s="9">
        <f t="shared" si="13"/>
        <v>1.7638997645797273E-2</v>
      </c>
      <c r="F121" s="9">
        <f t="shared" si="14"/>
        <v>1.2926261393202648E-3</v>
      </c>
      <c r="G121" s="9">
        <f t="shared" si="15"/>
        <v>3.3435606866151436E-4</v>
      </c>
      <c r="H121" s="9">
        <f t="shared" si="16"/>
        <v>2.3671172710284692E-8</v>
      </c>
      <c r="I121" s="9">
        <f t="shared" si="17"/>
        <v>0</v>
      </c>
      <c r="J121" s="9">
        <f t="shared" si="18"/>
        <v>2.4197585043156764E-2</v>
      </c>
      <c r="K121" s="9">
        <f t="shared" si="19"/>
        <v>0</v>
      </c>
      <c r="L121" s="9">
        <f t="shared" si="20"/>
        <v>0.99999999084317848</v>
      </c>
      <c r="M121" s="9">
        <f t="shared" si="21"/>
        <v>2.5987254430494771E-4</v>
      </c>
      <c r="N121" s="9">
        <f t="shared" si="22"/>
        <v>2.1376015828058837E-7</v>
      </c>
      <c r="O121" s="9">
        <f t="shared" si="0"/>
        <v>2.2467827067220493E-9</v>
      </c>
      <c r="P121" s="9">
        <f t="shared" si="23"/>
        <v>0</v>
      </c>
      <c r="Q121" s="9">
        <f t="shared" si="24"/>
        <v>0</v>
      </c>
      <c r="R121" s="23">
        <f t="shared" si="25"/>
        <v>40.295552182496877</v>
      </c>
      <c r="S121" s="8">
        <f t="shared" si="1"/>
        <v>1.7637287224042196E-2</v>
      </c>
      <c r="T121" s="8">
        <f t="shared" si="2"/>
        <v>8.7742431059901847E-3</v>
      </c>
      <c r="U121" s="8">
        <f t="shared" si="3"/>
        <v>7.3827427225228281E-5</v>
      </c>
      <c r="V121" s="8">
        <f t="shared" si="4"/>
        <v>0</v>
      </c>
      <c r="W121" s="8">
        <f t="shared" si="5"/>
        <v>7.4609167062077097E-2</v>
      </c>
      <c r="X121" s="8">
        <f t="shared" si="6"/>
        <v>0</v>
      </c>
      <c r="Y121" s="8">
        <f t="shared" si="7"/>
        <v>2.5987254083449944E-4</v>
      </c>
      <c r="Z121" s="8">
        <f t="shared" si="8"/>
        <v>2.2745130808067774E-5</v>
      </c>
      <c r="AA121" s="8">
        <f t="shared" si="26"/>
        <v>0</v>
      </c>
      <c r="AB121" s="8">
        <f t="shared" si="27"/>
        <v>0</v>
      </c>
      <c r="AC121" s="8">
        <f t="shared" si="9"/>
        <v>-1.7637287224042196E-2</v>
      </c>
      <c r="AD121" s="8">
        <f t="shared" si="28"/>
        <v>-4.7945682070547413</v>
      </c>
      <c r="AF121" s="23">
        <f t="shared" si="29"/>
        <v>14.298815690527512</v>
      </c>
      <c r="AG121" s="8">
        <f t="shared" si="30"/>
        <v>-1.0110546816329922</v>
      </c>
      <c r="AI121" s="12">
        <f t="shared" si="31"/>
        <v>-13.979400276809359</v>
      </c>
      <c r="AJ121" s="8">
        <f t="shared" si="32"/>
        <v>-1.0665006512633378E-2</v>
      </c>
      <c r="AL121" s="12">
        <f t="shared" si="33"/>
        <v>39.976136768778723</v>
      </c>
      <c r="AM121" s="8">
        <f t="shared" si="34"/>
        <v>176.22471960648372</v>
      </c>
    </row>
    <row r="122" spans="1:39" x14ac:dyDescent="0.25">
      <c r="A122" s="22">
        <f t="shared" si="35"/>
        <v>55</v>
      </c>
      <c r="B122" s="8">
        <f t="shared" si="10"/>
        <v>345.57519189487726</v>
      </c>
      <c r="C122" s="9">
        <f t="shared" si="11"/>
        <v>40.320708229946462</v>
      </c>
      <c r="D122" s="9">
        <f t="shared" si="12"/>
        <v>0.99999186165093845</v>
      </c>
      <c r="E122" s="9">
        <f t="shared" si="13"/>
        <v>1.9402897160284212E-2</v>
      </c>
      <c r="F122" s="9">
        <f t="shared" si="14"/>
        <v>1.5640287626670244E-3</v>
      </c>
      <c r="G122" s="9">
        <f t="shared" si="15"/>
        <v>4.0456757273983119E-4</v>
      </c>
      <c r="H122" s="9">
        <f t="shared" si="16"/>
        <v>2.8642118778383025E-8</v>
      </c>
      <c r="I122" s="9">
        <f t="shared" si="17"/>
        <v>0</v>
      </c>
      <c r="J122" s="9">
        <f t="shared" si="18"/>
        <v>2.9261993870101873E-2</v>
      </c>
      <c r="K122" s="9">
        <f t="shared" si="19"/>
        <v>0</v>
      </c>
      <c r="L122" s="9">
        <f t="shared" si="20"/>
        <v>0.99999998892024589</v>
      </c>
      <c r="M122" s="9">
        <f t="shared" si="21"/>
        <v>2.8585979873544249E-4</v>
      </c>
      <c r="N122" s="9">
        <f t="shared" si="22"/>
        <v>2.5864978770743919E-7</v>
      </c>
      <c r="O122" s="9">
        <f t="shared" si="0"/>
        <v>2.7186088494223794E-9</v>
      </c>
      <c r="P122" s="9">
        <f t="shared" si="23"/>
        <v>0</v>
      </c>
      <c r="Q122" s="9">
        <f t="shared" si="24"/>
        <v>0</v>
      </c>
      <c r="R122" s="23">
        <f t="shared" si="25"/>
        <v>40.29028654216016</v>
      </c>
      <c r="S122" s="8">
        <f t="shared" si="1"/>
        <v>1.9400620674340452E-2</v>
      </c>
      <c r="T122" s="8">
        <f t="shared" si="2"/>
        <v>9.6516154039591375E-3</v>
      </c>
      <c r="U122" s="8">
        <f t="shared" si="3"/>
        <v>8.1210169916766655E-5</v>
      </c>
      <c r="V122" s="8">
        <f t="shared" si="4"/>
        <v>0</v>
      </c>
      <c r="W122" s="8">
        <f t="shared" si="5"/>
        <v>8.203816252538626E-2</v>
      </c>
      <c r="X122" s="8">
        <f t="shared" si="6"/>
        <v>0</v>
      </c>
      <c r="Y122" s="8">
        <f t="shared" si="7"/>
        <v>2.858597941162759E-4</v>
      </c>
      <c r="Z122" s="8">
        <f t="shared" si="8"/>
        <v>2.5019643887968496E-5</v>
      </c>
      <c r="AA122" s="8">
        <f t="shared" si="26"/>
        <v>0</v>
      </c>
      <c r="AB122" s="8">
        <f t="shared" si="27"/>
        <v>0</v>
      </c>
      <c r="AC122" s="8">
        <f t="shared" si="9"/>
        <v>-1.9400620674340452E-2</v>
      </c>
      <c r="AD122" s="8">
        <f t="shared" si="28"/>
        <v>-5.2721764079018607</v>
      </c>
      <c r="AF122" s="23">
        <f t="shared" si="29"/>
        <v>14.298544287904166</v>
      </c>
      <c r="AG122" s="8">
        <f t="shared" si="30"/>
        <v>-1.1121374908857584</v>
      </c>
      <c r="AI122" s="12">
        <f t="shared" si="31"/>
        <v>-13.979400316728045</v>
      </c>
      <c r="AJ122" s="8">
        <f t="shared" si="32"/>
        <v>-1.1731507119717091E-2</v>
      </c>
      <c r="AL122" s="12">
        <f t="shared" si="33"/>
        <v>39.971142570984028</v>
      </c>
      <c r="AM122" s="8">
        <f t="shared" si="34"/>
        <v>175.84901846568258</v>
      </c>
    </row>
    <row r="123" spans="1:39" x14ac:dyDescent="0.25">
      <c r="A123" s="22">
        <f t="shared" si="35"/>
        <v>60</v>
      </c>
      <c r="B123" s="8">
        <f t="shared" si="10"/>
        <v>376.99111843077515</v>
      </c>
      <c r="C123" s="9">
        <f t="shared" si="11"/>
        <v>40.320708229946462</v>
      </c>
      <c r="D123" s="9">
        <f t="shared" si="12"/>
        <v>0.99999031469202593</v>
      </c>
      <c r="E123" s="9">
        <f t="shared" si="13"/>
        <v>2.1166796603316065E-2</v>
      </c>
      <c r="F123" s="9">
        <f t="shared" si="14"/>
        <v>1.8612597987170288E-3</v>
      </c>
      <c r="G123" s="9">
        <f t="shared" si="15"/>
        <v>4.8146458435277637E-4</v>
      </c>
      <c r="H123" s="9">
        <f t="shared" si="16"/>
        <v>3.40864879109113E-8</v>
      </c>
      <c r="I123" s="9">
        <f t="shared" si="17"/>
        <v>0</v>
      </c>
      <c r="J123" s="9">
        <f t="shared" si="18"/>
        <v>3.480195955641488E-2</v>
      </c>
      <c r="K123" s="9">
        <f t="shared" si="19"/>
        <v>0</v>
      </c>
      <c r="L123" s="9">
        <f t="shared" si="20"/>
        <v>0.9999999868141769</v>
      </c>
      <c r="M123" s="9">
        <f t="shared" si="21"/>
        <v>3.1184705316593717E-4</v>
      </c>
      <c r="N123" s="9">
        <f t="shared" si="22"/>
        <v>3.078146217829948E-7</v>
      </c>
      <c r="O123" s="9">
        <f t="shared" si="0"/>
        <v>3.2353668660570427E-9</v>
      </c>
      <c r="P123" s="9">
        <f t="shared" si="23"/>
        <v>0</v>
      </c>
      <c r="Q123" s="9">
        <f t="shared" si="24"/>
        <v>0</v>
      </c>
      <c r="R123" s="23">
        <f t="shared" si="25"/>
        <v>40.284526198212184</v>
      </c>
      <c r="S123" s="8">
        <f t="shared" si="1"/>
        <v>2.1163841226849389E-2</v>
      </c>
      <c r="T123" s="8">
        <f t="shared" si="2"/>
        <v>1.0528972842439656E-2</v>
      </c>
      <c r="U123" s="8">
        <f t="shared" si="3"/>
        <v>8.8592912599452301E-5</v>
      </c>
      <c r="V123" s="8">
        <f t="shared" si="4"/>
        <v>0</v>
      </c>
      <c r="W123" s="8">
        <f t="shared" si="5"/>
        <v>8.9458093491141963E-2</v>
      </c>
      <c r="X123" s="8">
        <f t="shared" si="6"/>
        <v>0</v>
      </c>
      <c r="Y123" s="8">
        <f t="shared" si="7"/>
        <v>3.1184704716900267E-4</v>
      </c>
      <c r="Z123" s="8">
        <f t="shared" si="8"/>
        <v>2.7294156967610337E-5</v>
      </c>
      <c r="AA123" s="8">
        <f t="shared" si="26"/>
        <v>0</v>
      </c>
      <c r="AB123" s="8">
        <f t="shared" si="27"/>
        <v>0</v>
      </c>
      <c r="AC123" s="8">
        <f t="shared" si="9"/>
        <v>-2.1163841226849389E-2</v>
      </c>
      <c r="AD123" s="8">
        <f t="shared" si="28"/>
        <v>-5.7492596341022582</v>
      </c>
      <c r="AF123" s="23">
        <f t="shared" si="29"/>
        <v>14.298247056868115</v>
      </c>
      <c r="AG123" s="8">
        <f t="shared" si="30"/>
        <v>-1.2132138282907292</v>
      </c>
      <c r="AI123" s="12">
        <f t="shared" si="31"/>
        <v>-13.979400360448508</v>
      </c>
      <c r="AJ123" s="8">
        <f t="shared" si="32"/>
        <v>-1.2798007714178047E-2</v>
      </c>
      <c r="AL123" s="12">
        <f t="shared" si="33"/>
        <v>39.965679501792572</v>
      </c>
      <c r="AM123" s="8">
        <f t="shared" si="34"/>
        <v>175.47383609394248</v>
      </c>
    </row>
    <row r="124" spans="1:39" x14ac:dyDescent="0.25">
      <c r="A124" s="22">
        <f t="shared" si="35"/>
        <v>65</v>
      </c>
      <c r="B124" s="8">
        <f t="shared" si="10"/>
        <v>408.40704496667308</v>
      </c>
      <c r="C124" s="9">
        <f t="shared" si="11"/>
        <v>40.320708229946462</v>
      </c>
      <c r="D124" s="9">
        <f t="shared" si="12"/>
        <v>0.99998863321494713</v>
      </c>
      <c r="E124" s="9">
        <f t="shared" si="13"/>
        <v>2.2930695968396926E-2</v>
      </c>
      <c r="F124" s="9">
        <f t="shared" si="14"/>
        <v>2.1843139443901865E-3</v>
      </c>
      <c r="G124" s="9">
        <f t="shared" si="15"/>
        <v>5.6504674836315707E-4</v>
      </c>
      <c r="H124" s="9">
        <f t="shared" si="16"/>
        <v>4.0004282035634222E-8</v>
      </c>
      <c r="I124" s="9">
        <f t="shared" si="17"/>
        <v>0</v>
      </c>
      <c r="J124" s="9">
        <f t="shared" si="18"/>
        <v>4.0815656786892279E-2</v>
      </c>
      <c r="K124" s="9">
        <f t="shared" si="19"/>
        <v>0</v>
      </c>
      <c r="L124" s="9">
        <f t="shared" si="20"/>
        <v>0.99999998452497152</v>
      </c>
      <c r="M124" s="9">
        <f t="shared" si="21"/>
        <v>3.3783430759643196E-4</v>
      </c>
      <c r="N124" s="9">
        <f t="shared" si="22"/>
        <v>3.6125465850600334E-7</v>
      </c>
      <c r="O124" s="9">
        <f t="shared" si="0"/>
        <v>3.7970625425828163E-9</v>
      </c>
      <c r="P124" s="9">
        <f t="shared" si="23"/>
        <v>0</v>
      </c>
      <c r="Q124" s="9">
        <f t="shared" si="24"/>
        <v>0</v>
      </c>
      <c r="R124" s="23">
        <f t="shared" si="25"/>
        <v>40.278272980916107</v>
      </c>
      <c r="S124" s="8">
        <f t="shared" si="1"/>
        <v>2.2926938634989395E-2</v>
      </c>
      <c r="T124" s="8">
        <f t="shared" si="2"/>
        <v>1.1406314071143194E-2</v>
      </c>
      <c r="U124" s="8">
        <f t="shared" si="3"/>
        <v>9.5975655272480484E-5</v>
      </c>
      <c r="V124" s="8">
        <f t="shared" si="4"/>
        <v>0</v>
      </c>
      <c r="W124" s="8">
        <f t="shared" si="5"/>
        <v>9.6868161108014827E-2</v>
      </c>
      <c r="X124" s="8">
        <f t="shared" si="6"/>
        <v>0</v>
      </c>
      <c r="Y124" s="8">
        <f t="shared" si="7"/>
        <v>3.3783429997185727E-4</v>
      </c>
      <c r="Z124" s="8">
        <f t="shared" si="8"/>
        <v>2.9568670046969774E-5</v>
      </c>
      <c r="AA124" s="8">
        <f t="shared" si="26"/>
        <v>0</v>
      </c>
      <c r="AB124" s="8">
        <f t="shared" si="27"/>
        <v>0</v>
      </c>
      <c r="AC124" s="8">
        <f t="shared" si="9"/>
        <v>-2.2926938634989395E-2</v>
      </c>
      <c r="AD124" s="8">
        <f t="shared" si="28"/>
        <v>-6.225771605125221</v>
      </c>
      <c r="AF124" s="23">
        <f t="shared" si="29"/>
        <v>14.297924002722443</v>
      </c>
      <c r="AG124" s="8">
        <f t="shared" si="30"/>
        <v>-1.3142831064643601</v>
      </c>
      <c r="AI124" s="12">
        <f t="shared" si="31"/>
        <v>-13.979400407970751</v>
      </c>
      <c r="AJ124" s="8">
        <f t="shared" si="32"/>
        <v>-1.3864508294868733E-2</v>
      </c>
      <c r="AL124" s="12">
        <f t="shared" si="33"/>
        <v>39.959749386164411</v>
      </c>
      <c r="AM124" s="8">
        <f t="shared" si="34"/>
        <v>175.09921820788364</v>
      </c>
    </row>
    <row r="125" spans="1:39" x14ac:dyDescent="0.25">
      <c r="A125" s="22">
        <f t="shared" si="35"/>
        <v>70</v>
      </c>
      <c r="B125" s="8">
        <f t="shared" si="10"/>
        <v>439.82297150257102</v>
      </c>
      <c r="C125" s="9">
        <f t="shared" si="11"/>
        <v>40.320708229946462</v>
      </c>
      <c r="D125" s="9">
        <f t="shared" si="12"/>
        <v>0.99998681721970206</v>
      </c>
      <c r="E125" s="9">
        <f t="shared" si="13"/>
        <v>2.4694595249030869E-2</v>
      </c>
      <c r="F125" s="9">
        <f t="shared" si="14"/>
        <v>2.5331854368518623E-3</v>
      </c>
      <c r="G125" s="9">
        <f t="shared" si="15"/>
        <v>6.5531367877217424E-4</v>
      </c>
      <c r="H125" s="9">
        <f t="shared" si="16"/>
        <v>4.6395499222929215E-8</v>
      </c>
      <c r="I125" s="9">
        <f t="shared" si="17"/>
        <v>0</v>
      </c>
      <c r="J125" s="9">
        <f t="shared" si="18"/>
        <v>4.7301110309259035E-2</v>
      </c>
      <c r="K125" s="9">
        <f t="shared" si="19"/>
        <v>0</v>
      </c>
      <c r="L125" s="9">
        <f t="shared" si="20"/>
        <v>0.99999998205262974</v>
      </c>
      <c r="M125" s="9">
        <f t="shared" si="21"/>
        <v>3.6382156202692675E-4</v>
      </c>
      <c r="N125" s="9">
        <f t="shared" si="22"/>
        <v>4.1896989779755515E-7</v>
      </c>
      <c r="O125" s="9">
        <f t="shared" si="0"/>
        <v>4.4036939503360514E-9</v>
      </c>
      <c r="P125" s="9">
        <f t="shared" si="23"/>
        <v>0</v>
      </c>
      <c r="Q125" s="9">
        <f t="shared" si="24"/>
        <v>0</v>
      </c>
      <c r="R125" s="23">
        <f t="shared" si="25"/>
        <v>40.27152887090103</v>
      </c>
      <c r="S125" s="8">
        <f t="shared" si="1"/>
        <v>2.4689902656573771E-2</v>
      </c>
      <c r="T125" s="8">
        <f t="shared" si="2"/>
        <v>1.2283637739930919E-2</v>
      </c>
      <c r="U125" s="8">
        <f t="shared" si="3"/>
        <v>1.0335839793504636E-4</v>
      </c>
      <c r="V125" s="8">
        <f t="shared" si="4"/>
        <v>0</v>
      </c>
      <c r="W125" s="8">
        <f t="shared" si="5"/>
        <v>0.10426757297886394</v>
      </c>
      <c r="X125" s="8">
        <f t="shared" si="6"/>
        <v>0</v>
      </c>
      <c r="Y125" s="8">
        <f t="shared" si="7"/>
        <v>3.6382155250401694E-4</v>
      </c>
      <c r="Z125" s="8">
        <f t="shared" si="8"/>
        <v>3.184318312602327E-5</v>
      </c>
      <c r="AA125" s="8">
        <f t="shared" si="26"/>
        <v>0</v>
      </c>
      <c r="AB125" s="8">
        <f t="shared" si="27"/>
        <v>0</v>
      </c>
      <c r="AC125" s="8">
        <f t="shared" si="9"/>
        <v>-2.4689902656573771E-2</v>
      </c>
      <c r="AD125" s="8">
        <f t="shared" si="28"/>
        <v>-6.7016664104809145</v>
      </c>
      <c r="AF125" s="23">
        <f t="shared" si="29"/>
        <v>14.297575131229982</v>
      </c>
      <c r="AG125" s="8">
        <f t="shared" si="30"/>
        <v>-1.4153447382749293</v>
      </c>
      <c r="AI125" s="12">
        <f t="shared" si="31"/>
        <v>-13.979400459294773</v>
      </c>
      <c r="AJ125" s="8">
        <f t="shared" si="32"/>
        <v>-1.4931008860641626E-2</v>
      </c>
      <c r="AL125" s="12">
        <f t="shared" si="33"/>
        <v>39.953354198965819</v>
      </c>
      <c r="AM125" s="8">
        <f t="shared" si="34"/>
        <v>174.72521015414949</v>
      </c>
    </row>
    <row r="126" spans="1:39" x14ac:dyDescent="0.25">
      <c r="A126" s="22">
        <f t="shared" si="35"/>
        <v>75</v>
      </c>
      <c r="B126" s="8">
        <f t="shared" si="10"/>
        <v>471.23889803846896</v>
      </c>
      <c r="C126" s="9">
        <f t="shared" si="11"/>
        <v>40.320708229946462</v>
      </c>
      <c r="D126" s="9">
        <f t="shared" si="12"/>
        <v>0.99998486670629061</v>
      </c>
      <c r="E126" s="9">
        <f t="shared" si="13"/>
        <v>2.6458494438721978E-2</v>
      </c>
      <c r="F126" s="9">
        <f t="shared" si="14"/>
        <v>2.9078680538329486E-3</v>
      </c>
      <c r="G126" s="9">
        <f t="shared" si="15"/>
        <v>7.522649587327786E-4</v>
      </c>
      <c r="H126" s="9">
        <f t="shared" si="16"/>
        <v>5.3260139471751205E-8</v>
      </c>
      <c r="I126" s="9">
        <f t="shared" si="17"/>
        <v>0</v>
      </c>
      <c r="J126" s="9">
        <f t="shared" si="18"/>
        <v>5.4256197071053246E-2</v>
      </c>
      <c r="K126" s="9">
        <f t="shared" si="19"/>
        <v>0</v>
      </c>
      <c r="L126" s="9">
        <f t="shared" si="20"/>
        <v>0.99999997939715146</v>
      </c>
      <c r="M126" s="9">
        <f t="shared" si="21"/>
        <v>3.8980881645742153E-4</v>
      </c>
      <c r="N126" s="9">
        <f t="shared" si="22"/>
        <v>4.8096033957242778E-7</v>
      </c>
      <c r="O126" s="9">
        <f t="shared" si="0"/>
        <v>5.0552610893073316E-9</v>
      </c>
      <c r="P126" s="9">
        <f t="shared" si="23"/>
        <v>0</v>
      </c>
      <c r="Q126" s="9">
        <f t="shared" si="24"/>
        <v>0</v>
      </c>
      <c r="R126" s="23">
        <f t="shared" si="25"/>
        <v>40.264295997024846</v>
      </c>
      <c r="S126" s="8">
        <f t="shared" si="1"/>
        <v>2.6452723054173032E-2</v>
      </c>
      <c r="T126" s="8">
        <f t="shared" si="2"/>
        <v>1.3160942498826158E-2</v>
      </c>
      <c r="U126" s="8">
        <f t="shared" si="3"/>
        <v>1.1074114058634518E-4</v>
      </c>
      <c r="V126" s="8">
        <f t="shared" si="4"/>
        <v>0</v>
      </c>
      <c r="W126" s="8">
        <f t="shared" si="5"/>
        <v>0.11165554365018544</v>
      </c>
      <c r="X126" s="8">
        <f t="shared" si="6"/>
        <v>0</v>
      </c>
      <c r="Y126" s="8">
        <f t="shared" si="7"/>
        <v>3.8980880474465905E-4</v>
      </c>
      <c r="Z126" s="8">
        <f t="shared" si="8"/>
        <v>3.4117696204747287E-5</v>
      </c>
      <c r="AA126" s="8">
        <f t="shared" si="26"/>
        <v>0</v>
      </c>
      <c r="AB126" s="8">
        <f t="shared" si="27"/>
        <v>0</v>
      </c>
      <c r="AC126" s="8">
        <f t="shared" si="9"/>
        <v>-2.6452723054173032E-2</v>
      </c>
      <c r="AD126" s="8">
        <f t="shared" si="28"/>
        <v>-7.176898537783881</v>
      </c>
      <c r="AF126" s="23">
        <f t="shared" si="29"/>
        <v>14.297200448612999</v>
      </c>
      <c r="AG126" s="8">
        <f t="shared" si="30"/>
        <v>-1.5163981368634223</v>
      </c>
      <c r="AI126" s="12">
        <f t="shared" si="31"/>
        <v>-13.979400514420576</v>
      </c>
      <c r="AJ126" s="8">
        <f t="shared" si="32"/>
        <v>-1.5997509410349203E-2</v>
      </c>
      <c r="AL126" s="12">
        <f t="shared" si="33"/>
        <v>39.946496062832416</v>
      </c>
      <c r="AM126" s="8">
        <f t="shared" si="34"/>
        <v>174.35185688134982</v>
      </c>
    </row>
    <row r="127" spans="1:39" x14ac:dyDescent="0.25">
      <c r="A127" s="22">
        <f t="shared" si="35"/>
        <v>80</v>
      </c>
      <c r="B127" s="8">
        <f t="shared" si="10"/>
        <v>502.6548245743669</v>
      </c>
      <c r="C127" s="9">
        <f t="shared" si="11"/>
        <v>40.320708229946462</v>
      </c>
      <c r="D127" s="9">
        <f t="shared" si="12"/>
        <v>0.99998278167471288</v>
      </c>
      <c r="E127" s="9">
        <f t="shared" si="13"/>
        <v>2.8222393530974343E-2</v>
      </c>
      <c r="F127" s="9">
        <f t="shared" si="14"/>
        <v>3.3083551140189816E-3</v>
      </c>
      <c r="G127" s="9">
        <f t="shared" si="15"/>
        <v>8.5590014054789433E-4</v>
      </c>
      <c r="H127" s="9">
        <f t="shared" si="16"/>
        <v>6.0598202780977747E-8</v>
      </c>
      <c r="I127" s="9">
        <f t="shared" si="17"/>
        <v>0</v>
      </c>
      <c r="J127" s="9">
        <f t="shared" si="18"/>
        <v>6.1678648504138518E-2</v>
      </c>
      <c r="K127" s="9">
        <f t="shared" si="19"/>
        <v>0</v>
      </c>
      <c r="L127" s="9">
        <f t="shared" si="20"/>
        <v>0.99999997655853679</v>
      </c>
      <c r="M127" s="9">
        <f t="shared" si="21"/>
        <v>4.1579607088791632E-4</v>
      </c>
      <c r="N127" s="9">
        <f t="shared" si="22"/>
        <v>5.4722598181043111E-7</v>
      </c>
      <c r="O127" s="9">
        <f t="shared" ref="O127:O158" si="36">20*LOG10(SQRT(1+($B$84*B127)^2))</f>
        <v>5.7517639594865449E-9</v>
      </c>
      <c r="P127" s="9">
        <f t="shared" si="23"/>
        <v>0</v>
      </c>
      <c r="Q127" s="9">
        <f t="shared" si="24"/>
        <v>0</v>
      </c>
      <c r="R127" s="23">
        <f t="shared" si="25"/>
        <v>40.256576634089306</v>
      </c>
      <c r="S127" s="8">
        <f t="shared" ref="S127:S158" si="37">ATAN2(D127,E127)</f>
        <v>2.8215389595478792E-2</v>
      </c>
      <c r="T127" s="8">
        <f t="shared" ref="T127:T158" si="38">ATAN($B$76*B127)</f>
        <v>1.4038226998026874E-2</v>
      </c>
      <c r="U127" s="8">
        <f t="shared" ref="U127:U158" si="39">ATAN($B$77*B127)</f>
        <v>1.1812388322557213E-4</v>
      </c>
      <c r="V127" s="8">
        <f t="shared" ref="V127:V158" si="40">ATAN($B$78*B127)</f>
        <v>0</v>
      </c>
      <c r="W127" s="8">
        <f t="shared" ref="W127:W158" si="41">ATAN($B$79*B127)</f>
        <v>0.11903129509039724</v>
      </c>
      <c r="X127" s="8">
        <f t="shared" ref="X127:X158" si="42">ATAN($B$80*B127)</f>
        <v>0</v>
      </c>
      <c r="Y127" s="8">
        <f t="shared" ref="Y127:Y158" si="43">ATAN2(L127,M127)</f>
        <v>4.1579605667296083E-4</v>
      </c>
      <c r="Z127" s="8">
        <f t="shared" ref="Z127:Z159" si="44">ATAN($B$84*B127)</f>
        <v>3.6392209283118301E-5</v>
      </c>
      <c r="AA127" s="8">
        <f t="shared" si="26"/>
        <v>0</v>
      </c>
      <c r="AB127" s="8">
        <f t="shared" si="27"/>
        <v>0</v>
      </c>
      <c r="AC127" s="8">
        <f t="shared" ref="AC127:AC158" si="45">IF(-S127&gt;0,-S127-2*PI(),-S127)</f>
        <v>-2.8215389595478792E-2</v>
      </c>
      <c r="AD127" s="8">
        <f t="shared" si="28"/>
        <v>-7.651422900176863</v>
      </c>
      <c r="AF127" s="23">
        <f t="shared" si="29"/>
        <v>14.296799961552814</v>
      </c>
      <c r="AG127" s="8">
        <f t="shared" si="30"/>
        <v>-1.6174427156643894</v>
      </c>
      <c r="AI127" s="12">
        <f t="shared" si="31"/>
        <v>-13.979400573348155</v>
      </c>
      <c r="AJ127" s="8">
        <f t="shared" si="32"/>
        <v>-1.7064009942843936E-2</v>
      </c>
      <c r="AL127" s="12">
        <f t="shared" si="33"/>
        <v>39.939177245884643</v>
      </c>
      <c r="AM127" s="8">
        <f t="shared" si="34"/>
        <v>173.97920291264407</v>
      </c>
    </row>
    <row r="128" spans="1:39" x14ac:dyDescent="0.25">
      <c r="A128" s="22">
        <f t="shared" si="35"/>
        <v>85</v>
      </c>
      <c r="B128" s="8">
        <f t="shared" si="10"/>
        <v>534.07075111026484</v>
      </c>
      <c r="C128" s="9">
        <f t="shared" si="11"/>
        <v>40.320708229946462</v>
      </c>
      <c r="D128" s="9">
        <f t="shared" si="12"/>
        <v>0.99998056212496877</v>
      </c>
      <c r="E128" s="9">
        <f t="shared" si="13"/>
        <v>2.9986292519292041E-2</v>
      </c>
      <c r="F128" s="9">
        <f t="shared" si="14"/>
        <v>3.7346394774369325E-3</v>
      </c>
      <c r="G128" s="9">
        <f t="shared" si="15"/>
        <v>9.6621874568629572E-4</v>
      </c>
      <c r="H128" s="9">
        <f t="shared" si="16"/>
        <v>6.8409689149408947E-8</v>
      </c>
      <c r="I128" s="9">
        <f t="shared" si="17"/>
        <v>0</v>
      </c>
      <c r="J128" s="9">
        <f t="shared" si="18"/>
        <v>6.9566052951795188E-2</v>
      </c>
      <c r="K128" s="9">
        <f t="shared" si="19"/>
        <v>0</v>
      </c>
      <c r="L128" s="9">
        <f t="shared" si="20"/>
        <v>0.99999997353678571</v>
      </c>
      <c r="M128" s="9">
        <f t="shared" si="21"/>
        <v>4.4178332531841105E-4</v>
      </c>
      <c r="N128" s="9">
        <f t="shared" si="22"/>
        <v>6.1776682634237197E-7</v>
      </c>
      <c r="O128" s="9">
        <f t="shared" si="36"/>
        <v>6.4932025608628822E-9</v>
      </c>
      <c r="P128" s="9">
        <f t="shared" si="23"/>
        <v>0</v>
      </c>
      <c r="Q128" s="9">
        <f t="shared" si="24"/>
        <v>0</v>
      </c>
      <c r="R128" s="23">
        <f t="shared" si="25"/>
        <v>40.24837320041258</v>
      </c>
      <c r="S128" s="8">
        <f t="shared" si="37"/>
        <v>2.9977892053667184E-2</v>
      </c>
      <c r="T128" s="8">
        <f t="shared" si="38"/>
        <v>1.4915489887918111E-2</v>
      </c>
      <c r="U128" s="8">
        <f t="shared" si="39"/>
        <v>1.2550662585192243E-4</v>
      </c>
      <c r="V128" s="8">
        <f t="shared" si="40"/>
        <v>0</v>
      </c>
      <c r="W128" s="8">
        <f t="shared" si="41"/>
        <v>0.12639405715627</v>
      </c>
      <c r="X128" s="8">
        <f t="shared" si="42"/>
        <v>0</v>
      </c>
      <c r="Y128" s="8">
        <f t="shared" si="43"/>
        <v>4.4178330826809959E-4</v>
      </c>
      <c r="Z128" s="8">
        <f t="shared" si="44"/>
        <v>3.8666722361112765E-5</v>
      </c>
      <c r="AA128" s="8">
        <f t="shared" si="26"/>
        <v>0</v>
      </c>
      <c r="AB128" s="8">
        <f t="shared" si="27"/>
        <v>0</v>
      </c>
      <c r="AC128" s="8">
        <f t="shared" si="45"/>
        <v>-2.9977892053667184E-2</v>
      </c>
      <c r="AD128" s="8">
        <f t="shared" si="28"/>
        <v>-8.1251948630754462</v>
      </c>
      <c r="AF128" s="23">
        <f t="shared" si="29"/>
        <v>14.296373677189395</v>
      </c>
      <c r="AG128" s="8">
        <f t="shared" si="30"/>
        <v>-1.7184778884267813</v>
      </c>
      <c r="AI128" s="12">
        <f t="shared" si="31"/>
        <v>-13.979400636077512</v>
      </c>
      <c r="AJ128" s="8">
        <f t="shared" si="32"/>
        <v>-1.8130510456978308E-2</v>
      </c>
      <c r="AL128" s="12">
        <f t="shared" si="33"/>
        <v>39.931400159300694</v>
      </c>
      <c r="AM128" s="8">
        <f t="shared" si="34"/>
        <v>173.6072923190037</v>
      </c>
    </row>
    <row r="129" spans="1:39" x14ac:dyDescent="0.25">
      <c r="A129" s="22">
        <f t="shared" si="35"/>
        <v>90</v>
      </c>
      <c r="B129" s="8">
        <f t="shared" si="10"/>
        <v>565.48667764616278</v>
      </c>
      <c r="C129" s="9">
        <f t="shared" si="11"/>
        <v>40.320708229946462</v>
      </c>
      <c r="D129" s="9">
        <f t="shared" si="12"/>
        <v>0.99997820805705839</v>
      </c>
      <c r="E129" s="9">
        <f t="shared" si="13"/>
        <v>3.1750191397179162E-2</v>
      </c>
      <c r="F129" s="9">
        <f t="shared" si="14"/>
        <v>4.1867135458839759E-3</v>
      </c>
      <c r="G129" s="9">
        <f t="shared" si="15"/>
        <v>1.0832202647852807E-3</v>
      </c>
      <c r="H129" s="9">
        <f t="shared" si="16"/>
        <v>7.6694600504422431E-8</v>
      </c>
      <c r="I129" s="9">
        <f t="shared" si="17"/>
        <v>0</v>
      </c>
      <c r="J129" s="9">
        <f t="shared" si="18"/>
        <v>7.7915858233004995E-2</v>
      </c>
      <c r="K129" s="9">
        <f t="shared" si="19"/>
        <v>0</v>
      </c>
      <c r="L129" s="9">
        <f t="shared" si="20"/>
        <v>0.99999997033189814</v>
      </c>
      <c r="M129" s="9">
        <f t="shared" si="21"/>
        <v>4.6777057974890584E-4</v>
      </c>
      <c r="N129" s="9">
        <f t="shared" si="22"/>
        <v>6.9258287306408965E-7</v>
      </c>
      <c r="O129" s="9">
        <f t="shared" si="36"/>
        <v>7.2795768934248344E-9</v>
      </c>
      <c r="P129" s="9">
        <f t="shared" si="23"/>
        <v>0</v>
      </c>
      <c r="Q129" s="9">
        <f t="shared" si="24"/>
        <v>0</v>
      </c>
      <c r="R129" s="23">
        <f t="shared" si="25"/>
        <v>40.239688255264504</v>
      </c>
      <c r="S129" s="8">
        <f t="shared" si="37"/>
        <v>3.1740220207761807E-2</v>
      </c>
      <c r="T129" s="8">
        <f t="shared" si="38"/>
        <v>1.5792729819084445E-2</v>
      </c>
      <c r="U129" s="8">
        <f t="shared" si="39"/>
        <v>1.3288936846459124E-4</v>
      </c>
      <c r="V129" s="8">
        <f t="shared" si="40"/>
        <v>0</v>
      </c>
      <c r="W129" s="8">
        <f t="shared" si="41"/>
        <v>0.13374306804684896</v>
      </c>
      <c r="X129" s="8">
        <f t="shared" si="42"/>
        <v>0</v>
      </c>
      <c r="Y129" s="8">
        <f t="shared" si="43"/>
        <v>4.6777055950925279E-4</v>
      </c>
      <c r="Z129" s="8">
        <f t="shared" si="44"/>
        <v>4.0941235438707158E-5</v>
      </c>
      <c r="AA129" s="8">
        <f t="shared" si="26"/>
        <v>0</v>
      </c>
      <c r="AB129" s="8">
        <f t="shared" si="27"/>
        <v>0</v>
      </c>
      <c r="AC129" s="8">
        <f t="shared" si="45"/>
        <v>-3.1740220207761807E-2</v>
      </c>
      <c r="AD129" s="8">
        <f t="shared" si="28"/>
        <v>-8.5981702701959435</v>
      </c>
      <c r="AF129" s="23">
        <f t="shared" si="29"/>
        <v>14.295921603120949</v>
      </c>
      <c r="AG129" s="8">
        <f t="shared" si="30"/>
        <v>-1.8195030692347531</v>
      </c>
      <c r="AI129" s="12">
        <f t="shared" si="31"/>
        <v>-13.979400702608647</v>
      </c>
      <c r="AJ129" s="8">
        <f t="shared" si="32"/>
        <v>-1.9197010951604799E-2</v>
      </c>
      <c r="AL129" s="12">
        <f t="shared" si="33"/>
        <v>39.923167354752202</v>
      </c>
      <c r="AM129" s="8">
        <f t="shared" si="34"/>
        <v>173.23616869319218</v>
      </c>
    </row>
    <row r="130" spans="1:39" x14ac:dyDescent="0.25">
      <c r="A130" s="22">
        <f t="shared" si="35"/>
        <v>95</v>
      </c>
      <c r="B130" s="8">
        <f t="shared" si="10"/>
        <v>596.90260418206071</v>
      </c>
      <c r="C130" s="9">
        <f t="shared" si="11"/>
        <v>40.320708229946462</v>
      </c>
      <c r="D130" s="9">
        <f t="shared" si="12"/>
        <v>0.99997571947098174</v>
      </c>
      <c r="E130" s="9">
        <f t="shared" si="13"/>
        <v>3.3514090158139775E-2</v>
      </c>
      <c r="F130" s="9">
        <f t="shared" si="14"/>
        <v>4.6645692633712184E-3</v>
      </c>
      <c r="G130" s="9">
        <f t="shared" si="15"/>
        <v>1.2069041576536397E-3</v>
      </c>
      <c r="H130" s="9">
        <f t="shared" si="16"/>
        <v>8.5452934916008577E-8</v>
      </c>
      <c r="I130" s="9">
        <f t="shared" si="17"/>
        <v>0</v>
      </c>
      <c r="J130" s="9">
        <f t="shared" si="18"/>
        <v>8.6725374338314926E-2</v>
      </c>
      <c r="K130" s="9">
        <f t="shared" si="19"/>
        <v>0</v>
      </c>
      <c r="L130" s="9">
        <f t="shared" si="20"/>
        <v>0.99999996694387416</v>
      </c>
      <c r="M130" s="9">
        <f t="shared" si="21"/>
        <v>4.9375783417940063E-4</v>
      </c>
      <c r="N130" s="9">
        <f t="shared" si="22"/>
        <v>7.7167411993645568E-7</v>
      </c>
      <c r="O130" s="9">
        <f t="shared" si="36"/>
        <v>8.110886957160198E-9</v>
      </c>
      <c r="P130" s="9">
        <f t="shared" si="23"/>
        <v>0</v>
      </c>
      <c r="Q130" s="9">
        <f t="shared" si="24"/>
        <v>0</v>
      </c>
      <c r="R130" s="23">
        <f t="shared" si="25"/>
        <v>40.230524496170361</v>
      </c>
      <c r="S130" s="8">
        <f t="shared" si="37"/>
        <v>3.3502363842996132E-2</v>
      </c>
      <c r="T130" s="8">
        <f t="shared" si="38"/>
        <v>1.6669945442322413E-2</v>
      </c>
      <c r="U130" s="8">
        <f t="shared" si="39"/>
        <v>1.4027211106277385E-4</v>
      </c>
      <c r="V130" s="8">
        <f t="shared" si="40"/>
        <v>0</v>
      </c>
      <c r="W130" s="8">
        <f t="shared" si="41"/>
        <v>0.1410775747442474</v>
      </c>
      <c r="X130" s="8">
        <f t="shared" si="42"/>
        <v>0</v>
      </c>
      <c r="Y130" s="8">
        <f t="shared" si="43"/>
        <v>4.9375781037559773E-4</v>
      </c>
      <c r="Z130" s="8">
        <f t="shared" si="44"/>
        <v>4.3215748515877941E-5</v>
      </c>
      <c r="AA130" s="8">
        <f t="shared" si="26"/>
        <v>0</v>
      </c>
      <c r="AB130" s="8">
        <f t="shared" si="27"/>
        <v>0</v>
      </c>
      <c r="AC130" s="8">
        <f t="shared" si="45"/>
        <v>-3.3502363842996132E-2</v>
      </c>
      <c r="AD130" s="8">
        <f t="shared" si="28"/>
        <v>-9.0703054688310552</v>
      </c>
      <c r="AF130" s="23">
        <f t="shared" si="29"/>
        <v>14.295443747403462</v>
      </c>
      <c r="AG130" s="8">
        <f t="shared" si="30"/>
        <v>-1.9205176725284405</v>
      </c>
      <c r="AI130" s="12">
        <f t="shared" si="31"/>
        <v>-13.97940077294156</v>
      </c>
      <c r="AJ130" s="8">
        <f t="shared" si="32"/>
        <v>-2.0263511425575888E-2</v>
      </c>
      <c r="AL130" s="12">
        <f t="shared" si="33"/>
        <v>39.914481521708453</v>
      </c>
      <c r="AM130" s="8">
        <f t="shared" si="34"/>
        <v>172.86587512449702</v>
      </c>
    </row>
    <row r="131" spans="1:39" x14ac:dyDescent="0.25">
      <c r="A131" s="22">
        <f t="shared" si="35"/>
        <v>100</v>
      </c>
      <c r="B131" s="8">
        <f t="shared" si="10"/>
        <v>628.31853071795865</v>
      </c>
      <c r="C131" s="9">
        <f t="shared" si="11"/>
        <v>40.320708229946462</v>
      </c>
      <c r="D131" s="9">
        <f t="shared" si="12"/>
        <v>0.99997309636673881</v>
      </c>
      <c r="E131" s="9">
        <f t="shared" si="13"/>
        <v>3.5277988795677985E-2</v>
      </c>
      <c r="F131" s="9">
        <f t="shared" si="14"/>
        <v>5.1681981166112638E-3</v>
      </c>
      <c r="G131" s="9">
        <f t="shared" si="15"/>
        <v>1.3372698532922783E-3</v>
      </c>
      <c r="H131" s="9">
        <f t="shared" si="16"/>
        <v>9.4684690454080378E-8</v>
      </c>
      <c r="I131" s="9">
        <f t="shared" si="17"/>
        <v>0</v>
      </c>
      <c r="J131" s="9">
        <f t="shared" si="18"/>
        <v>9.5991776251443187E-2</v>
      </c>
      <c r="K131" s="9">
        <f t="shared" si="19"/>
        <v>0</v>
      </c>
      <c r="L131" s="9">
        <f t="shared" si="20"/>
        <v>0.99999996337271368</v>
      </c>
      <c r="M131" s="9">
        <f t="shared" si="21"/>
        <v>5.1974508860989541E-4</v>
      </c>
      <c r="N131" s="9">
        <f t="shared" si="22"/>
        <v>8.550405668426837E-7</v>
      </c>
      <c r="O131" s="9">
        <f t="shared" si="36"/>
        <v>8.9871327520560714E-9</v>
      </c>
      <c r="P131" s="9">
        <f t="shared" si="23"/>
        <v>0</v>
      </c>
      <c r="Q131" s="9">
        <f t="shared" si="24"/>
        <v>0</v>
      </c>
      <c r="R131" s="23">
        <f t="shared" si="25"/>
        <v>40.220884756088694</v>
      </c>
      <c r="S131" s="8">
        <f t="shared" si="37"/>
        <v>3.5264312751175392E-2</v>
      </c>
      <c r="T131" s="8">
        <f t="shared" si="38"/>
        <v>1.7547135408652974E-2</v>
      </c>
      <c r="U131" s="8">
        <f t="shared" si="39"/>
        <v>1.4765485364566541E-4</v>
      </c>
      <c r="V131" s="8">
        <f t="shared" si="40"/>
        <v>0</v>
      </c>
      <c r="W131" s="8">
        <f t="shared" si="41"/>
        <v>0.14839683344073099</v>
      </c>
      <c r="X131" s="8">
        <f t="shared" si="42"/>
        <v>0</v>
      </c>
      <c r="Y131" s="8">
        <f t="shared" si="43"/>
        <v>5.1974506084631156E-4</v>
      </c>
      <c r="Z131" s="8">
        <f t="shared" si="44"/>
        <v>4.5490261592601571E-5</v>
      </c>
      <c r="AA131" s="8">
        <f t="shared" si="26"/>
        <v>0</v>
      </c>
      <c r="AB131" s="8">
        <f t="shared" si="27"/>
        <v>0</v>
      </c>
      <c r="AC131" s="8">
        <f t="shared" si="45"/>
        <v>-3.5264312751175392E-2</v>
      </c>
      <c r="AD131" s="8">
        <f t="shared" si="28"/>
        <v>-9.5415573343400126</v>
      </c>
      <c r="AF131" s="23">
        <f t="shared" si="29"/>
        <v>14.294940118550223</v>
      </c>
      <c r="AG131" s="8">
        <f t="shared" si="30"/>
        <v>-2.0215211131247042</v>
      </c>
      <c r="AI131" s="12">
        <f t="shared" si="31"/>
        <v>-13.979400847076251</v>
      </c>
      <c r="AJ131" s="8">
        <f t="shared" si="32"/>
        <v>-2.1330011877744047E-2</v>
      </c>
      <c r="AL131" s="12">
        <f t="shared" si="33"/>
        <v>39.90534548461472</v>
      </c>
      <c r="AM131" s="8">
        <f t="shared" si="34"/>
        <v>172.49645417424819</v>
      </c>
    </row>
    <row r="132" spans="1:39" x14ac:dyDescent="0.25">
      <c r="A132" s="22">
        <f>A131+50</f>
        <v>150</v>
      </c>
      <c r="B132" s="8">
        <f t="shared" si="10"/>
        <v>942.47779607693792</v>
      </c>
      <c r="C132" s="9">
        <f t="shared" si="11"/>
        <v>40.320708229946462</v>
      </c>
      <c r="D132" s="9">
        <f t="shared" si="12"/>
        <v>0.99993946682516233</v>
      </c>
      <c r="E132" s="9">
        <f t="shared" si="13"/>
        <v>5.2916966953725567E-2</v>
      </c>
      <c r="F132" s="9">
        <f t="shared" si="14"/>
        <v>1.1619810311296191E-2</v>
      </c>
      <c r="G132" s="9">
        <f t="shared" si="15"/>
        <v>3.0082783274854585E-3</v>
      </c>
      <c r="H132" s="9">
        <f t="shared" si="16"/>
        <v>2.1304055207021188E-7</v>
      </c>
      <c r="I132" s="9">
        <f t="shared" si="17"/>
        <v>0</v>
      </c>
      <c r="J132" s="9">
        <f t="shared" si="18"/>
        <v>0.21307268793965162</v>
      </c>
      <c r="K132" s="9">
        <f t="shared" si="19"/>
        <v>0</v>
      </c>
      <c r="L132" s="9">
        <f t="shared" si="20"/>
        <v>0.99999991758860585</v>
      </c>
      <c r="M132" s="9">
        <f t="shared" si="21"/>
        <v>7.7961763291484307E-4</v>
      </c>
      <c r="N132" s="9">
        <f t="shared" si="22"/>
        <v>1.9238410577057905E-6</v>
      </c>
      <c r="O132" s="9">
        <f t="shared" si="36"/>
        <v>2.0221050125540886E-8</v>
      </c>
      <c r="P132" s="9">
        <f t="shared" si="23"/>
        <v>0</v>
      </c>
      <c r="Q132" s="9">
        <f t="shared" si="24"/>
        <v>0</v>
      </c>
      <c r="R132" s="23">
        <f t="shared" si="25"/>
        <v>40.099022279001446</v>
      </c>
      <c r="S132" s="8">
        <f t="shared" si="37"/>
        <v>5.2870851462206901E-2</v>
      </c>
      <c r="T132" s="8">
        <f t="shared" si="38"/>
        <v>2.6317327351989904E-2</v>
      </c>
      <c r="U132" s="8">
        <f t="shared" si="39"/>
        <v>2.2148227845652027E-4</v>
      </c>
      <c r="V132" s="8">
        <f t="shared" si="40"/>
        <v>0</v>
      </c>
      <c r="W132" s="8">
        <f t="shared" si="41"/>
        <v>0.22059450864045591</v>
      </c>
      <c r="X132" s="8">
        <f t="shared" si="42"/>
        <v>0</v>
      </c>
      <c r="Y132" s="8">
        <f t="shared" si="43"/>
        <v>7.7961753921276106E-4</v>
      </c>
      <c r="Z132" s="8">
        <f t="shared" si="44"/>
        <v>6.8235392330067413E-5</v>
      </c>
      <c r="AA132" s="8">
        <f t="shared" si="26"/>
        <v>0</v>
      </c>
      <c r="AB132" s="8">
        <f t="shared" si="27"/>
        <v>0</v>
      </c>
      <c r="AC132" s="8">
        <f t="shared" si="45"/>
        <v>-5.2870851462206901E-2</v>
      </c>
      <c r="AD132" s="8">
        <f t="shared" si="28"/>
        <v>-14.196427586407301</v>
      </c>
      <c r="AF132" s="23">
        <f t="shared" si="29"/>
        <v>14.288488506355536</v>
      </c>
      <c r="AG132" s="8">
        <f t="shared" si="30"/>
        <v>-3.0308131411456181</v>
      </c>
      <c r="AI132" s="12">
        <f t="shared" si="31"/>
        <v>-13.979401797520881</v>
      </c>
      <c r="AJ132" s="8">
        <f t="shared" si="32"/>
        <v>-3.1995014947809979E-2</v>
      </c>
      <c r="AL132" s="12">
        <f t="shared" si="33"/>
        <v>39.789935570166783</v>
      </c>
      <c r="AM132" s="8">
        <f t="shared" si="34"/>
        <v>168.85917993549577</v>
      </c>
    </row>
    <row r="133" spans="1:39" x14ac:dyDescent="0.25">
      <c r="A133" s="22">
        <f t="shared" ref="A133:A149" si="46">A132+50</f>
        <v>200</v>
      </c>
      <c r="B133" s="8">
        <f t="shared" si="10"/>
        <v>1256.6370614359173</v>
      </c>
      <c r="C133" s="9">
        <f t="shared" si="11"/>
        <v>40.320708229946462</v>
      </c>
      <c r="D133" s="9">
        <f t="shared" si="12"/>
        <v>0.99989238546695525</v>
      </c>
      <c r="E133" s="9">
        <f t="shared" si="13"/>
        <v>7.0555925624023477E-2</v>
      </c>
      <c r="F133" s="9">
        <f t="shared" si="14"/>
        <v>2.0635998856541469E-2</v>
      </c>
      <c r="G133" s="9">
        <f t="shared" si="15"/>
        <v>5.3466105719681602E-3</v>
      </c>
      <c r="H133" s="9">
        <f t="shared" si="16"/>
        <v>3.7873875369473255E-7</v>
      </c>
      <c r="I133" s="9">
        <f t="shared" si="17"/>
        <v>0</v>
      </c>
      <c r="J133" s="9">
        <f t="shared" si="18"/>
        <v>0.37185780450869521</v>
      </c>
      <c r="K133" s="9">
        <f t="shared" si="19"/>
        <v>0</v>
      </c>
      <c r="L133" s="9">
        <f t="shared" si="20"/>
        <v>0.99999985349085485</v>
      </c>
      <c r="M133" s="9">
        <f t="shared" si="21"/>
        <v>1.0394901772197908E-3</v>
      </c>
      <c r="N133" s="9">
        <f t="shared" si="22"/>
        <v>3.4201613303302158E-6</v>
      </c>
      <c r="O133" s="9">
        <f t="shared" si="36"/>
        <v>3.5948532881086269E-8</v>
      </c>
      <c r="P133" s="9">
        <f t="shared" si="23"/>
        <v>0</v>
      </c>
      <c r="Q133" s="9">
        <f t="shared" si="24"/>
        <v>0</v>
      </c>
      <c r="R133" s="23">
        <f t="shared" si="25"/>
        <v>39.933557959782092</v>
      </c>
      <c r="S133" s="8">
        <f t="shared" si="37"/>
        <v>7.0446751068037425E-2</v>
      </c>
      <c r="T133" s="8">
        <f t="shared" si="38"/>
        <v>3.5083471871782332E-2</v>
      </c>
      <c r="U133" s="8">
        <f t="shared" si="39"/>
        <v>2.9530970085300188E-4</v>
      </c>
      <c r="V133" s="8">
        <f t="shared" si="40"/>
        <v>0</v>
      </c>
      <c r="W133" s="8">
        <f t="shared" si="41"/>
        <v>0.29053145172200651</v>
      </c>
      <c r="X133" s="8">
        <f t="shared" si="42"/>
        <v>0</v>
      </c>
      <c r="Y133" s="8">
        <f t="shared" si="43"/>
        <v>1.0394899551111959E-3</v>
      </c>
      <c r="Z133" s="8">
        <f t="shared" si="44"/>
        <v>9.0980522996931325E-5</v>
      </c>
      <c r="AA133" s="8">
        <f t="shared" si="26"/>
        <v>0</v>
      </c>
      <c r="AB133" s="8">
        <f t="shared" si="27"/>
        <v>0</v>
      </c>
      <c r="AC133" s="8">
        <f t="shared" si="45"/>
        <v>-7.0446751068037425E-2</v>
      </c>
      <c r="AD133" s="8">
        <f t="shared" si="28"/>
        <v>-18.720243834919597</v>
      </c>
      <c r="AF133" s="23">
        <f t="shared" si="29"/>
        <v>14.279472317810292</v>
      </c>
      <c r="AG133" s="8">
        <f t="shared" si="30"/>
        <v>-4.038348787339725</v>
      </c>
      <c r="AI133" s="12">
        <f t="shared" si="31"/>
        <v>-13.979403128142952</v>
      </c>
      <c r="AJ133" s="8">
        <f t="shared" si="32"/>
        <v>-4.2660014575310483E-2</v>
      </c>
      <c r="AL133" s="12">
        <f t="shared" si="33"/>
        <v>39.633488770114745</v>
      </c>
      <c r="AM133" s="8">
        <f t="shared" si="34"/>
        <v>165.35126978752237</v>
      </c>
    </row>
    <row r="134" spans="1:39" x14ac:dyDescent="0.25">
      <c r="A134" s="22">
        <v>250</v>
      </c>
      <c r="B134" s="8">
        <f t="shared" si="10"/>
        <v>1570.7963267948965</v>
      </c>
      <c r="C134" s="9">
        <f t="shared" si="11"/>
        <v>40.320708229946462</v>
      </c>
      <c r="D134" s="9">
        <f t="shared" si="12"/>
        <v>0.99983185229211746</v>
      </c>
      <c r="E134" s="9">
        <f t="shared" si="13"/>
        <v>8.8194858310655128E-2</v>
      </c>
      <c r="F134" s="9">
        <f t="shared" si="14"/>
        <v>3.2200809296994648E-2</v>
      </c>
      <c r="G134" s="9">
        <f t="shared" si="15"/>
        <v>8.3511889590137285E-3</v>
      </c>
      <c r="H134" s="9">
        <f t="shared" si="16"/>
        <v>5.9177928683226961E-7</v>
      </c>
      <c r="I134" s="9">
        <f t="shared" si="17"/>
        <v>0</v>
      </c>
      <c r="J134" s="9">
        <f t="shared" si="18"/>
        <v>0.56783409510903249</v>
      </c>
      <c r="K134" s="9">
        <f t="shared" si="19"/>
        <v>0</v>
      </c>
      <c r="L134" s="9">
        <f t="shared" si="20"/>
        <v>0.9999997710794607</v>
      </c>
      <c r="M134" s="9">
        <f t="shared" si="21"/>
        <v>1.2993627215247383E-3</v>
      </c>
      <c r="N134" s="9">
        <f t="shared" si="22"/>
        <v>5.3440009786184162E-6</v>
      </c>
      <c r="O134" s="9">
        <f t="shared" si="36"/>
        <v>5.6169582922937739E-8</v>
      </c>
      <c r="P134" s="9">
        <f t="shared" si="23"/>
        <v>0</v>
      </c>
      <c r="Q134" s="9">
        <f t="shared" si="24"/>
        <v>0</v>
      </c>
      <c r="R134" s="23">
        <f t="shared" si="25"/>
        <v>39.729019706108168</v>
      </c>
      <c r="S134" s="8">
        <f t="shared" si="37"/>
        <v>8.7981967716747517E-2</v>
      </c>
      <c r="T134" s="8">
        <f t="shared" si="38"/>
        <v>4.3844225634298586E-2</v>
      </c>
      <c r="U134" s="8">
        <f t="shared" si="39"/>
        <v>3.6913712003031941E-4</v>
      </c>
      <c r="V134" s="8">
        <f t="shared" si="40"/>
        <v>0</v>
      </c>
      <c r="W134" s="8">
        <f t="shared" si="41"/>
        <v>0.35766517812765797</v>
      </c>
      <c r="X134" s="8">
        <f t="shared" si="42"/>
        <v>0</v>
      </c>
      <c r="Y134" s="8">
        <f t="shared" si="43"/>
        <v>1.2993622877189993E-3</v>
      </c>
      <c r="Z134" s="8">
        <f t="shared" si="44"/>
        <v>1.1372565356965933E-4</v>
      </c>
      <c r="AA134" s="8">
        <f t="shared" si="26"/>
        <v>0</v>
      </c>
      <c r="AB134" s="8">
        <f t="shared" si="27"/>
        <v>0</v>
      </c>
      <c r="AC134" s="8">
        <f t="shared" si="45"/>
        <v>-8.7981967716747517E-2</v>
      </c>
      <c r="AD134" s="8">
        <f t="shared" si="28"/>
        <v>-23.081425500148214</v>
      </c>
      <c r="AF134" s="23">
        <f t="shared" si="29"/>
        <v>14.267907507369838</v>
      </c>
      <c r="AG134" s="8">
        <f t="shared" si="30"/>
        <v>-5.0435522894950804</v>
      </c>
      <c r="AI134" s="12">
        <f t="shared" si="31"/>
        <v>-13.979404838942067</v>
      </c>
      <c r="AJ134" s="8">
        <f t="shared" si="32"/>
        <v>-5.3325009612726869E-2</v>
      </c>
      <c r="AL134" s="12">
        <f t="shared" si="33"/>
        <v>39.440517037680394</v>
      </c>
      <c r="AM134" s="8">
        <f t="shared" si="34"/>
        <v>162.00374456482572</v>
      </c>
    </row>
    <row r="135" spans="1:39" x14ac:dyDescent="0.25">
      <c r="A135" s="22">
        <f t="shared" si="46"/>
        <v>300</v>
      </c>
      <c r="B135" s="8">
        <f t="shared" si="10"/>
        <v>1884.9555921538758</v>
      </c>
      <c r="C135" s="9">
        <f t="shared" si="11"/>
        <v>40.320708229946462</v>
      </c>
      <c r="D135" s="9">
        <f t="shared" si="12"/>
        <v>0.99975786730064919</v>
      </c>
      <c r="E135" s="9">
        <f t="shared" si="13"/>
        <v>0.10583375851770396</v>
      </c>
      <c r="F135" s="9">
        <f t="shared" si="14"/>
        <v>4.6293890135586858E-2</v>
      </c>
      <c r="G135" s="9">
        <f t="shared" si="15"/>
        <v>1.2020630805287364E-2</v>
      </c>
      <c r="H135" s="9">
        <f t="shared" si="16"/>
        <v>8.5216214799929885E-7</v>
      </c>
      <c r="I135" s="9">
        <f t="shared" si="17"/>
        <v>0</v>
      </c>
      <c r="J135" s="9">
        <f t="shared" si="18"/>
        <v>0.7959399996207982</v>
      </c>
      <c r="K135" s="9">
        <f t="shared" si="19"/>
        <v>0</v>
      </c>
      <c r="L135" s="9">
        <f t="shared" si="20"/>
        <v>0.99999967035442339</v>
      </c>
      <c r="M135" s="9">
        <f t="shared" si="21"/>
        <v>1.5592352658296861E-3</v>
      </c>
      <c r="N135" s="9">
        <f t="shared" si="22"/>
        <v>7.6953594677713909E-6</v>
      </c>
      <c r="O135" s="9">
        <f t="shared" si="36"/>
        <v>8.0884198291056828E-8</v>
      </c>
      <c r="P135" s="9">
        <f t="shared" si="23"/>
        <v>0</v>
      </c>
      <c r="Q135" s="9">
        <f t="shared" si="24"/>
        <v>0</v>
      </c>
      <c r="R135" s="23">
        <f t="shared" si="25"/>
        <v>39.490488046913846</v>
      </c>
      <c r="S135" s="8">
        <f t="shared" si="37"/>
        <v>0.10546660064607633</v>
      </c>
      <c r="T135" s="8">
        <f t="shared" si="38"/>
        <v>5.2598250266416499E-2</v>
      </c>
      <c r="U135" s="8">
        <f t="shared" si="39"/>
        <v>4.4296453518368227E-4</v>
      </c>
      <c r="V135" s="8">
        <f t="shared" si="40"/>
        <v>0</v>
      </c>
      <c r="W135" s="8">
        <f t="shared" si="41"/>
        <v>0.42159540492685638</v>
      </c>
      <c r="X135" s="8">
        <f t="shared" si="42"/>
        <v>0</v>
      </c>
      <c r="Y135" s="8">
        <f t="shared" si="43"/>
        <v>1.5592345162136025E-3</v>
      </c>
      <c r="Z135" s="8">
        <f t="shared" si="44"/>
        <v>1.3647078402471746E-4</v>
      </c>
      <c r="AA135" s="8">
        <f t="shared" si="26"/>
        <v>0</v>
      </c>
      <c r="AB135" s="8">
        <f t="shared" si="27"/>
        <v>0</v>
      </c>
      <c r="AC135" s="8">
        <f t="shared" si="45"/>
        <v>-0.10546660064607633</v>
      </c>
      <c r="AD135" s="8">
        <f t="shared" si="28"/>
        <v>-27.256547469652816</v>
      </c>
      <c r="AF135" s="23">
        <f t="shared" si="29"/>
        <v>14.253814426531246</v>
      </c>
      <c r="AG135" s="8">
        <f t="shared" si="30"/>
        <v>-6.0458560879916359</v>
      </c>
      <c r="AI135" s="12">
        <f t="shared" si="31"/>
        <v>-13.979406929917694</v>
      </c>
      <c r="AJ135" s="8">
        <f t="shared" si="32"/>
        <v>-6.39899989125432E-2</v>
      </c>
      <c r="AL135" s="12">
        <f t="shared" si="33"/>
        <v>39.21608055030029</v>
      </c>
      <c r="AM135" s="8">
        <f t="shared" si="34"/>
        <v>158.83947370063578</v>
      </c>
    </row>
    <row r="136" spans="1:39" x14ac:dyDescent="0.25">
      <c r="A136" s="22">
        <v>350</v>
      </c>
      <c r="B136" s="8">
        <f t="shared" si="10"/>
        <v>2199.114857512855</v>
      </c>
      <c r="C136" s="9">
        <f t="shared" si="11"/>
        <v>40.320708229946462</v>
      </c>
      <c r="D136" s="9">
        <f t="shared" si="12"/>
        <v>0.99967043049255033</v>
      </c>
      <c r="E136" s="9">
        <f t="shared" si="13"/>
        <v>0.12347261974925344</v>
      </c>
      <c r="F136" s="9">
        <f t="shared" si="14"/>
        <v>6.28906111252103E-2</v>
      </c>
      <c r="G136" s="9">
        <f t="shared" si="15"/>
        <v>1.6353250487788382E-2</v>
      </c>
      <c r="H136" s="9">
        <f t="shared" si="16"/>
        <v>1.1598873271522163E-6</v>
      </c>
      <c r="I136" s="9">
        <f t="shared" si="17"/>
        <v>0</v>
      </c>
      <c r="J136" s="9">
        <f t="shared" si="18"/>
        <v>1.0509281693554338</v>
      </c>
      <c r="K136" s="9">
        <f t="shared" si="19"/>
        <v>0</v>
      </c>
      <c r="L136" s="9">
        <f t="shared" si="20"/>
        <v>0.99999955131574303</v>
      </c>
      <c r="M136" s="9">
        <f t="shared" si="21"/>
        <v>1.8191078101346336E-3</v>
      </c>
      <c r="N136" s="9">
        <f t="shared" si="22"/>
        <v>1.0474236157432851E-5</v>
      </c>
      <c r="O136" s="9">
        <f t="shared" si="36"/>
        <v>1.1009238087574082E-7</v>
      </c>
      <c r="P136" s="9">
        <f t="shared" si="23"/>
        <v>0</v>
      </c>
      <c r="Q136" s="9">
        <f t="shared" si="24"/>
        <v>0</v>
      </c>
      <c r="R136" s="23">
        <f t="shared" si="25"/>
        <v>39.223233275512392</v>
      </c>
      <c r="S136" s="8">
        <f t="shared" si="37"/>
        <v>0.12289092558757353</v>
      </c>
      <c r="T136" s="8">
        <f t="shared" si="38"/>
        <v>6.1344213574357008E-2</v>
      </c>
      <c r="U136" s="8">
        <f t="shared" si="39"/>
        <v>5.1679194550829997E-4</v>
      </c>
      <c r="V136" s="8">
        <f t="shared" si="40"/>
        <v>0</v>
      </c>
      <c r="W136" s="8">
        <f t="shared" si="41"/>
        <v>0.48206267365866956</v>
      </c>
      <c r="X136" s="8">
        <f t="shared" si="42"/>
        <v>0</v>
      </c>
      <c r="Y136" s="8">
        <f t="shared" si="43"/>
        <v>1.8191066197724935E-3</v>
      </c>
      <c r="Z136" s="8">
        <f t="shared" si="44"/>
        <v>1.5921591433857175E-4</v>
      </c>
      <c r="AA136" s="8">
        <f t="shared" si="26"/>
        <v>0</v>
      </c>
      <c r="AB136" s="8">
        <f t="shared" si="27"/>
        <v>0</v>
      </c>
      <c r="AC136" s="8">
        <f t="shared" si="45"/>
        <v>-0.12289092558757353</v>
      </c>
      <c r="AD136" s="8">
        <f t="shared" si="28"/>
        <v>-31.230263037054723</v>
      </c>
      <c r="AF136" s="23">
        <f t="shared" si="29"/>
        <v>14.237217705541623</v>
      </c>
      <c r="AG136" s="8">
        <f t="shared" si="30"/>
        <v>-7.044702740688928</v>
      </c>
      <c r="AI136" s="12">
        <f t="shared" si="31"/>
        <v>-13.979409401069205</v>
      </c>
      <c r="AJ136" s="8">
        <f t="shared" si="32"/>
        <v>-7.4654981327246767E-2</v>
      </c>
      <c r="AL136" s="12">
        <f t="shared" si="33"/>
        <v>38.965424971039972</v>
      </c>
      <c r="AM136" s="8">
        <f t="shared" si="34"/>
        <v>155.87325424211554</v>
      </c>
    </row>
    <row r="137" spans="1:39" x14ac:dyDescent="0.25">
      <c r="A137" s="22">
        <f t="shared" si="46"/>
        <v>400</v>
      </c>
      <c r="B137" s="8">
        <f t="shared" si="10"/>
        <v>2513.2741228718346</v>
      </c>
      <c r="C137" s="9">
        <f t="shared" si="11"/>
        <v>40.320708229946462</v>
      </c>
      <c r="D137" s="9">
        <f t="shared" si="12"/>
        <v>0.99956954186782077</v>
      </c>
      <c r="E137" s="9">
        <f t="shared" si="13"/>
        <v>0.14111143550938701</v>
      </c>
      <c r="F137" s="9">
        <f t="shared" si="14"/>
        <v>8.1962204875680997E-2</v>
      </c>
      <c r="G137" s="9">
        <f t="shared" si="15"/>
        <v>2.1347062016102251E-2</v>
      </c>
      <c r="H137" s="9">
        <f t="shared" si="16"/>
        <v>1.5149548134733025E-6</v>
      </c>
      <c r="I137" s="9">
        <f t="shared" si="17"/>
        <v>0</v>
      </c>
      <c r="J137" s="9">
        <f t="shared" si="18"/>
        <v>1.3276672417489646</v>
      </c>
      <c r="K137" s="9">
        <f t="shared" si="19"/>
        <v>0</v>
      </c>
      <c r="L137" s="9">
        <f t="shared" si="20"/>
        <v>0.9999994139634194</v>
      </c>
      <c r="M137" s="9">
        <f t="shared" si="21"/>
        <v>2.0789803544395817E-3</v>
      </c>
      <c r="N137" s="9">
        <f t="shared" si="22"/>
        <v>1.3680630280474426E-5</v>
      </c>
      <c r="O137" s="9">
        <f t="shared" si="36"/>
        <v>1.4379412870300303E-7</v>
      </c>
      <c r="P137" s="9">
        <f t="shared" si="23"/>
        <v>0</v>
      </c>
      <c r="Q137" s="9">
        <f t="shared" si="24"/>
        <v>0</v>
      </c>
      <c r="R137" s="23">
        <f t="shared" si="25"/>
        <v>38.932413535868321</v>
      </c>
      <c r="S137" s="8">
        <f t="shared" si="37"/>
        <v>0.1402454266488618</v>
      </c>
      <c r="T137" s="8">
        <f t="shared" si="38"/>
        <v>7.00807907482736E-2</v>
      </c>
      <c r="U137" s="8">
        <f t="shared" si="39"/>
        <v>5.9061935019938264E-4</v>
      </c>
      <c r="V137" s="8">
        <f t="shared" si="40"/>
        <v>0</v>
      </c>
      <c r="W137" s="8">
        <f t="shared" si="41"/>
        <v>0.53893532208022643</v>
      </c>
      <c r="X137" s="8">
        <f t="shared" si="42"/>
        <v>0</v>
      </c>
      <c r="Y137" s="8">
        <f t="shared" si="43"/>
        <v>2.0789785775732345E-3</v>
      </c>
      <c r="Z137" s="8">
        <f t="shared" si="44"/>
        <v>1.8196104448768821E-4</v>
      </c>
      <c r="AA137" s="8">
        <f t="shared" si="26"/>
        <v>0</v>
      </c>
      <c r="AB137" s="8">
        <f t="shared" si="27"/>
        <v>0</v>
      </c>
      <c r="AC137" s="8">
        <f t="shared" si="45"/>
        <v>-0.1402454266488618</v>
      </c>
      <c r="AD137" s="8">
        <f t="shared" si="28"/>
        <v>-34.994559195909275</v>
      </c>
      <c r="AF137" s="23">
        <f t="shared" si="29"/>
        <v>14.218146111791151</v>
      </c>
      <c r="AG137" s="8">
        <f t="shared" si="30"/>
        <v>-8.0395467505716951</v>
      </c>
      <c r="AI137" s="12">
        <f t="shared" si="31"/>
        <v>-13.979412252395841</v>
      </c>
      <c r="AJ137" s="8">
        <f t="shared" si="32"/>
        <v>-8.5319955709329084E-2</v>
      </c>
      <c r="AL137" s="12">
        <f t="shared" si="33"/>
        <v>38.69367967647301</v>
      </c>
      <c r="AM137" s="8">
        <f t="shared" si="34"/>
        <v>153.1125577618601</v>
      </c>
    </row>
    <row r="138" spans="1:39" x14ac:dyDescent="0.25">
      <c r="A138" s="22">
        <f t="shared" si="46"/>
        <v>450</v>
      </c>
      <c r="B138" s="8">
        <f t="shared" si="10"/>
        <v>2827.4333882308138</v>
      </c>
      <c r="C138" s="9">
        <f t="shared" si="11"/>
        <v>40.320708229946462</v>
      </c>
      <c r="D138" s="9">
        <f t="shared" si="12"/>
        <v>0.99945520142646072</v>
      </c>
      <c r="E138" s="9">
        <f t="shared" si="13"/>
        <v>0.15875019930218803</v>
      </c>
      <c r="F138" s="9">
        <f t="shared" si="14"/>
        <v>0.10347593009030964</v>
      </c>
      <c r="G138" s="9">
        <f t="shared" si="15"/>
        <v>2.6999782052788846E-2</v>
      </c>
      <c r="H138" s="9">
        <f t="shared" si="16"/>
        <v>1.917364597299379E-6</v>
      </c>
      <c r="I138" s="9">
        <f t="shared" si="17"/>
        <v>0</v>
      </c>
      <c r="J138" s="9">
        <f t="shared" si="18"/>
        <v>1.6213626390937219</v>
      </c>
      <c r="K138" s="9">
        <f t="shared" si="19"/>
        <v>0</v>
      </c>
      <c r="L138" s="9">
        <f t="shared" si="20"/>
        <v>0.99999925829745273</v>
      </c>
      <c r="M138" s="9">
        <f t="shared" si="21"/>
        <v>2.3388528987445291E-3</v>
      </c>
      <c r="N138" s="9">
        <f t="shared" si="22"/>
        <v>1.7314540958425336E-5</v>
      </c>
      <c r="O138" s="9">
        <f t="shared" si="36"/>
        <v>1.8198944557784736E-7</v>
      </c>
      <c r="P138" s="9">
        <f t="shared" si="23"/>
        <v>0</v>
      </c>
      <c r="Q138" s="9">
        <f t="shared" si="24"/>
        <v>0</v>
      </c>
      <c r="R138" s="23">
        <f t="shared" si="25"/>
        <v>38.622853863649411</v>
      </c>
      <c r="S138" s="8">
        <f t="shared" si="37"/>
        <v>0.15752082642464293</v>
      </c>
      <c r="T138" s="8">
        <f t="shared" si="38"/>
        <v>7.8806665550002139E-2</v>
      </c>
      <c r="U138" s="8">
        <f t="shared" si="39"/>
        <v>6.644467484521405E-4</v>
      </c>
      <c r="V138" s="8">
        <f t="shared" si="40"/>
        <v>0</v>
      </c>
      <c r="W138" s="8">
        <f t="shared" si="41"/>
        <v>0.59218940117342955</v>
      </c>
      <c r="X138" s="8">
        <f t="shared" si="42"/>
        <v>0</v>
      </c>
      <c r="Y138" s="8">
        <f t="shared" si="43"/>
        <v>2.3388503687934653E-3</v>
      </c>
      <c r="Z138" s="8">
        <f t="shared" si="44"/>
        <v>2.0470617444853288E-4</v>
      </c>
      <c r="AA138" s="8">
        <f t="shared" si="26"/>
        <v>0</v>
      </c>
      <c r="AB138" s="8">
        <f t="shared" si="27"/>
        <v>0</v>
      </c>
      <c r="AC138" s="8">
        <f t="shared" si="45"/>
        <v>-0.15752082642464293</v>
      </c>
      <c r="AD138" s="8">
        <f t="shared" si="28"/>
        <v>-38.54760762613094</v>
      </c>
      <c r="AF138" s="23">
        <f t="shared" si="29"/>
        <v>14.196632386576523</v>
      </c>
      <c r="AG138" s="8">
        <f t="shared" si="30"/>
        <v>-9.0298562918585112</v>
      </c>
      <c r="AI138" s="12">
        <f t="shared" si="31"/>
        <v>-13.979415483896735</v>
      </c>
      <c r="AJ138" s="8">
        <f t="shared" si="32"/>
        <v>-9.5984920911286131E-2</v>
      </c>
      <c r="AL138" s="12">
        <f t="shared" si="33"/>
        <v>38.405636960969623</v>
      </c>
      <c r="AM138" s="8">
        <f t="shared" si="34"/>
        <v>150.55868168037654</v>
      </c>
    </row>
    <row r="139" spans="1:39" x14ac:dyDescent="0.25">
      <c r="A139" s="22">
        <f t="shared" si="46"/>
        <v>500</v>
      </c>
      <c r="B139" s="8">
        <f t="shared" si="10"/>
        <v>3141.5926535897929</v>
      </c>
      <c r="C139" s="9">
        <f t="shared" si="11"/>
        <v>40.320708229946462</v>
      </c>
      <c r="D139" s="9">
        <f t="shared" si="12"/>
        <v>0.99932740916846996</v>
      </c>
      <c r="E139" s="9">
        <f t="shared" si="13"/>
        <v>0.17638890463174006</v>
      </c>
      <c r="F139" s="9">
        <f t="shared" si="14"/>
        <v>0.12739525452410796</v>
      </c>
      <c r="G139" s="9">
        <f t="shared" si="15"/>
        <v>3.3308833372240707E-2</v>
      </c>
      <c r="H139" s="9">
        <f t="shared" si="16"/>
        <v>2.3671166643358444E-6</v>
      </c>
      <c r="I139" s="9">
        <f t="shared" si="17"/>
        <v>0</v>
      </c>
      <c r="J139" s="9">
        <f t="shared" si="18"/>
        <v>1.9276951906719244</v>
      </c>
      <c r="K139" s="9">
        <f t="shared" si="19"/>
        <v>0</v>
      </c>
      <c r="L139" s="9">
        <f t="shared" si="20"/>
        <v>0.9999990843178429</v>
      </c>
      <c r="M139" s="9">
        <f t="shared" si="21"/>
        <v>2.5987254430494765E-3</v>
      </c>
      <c r="N139" s="9">
        <f t="shared" si="22"/>
        <v>2.1375967187972386E-5</v>
      </c>
      <c r="O139" s="9">
        <f t="shared" si="36"/>
        <v>2.246783256550292E-7</v>
      </c>
      <c r="P139" s="9">
        <f t="shared" si="23"/>
        <v>0</v>
      </c>
      <c r="Q139" s="9">
        <f t="shared" si="24"/>
        <v>0</v>
      </c>
      <c r="R139" s="23">
        <f t="shared" si="25"/>
        <v>38.298907384593818</v>
      </c>
      <c r="S139" s="8">
        <f t="shared" si="37"/>
        <v>0.17470811411470702</v>
      </c>
      <c r="T139" s="8">
        <f t="shared" si="38"/>
        <v>8.7520531481347544E-2</v>
      </c>
      <c r="U139" s="8">
        <f t="shared" si="39"/>
        <v>7.3827413946178427E-4</v>
      </c>
      <c r="V139" s="8">
        <f t="shared" si="40"/>
        <v>0</v>
      </c>
      <c r="W139" s="8">
        <f t="shared" si="41"/>
        <v>0.64188580530254213</v>
      </c>
      <c r="X139" s="8">
        <f t="shared" si="42"/>
        <v>0</v>
      </c>
      <c r="Y139" s="8">
        <f t="shared" si="43"/>
        <v>2.5987219726109245E-3</v>
      </c>
      <c r="Z139" s="8">
        <f t="shared" si="44"/>
        <v>2.2745130419757174E-4</v>
      </c>
      <c r="AA139" s="8">
        <f t="shared" si="26"/>
        <v>0</v>
      </c>
      <c r="AB139" s="8">
        <f t="shared" si="27"/>
        <v>0</v>
      </c>
      <c r="AC139" s="8">
        <f t="shared" si="45"/>
        <v>-0.17470811411470702</v>
      </c>
      <c r="AD139" s="8">
        <f t="shared" si="28"/>
        <v>-41.892455892650318</v>
      </c>
      <c r="AF139" s="23">
        <f t="shared" si="29"/>
        <v>14.172713062142725</v>
      </c>
      <c r="AG139" s="8">
        <f t="shared" si="30"/>
        <v>-10.015114821862186</v>
      </c>
      <c r="AI139" s="12">
        <f t="shared" si="31"/>
        <v>-13.979419095570899</v>
      </c>
      <c r="AJ139" s="8">
        <f t="shared" si="32"/>
        <v>-0.10664987578561951</v>
      </c>
      <c r="AL139" s="12">
        <f t="shared" si="33"/>
        <v>38.105613418021989</v>
      </c>
      <c r="AM139" s="8">
        <f t="shared" si="34"/>
        <v>148.2080603431304</v>
      </c>
    </row>
    <row r="140" spans="1:39" x14ac:dyDescent="0.25">
      <c r="A140" s="22">
        <f t="shared" si="46"/>
        <v>550</v>
      </c>
      <c r="B140" s="8">
        <f t="shared" si="10"/>
        <v>3455.7519189487725</v>
      </c>
      <c r="C140" s="9">
        <f t="shared" si="11"/>
        <v>40.320708229946462</v>
      </c>
      <c r="D140" s="9">
        <f t="shared" si="12"/>
        <v>0.99918616509384872</v>
      </c>
      <c r="E140" s="9">
        <f t="shared" si="13"/>
        <v>0.19402754500212646</v>
      </c>
      <c r="F140" s="9">
        <f t="shared" si="14"/>
        <v>0.15368005557101067</v>
      </c>
      <c r="G140" s="9">
        <f t="shared" si="15"/>
        <v>4.0271348747153636E-2</v>
      </c>
      <c r="H140" s="9">
        <f t="shared" si="16"/>
        <v>2.8642109995139836E-6</v>
      </c>
      <c r="I140" s="9">
        <f t="shared" si="17"/>
        <v>0</v>
      </c>
      <c r="J140" s="9">
        <f t="shared" si="18"/>
        <v>2.2428886930933469</v>
      </c>
      <c r="K140" s="9">
        <f t="shared" si="19"/>
        <v>0</v>
      </c>
      <c r="L140" s="9">
        <f t="shared" si="20"/>
        <v>0.99999889202458991</v>
      </c>
      <c r="M140" s="9">
        <f t="shared" si="21"/>
        <v>2.8585979873544248E-3</v>
      </c>
      <c r="N140" s="9">
        <f t="shared" si="22"/>
        <v>2.5864907854461117E-5</v>
      </c>
      <c r="O140" s="9">
        <f t="shared" si="36"/>
        <v>2.718607727256041E-7</v>
      </c>
      <c r="P140" s="9">
        <f t="shared" si="23"/>
        <v>0</v>
      </c>
      <c r="Q140" s="9">
        <f t="shared" si="24"/>
        <v>0</v>
      </c>
      <c r="R140" s="23">
        <f t="shared" si="25"/>
        <v>37.964387557471632</v>
      </c>
      <c r="S140" s="8">
        <f t="shared" si="37"/>
        <v>0.1917985714575767</v>
      </c>
      <c r="T140" s="8">
        <f t="shared" si="38"/>
        <v>9.6221092930365237E-2</v>
      </c>
      <c r="U140" s="8">
        <f t="shared" si="39"/>
        <v>8.121015224235252E-4</v>
      </c>
      <c r="V140" s="8">
        <f t="shared" si="40"/>
        <v>0</v>
      </c>
      <c r="W140" s="8">
        <f t="shared" si="41"/>
        <v>0.68814784802144446</v>
      </c>
      <c r="X140" s="8">
        <f t="shared" si="42"/>
        <v>0</v>
      </c>
      <c r="Y140" s="8">
        <f t="shared" si="43"/>
        <v>2.8585933682034547E-3</v>
      </c>
      <c r="Z140" s="8">
        <f t="shared" si="44"/>
        <v>2.5019643371127089E-4</v>
      </c>
      <c r="AA140" s="8">
        <f t="shared" si="26"/>
        <v>0</v>
      </c>
      <c r="AB140" s="8">
        <f t="shared" si="27"/>
        <v>0</v>
      </c>
      <c r="AC140" s="8">
        <f t="shared" si="45"/>
        <v>-0.1917985714575767</v>
      </c>
      <c r="AD140" s="8">
        <f t="shared" si="28"/>
        <v>-45.035744054022246</v>
      </c>
      <c r="AF140" s="23">
        <f t="shared" si="29"/>
        <v>14.146428261095823</v>
      </c>
      <c r="AG140" s="8">
        <f t="shared" si="30"/>
        <v>-10.994822567631784</v>
      </c>
      <c r="AI140" s="12">
        <f t="shared" si="31"/>
        <v>-13.97942308741723</v>
      </c>
      <c r="AJ140" s="8">
        <f t="shared" si="32"/>
        <v>-0.11731481918483673</v>
      </c>
      <c r="AL140" s="12">
        <f t="shared" si="33"/>
        <v>37.797382383793035</v>
      </c>
      <c r="AM140" s="8">
        <f t="shared" si="34"/>
        <v>146.05355054953429</v>
      </c>
    </row>
    <row r="141" spans="1:39" x14ac:dyDescent="0.25">
      <c r="A141" s="22">
        <f t="shared" si="46"/>
        <v>600</v>
      </c>
      <c r="B141" s="8">
        <f t="shared" si="10"/>
        <v>3769.9111843077517</v>
      </c>
      <c r="C141" s="9">
        <f t="shared" si="11"/>
        <v>40.320708229946462</v>
      </c>
      <c r="D141" s="9">
        <f t="shared" si="12"/>
        <v>0.99903146920259678</v>
      </c>
      <c r="E141" s="9">
        <f t="shared" si="13"/>
        <v>0.21166611391743065</v>
      </c>
      <c r="F141" s="9">
        <f t="shared" si="14"/>
        <v>0.18228683624247788</v>
      </c>
      <c r="G141" s="9">
        <f t="shared" si="15"/>
        <v>4.7884175250330174E-2</v>
      </c>
      <c r="H141" s="9">
        <f t="shared" si="16"/>
        <v>3.4086475889196263E-6</v>
      </c>
      <c r="I141" s="9">
        <f t="shared" si="17"/>
        <v>0</v>
      </c>
      <c r="J141" s="9">
        <f t="shared" si="18"/>
        <v>2.5637231166623482</v>
      </c>
      <c r="K141" s="9">
        <f t="shared" si="19"/>
        <v>0</v>
      </c>
      <c r="L141" s="9">
        <f t="shared" si="20"/>
        <v>0.99999868141769377</v>
      </c>
      <c r="M141" s="9">
        <f t="shared" si="21"/>
        <v>3.1184705316593723E-3</v>
      </c>
      <c r="N141" s="9">
        <f t="shared" si="22"/>
        <v>3.0781361726110513E-5</v>
      </c>
      <c r="O141" s="9">
        <f t="shared" si="36"/>
        <v>3.2353678478768906E-7</v>
      </c>
      <c r="P141" s="9">
        <f t="shared" si="23"/>
        <v>0</v>
      </c>
      <c r="Q141" s="9">
        <f t="shared" si="24"/>
        <v>0</v>
      </c>
      <c r="R141" s="23">
        <f t="shared" si="25"/>
        <v>37.622554756041055</v>
      </c>
      <c r="S141" s="8">
        <f t="shared" si="37"/>
        <v>0.20878379632082247</v>
      </c>
      <c r="T141" s="8">
        <f t="shared" si="38"/>
        <v>0.10490706629318793</v>
      </c>
      <c r="U141" s="8">
        <f t="shared" si="39"/>
        <v>8.8592889653257498E-4</v>
      </c>
      <c r="V141" s="8">
        <f t="shared" si="40"/>
        <v>0</v>
      </c>
      <c r="W141" s="8">
        <f t="shared" si="41"/>
        <v>0.73114129732607391</v>
      </c>
      <c r="X141" s="8">
        <f t="shared" si="42"/>
        <v>0</v>
      </c>
      <c r="Y141" s="8">
        <f t="shared" si="43"/>
        <v>3.1184645347490155E-3</v>
      </c>
      <c r="Z141" s="8">
        <f t="shared" si="44"/>
        <v>2.7294156296609634E-4</v>
      </c>
      <c r="AA141" s="8">
        <f t="shared" si="26"/>
        <v>0</v>
      </c>
      <c r="AB141" s="8">
        <f t="shared" si="27"/>
        <v>0</v>
      </c>
      <c r="AC141" s="8">
        <f t="shared" si="45"/>
        <v>-0.20878379632082247</v>
      </c>
      <c r="AD141" s="8">
        <f t="shared" si="28"/>
        <v>-47.986562054001034</v>
      </c>
      <c r="AF141" s="23">
        <f t="shared" si="29"/>
        <v>14.117821480424356</v>
      </c>
      <c r="AG141" s="8">
        <f t="shared" si="30"/>
        <v>-11.968497878263708</v>
      </c>
      <c r="AI141" s="12">
        <f t="shared" si="31"/>
        <v>-13.979427459434513</v>
      </c>
      <c r="AJ141" s="8">
        <f t="shared" si="32"/>
        <v>-0.12797974996145201</v>
      </c>
      <c r="AL141" s="12">
        <f t="shared" si="33"/>
        <v>37.484160735051205</v>
      </c>
      <c r="AM141" s="8">
        <f t="shared" si="34"/>
        <v>144.0855760932314</v>
      </c>
    </row>
    <row r="142" spans="1:39" x14ac:dyDescent="0.25">
      <c r="A142" s="22">
        <f t="shared" si="46"/>
        <v>650</v>
      </c>
      <c r="B142" s="8">
        <f t="shared" si="10"/>
        <v>4084.0704496667308</v>
      </c>
      <c r="C142" s="9">
        <f t="shared" si="11"/>
        <v>40.320708229946462</v>
      </c>
      <c r="D142" s="9">
        <f t="shared" si="12"/>
        <v>0.99886332149471424</v>
      </c>
      <c r="E142" s="9">
        <f t="shared" si="13"/>
        <v>0.22930460488173612</v>
      </c>
      <c r="F142" s="9">
        <f t="shared" si="14"/>
        <v>0.21316895419628773</v>
      </c>
      <c r="G142" s="9">
        <f t="shared" si="15"/>
        <v>5.6143878958440835E-2</v>
      </c>
      <c r="H142" s="9">
        <f t="shared" si="16"/>
        <v>4.000426410149872E-6</v>
      </c>
      <c r="I142" s="9">
        <f t="shared" si="17"/>
        <v>0</v>
      </c>
      <c r="J142" s="9">
        <f t="shared" si="18"/>
        <v>2.8875107107679572</v>
      </c>
      <c r="K142" s="9">
        <f t="shared" si="19"/>
        <v>0</v>
      </c>
      <c r="L142" s="9">
        <f t="shared" si="20"/>
        <v>0.99999845249715447</v>
      </c>
      <c r="M142" s="9">
        <f t="shared" si="21"/>
        <v>3.3783430759643197E-3</v>
      </c>
      <c r="N142" s="9">
        <f t="shared" si="22"/>
        <v>3.6125327450156492E-5</v>
      </c>
      <c r="O142" s="9">
        <f t="shared" si="36"/>
        <v>3.7970636368973654E-7</v>
      </c>
      <c r="P142" s="9">
        <f t="shared" si="23"/>
        <v>0</v>
      </c>
      <c r="Q142" s="9">
        <f t="shared" si="24"/>
        <v>0</v>
      </c>
      <c r="R142" s="23">
        <f t="shared" si="25"/>
        <v>37.276139939333262</v>
      </c>
      <c r="S142" s="8">
        <f t="shared" si="37"/>
        <v>0.22565572382275875</v>
      </c>
      <c r="T142" s="8">
        <f t="shared" si="38"/>
        <v>0.11357718106904947</v>
      </c>
      <c r="U142" s="8">
        <f t="shared" si="39"/>
        <v>9.5975626098414595E-4</v>
      </c>
      <c r="V142" s="8">
        <f t="shared" si="40"/>
        <v>0</v>
      </c>
      <c r="W142" s="8">
        <f t="shared" si="41"/>
        <v>0.771057821867694</v>
      </c>
      <c r="X142" s="8">
        <f t="shared" si="42"/>
        <v>0</v>
      </c>
      <c r="Y142" s="8">
        <f t="shared" si="43"/>
        <v>3.3783354514256968E-3</v>
      </c>
      <c r="Z142" s="8">
        <f t="shared" si="44"/>
        <v>2.9568669193851411E-4</v>
      </c>
      <c r="AA142" s="8">
        <f t="shared" si="26"/>
        <v>0</v>
      </c>
      <c r="AB142" s="8">
        <f t="shared" si="27"/>
        <v>0</v>
      </c>
      <c r="AC142" s="8">
        <f t="shared" si="45"/>
        <v>-0.22565572382275875</v>
      </c>
      <c r="AD142" s="8">
        <f t="shared" si="28"/>
        <v>-50.755502406869724</v>
      </c>
      <c r="AF142" s="23">
        <f t="shared" si="29"/>
        <v>14.086939362470545</v>
      </c>
      <c r="AG142" s="8">
        <f t="shared" si="30"/>
        <v>-12.935678435699547</v>
      </c>
      <c r="AI142" s="12">
        <f t="shared" si="31"/>
        <v>-13.979432211621415</v>
      </c>
      <c r="AJ142" s="8">
        <f t="shared" si="32"/>
        <v>-0.138644666967987</v>
      </c>
      <c r="AL142" s="12">
        <f t="shared" si="33"/>
        <v>37.168632788484125</v>
      </c>
      <c r="AM142" s="8">
        <f t="shared" si="34"/>
        <v>142.29307676805576</v>
      </c>
    </row>
    <row r="143" spans="1:39" x14ac:dyDescent="0.25">
      <c r="A143" s="22">
        <f t="shared" si="46"/>
        <v>700</v>
      </c>
      <c r="B143" s="8">
        <f t="shared" si="10"/>
        <v>4398.22971502571</v>
      </c>
      <c r="C143" s="9">
        <f t="shared" si="11"/>
        <v>40.320708229946462</v>
      </c>
      <c r="D143" s="9">
        <f t="shared" si="12"/>
        <v>0.99868172197020122</v>
      </c>
      <c r="E143" s="9">
        <f t="shared" si="13"/>
        <v>0.24694301139912628</v>
      </c>
      <c r="F143" s="9">
        <f t="shared" si="14"/>
        <v>0.24627686141204361</v>
      </c>
      <c r="G143" s="9">
        <f t="shared" si="15"/>
        <v>6.5046750043190618E-2</v>
      </c>
      <c r="H143" s="9">
        <f t="shared" si="16"/>
        <v>4.6395474496709838E-6</v>
      </c>
      <c r="I143" s="9">
        <f t="shared" si="17"/>
        <v>0</v>
      </c>
      <c r="J143" s="9">
        <f t="shared" si="18"/>
        <v>3.2120499048784712</v>
      </c>
      <c r="K143" s="9">
        <f t="shared" si="19"/>
        <v>0</v>
      </c>
      <c r="L143" s="9">
        <f t="shared" si="20"/>
        <v>0.99999820526297201</v>
      </c>
      <c r="M143" s="9">
        <f t="shared" si="21"/>
        <v>3.6382156202692671E-3</v>
      </c>
      <c r="N143" s="9">
        <f t="shared" si="22"/>
        <v>4.1896803556709975E-5</v>
      </c>
      <c r="O143" s="9">
        <f t="shared" si="36"/>
        <v>4.4036950741591523E-7</v>
      </c>
      <c r="P143" s="9">
        <f t="shared" si="23"/>
        <v>0</v>
      </c>
      <c r="Q143" s="9">
        <f t="shared" si="24"/>
        <v>0</v>
      </c>
      <c r="R143" s="23">
        <f t="shared" si="25"/>
        <v>36.927390516073523</v>
      </c>
      <c r="S143" s="8">
        <f t="shared" si="37"/>
        <v>0.24240664489444796</v>
      </c>
      <c r="T143" s="8">
        <f t="shared" si="38"/>
        <v>0.1222301809262685</v>
      </c>
      <c r="U143" s="8">
        <f t="shared" si="39"/>
        <v>1.0335836149734511E-3</v>
      </c>
      <c r="V143" s="8">
        <f t="shared" si="40"/>
        <v>0</v>
      </c>
      <c r="W143" s="8">
        <f t="shared" si="41"/>
        <v>0.80810203545278003</v>
      </c>
      <c r="X143" s="8">
        <f t="shared" si="42"/>
        <v>0</v>
      </c>
      <c r="Y143" s="8">
        <f t="shared" si="43"/>
        <v>3.6382060974117299E-3</v>
      </c>
      <c r="Z143" s="8">
        <f t="shared" si="44"/>
        <v>3.1843182060499025E-4</v>
      </c>
      <c r="AA143" s="8">
        <f t="shared" si="26"/>
        <v>0</v>
      </c>
      <c r="AB143" s="8">
        <f t="shared" si="27"/>
        <v>0</v>
      </c>
      <c r="AC143" s="8">
        <f t="shared" si="45"/>
        <v>-0.24240664489444796</v>
      </c>
      <c r="AD143" s="8">
        <f t="shared" si="28"/>
        <v>-53.353918904410143</v>
      </c>
      <c r="AF143" s="23">
        <f t="shared" si="29"/>
        <v>14.053831455254789</v>
      </c>
      <c r="AG143" s="8">
        <f t="shared" si="30"/>
        <v>-13.89592231879001</v>
      </c>
      <c r="AI143" s="12">
        <f t="shared" si="31"/>
        <v>-13.979437343976482</v>
      </c>
      <c r="AJ143" s="8">
        <f t="shared" si="32"/>
        <v>-0.14930956905697138</v>
      </c>
      <c r="AL143" s="12">
        <f t="shared" si="33"/>
        <v>36.852996404795213</v>
      </c>
      <c r="AM143" s="8">
        <f t="shared" si="34"/>
        <v>140.66425110112073</v>
      </c>
    </row>
    <row r="144" spans="1:39" x14ac:dyDescent="0.25">
      <c r="A144" s="22">
        <f t="shared" si="46"/>
        <v>750</v>
      </c>
      <c r="B144" s="8">
        <f t="shared" si="10"/>
        <v>4712.3889803846896</v>
      </c>
      <c r="C144" s="9">
        <f t="shared" si="11"/>
        <v>40.320708229946462</v>
      </c>
      <c r="D144" s="9">
        <f t="shared" si="12"/>
        <v>0.99848667062905749</v>
      </c>
      <c r="E144" s="9">
        <f t="shared" si="13"/>
        <v>0.26458132697368464</v>
      </c>
      <c r="F144" s="9">
        <f t="shared" si="14"/>
        <v>0.28155835208837449</v>
      </c>
      <c r="G144" s="9">
        <f t="shared" si="15"/>
        <v>7.4588808234222786E-2</v>
      </c>
      <c r="H144" s="9">
        <f t="shared" si="16"/>
        <v>5.3260106816031895E-6</v>
      </c>
      <c r="I144" s="9">
        <f t="shared" si="17"/>
        <v>0</v>
      </c>
      <c r="J144" s="9">
        <f t="shared" si="18"/>
        <v>3.5355684168597987</v>
      </c>
      <c r="K144" s="9">
        <f t="shared" si="19"/>
        <v>0</v>
      </c>
      <c r="L144" s="9">
        <f t="shared" si="20"/>
        <v>0.9999979397151465</v>
      </c>
      <c r="M144" s="9">
        <f t="shared" si="21"/>
        <v>3.898088164574215E-3</v>
      </c>
      <c r="N144" s="9">
        <f t="shared" si="22"/>
        <v>4.8095788460686456E-5</v>
      </c>
      <c r="O144" s="9">
        <f t="shared" si="36"/>
        <v>5.0552621587207451E-7</v>
      </c>
      <c r="P144" s="9">
        <f t="shared" si="23"/>
        <v>0</v>
      </c>
      <c r="Q144" s="9">
        <f t="shared" si="24"/>
        <v>0</v>
      </c>
      <c r="R144" s="23">
        <f t="shared" si="25"/>
        <v>36.578126993928521</v>
      </c>
      <c r="S144" s="8">
        <f t="shared" si="37"/>
        <v>0.25902922222497132</v>
      </c>
      <c r="T144" s="8">
        <f t="shared" si="38"/>
        <v>0.13086482473707214</v>
      </c>
      <c r="U144" s="8">
        <f t="shared" si="39"/>
        <v>1.1074109576957043E-3</v>
      </c>
      <c r="V144" s="8">
        <f t="shared" si="40"/>
        <v>0</v>
      </c>
      <c r="W144" s="8">
        <f t="shared" si="41"/>
        <v>0.84248186495692912</v>
      </c>
      <c r="X144" s="8">
        <f t="shared" si="42"/>
        <v>0</v>
      </c>
      <c r="Y144" s="8">
        <f t="shared" si="43"/>
        <v>3.8980764518855003E-3</v>
      </c>
      <c r="Z144" s="8">
        <f t="shared" si="44"/>
        <v>3.4117694894199074E-4</v>
      </c>
      <c r="AA144" s="8">
        <f t="shared" si="26"/>
        <v>0</v>
      </c>
      <c r="AB144" s="8">
        <f t="shared" si="27"/>
        <v>0</v>
      </c>
      <c r="AC144" s="8">
        <f t="shared" si="45"/>
        <v>-0.25902922222497132</v>
      </c>
      <c r="AD144" s="8">
        <f t="shared" si="28"/>
        <v>-55.793375592327706</v>
      </c>
      <c r="AF144" s="23">
        <f t="shared" si="29"/>
        <v>14.018549964578458</v>
      </c>
      <c r="AG144" s="8">
        <f t="shared" si="30"/>
        <v>-14.848808917355043</v>
      </c>
      <c r="AI144" s="12">
        <f t="shared" si="31"/>
        <v>-13.979442856498155</v>
      </c>
      <c r="AJ144" s="8">
        <f t="shared" si="32"/>
        <v>-0.15997445508094371</v>
      </c>
      <c r="AL144" s="12">
        <f t="shared" si="33"/>
        <v>36.539019885848212</v>
      </c>
      <c r="AM144" s="8">
        <f t="shared" si="34"/>
        <v>139.18710856994147</v>
      </c>
    </row>
    <row r="145" spans="1:39" x14ac:dyDescent="0.25">
      <c r="A145" s="22">
        <f t="shared" si="46"/>
        <v>800</v>
      </c>
      <c r="B145" s="8">
        <f t="shared" si="10"/>
        <v>5026.5482457436692</v>
      </c>
      <c r="C145" s="9">
        <f t="shared" si="11"/>
        <v>40.320708229946462</v>
      </c>
      <c r="D145" s="9">
        <f t="shared" si="12"/>
        <v>0.99827816747128317</v>
      </c>
      <c r="E145" s="9">
        <f t="shared" si="13"/>
        <v>0.28221954510949454</v>
      </c>
      <c r="F145" s="9">
        <f t="shared" si="14"/>
        <v>0.31895881635403356</v>
      </c>
      <c r="G145" s="9">
        <f t="shared" si="15"/>
        <v>8.4765808637198764E-2</v>
      </c>
      <c r="H145" s="9">
        <f t="shared" si="16"/>
        <v>6.0598160850785756E-6</v>
      </c>
      <c r="I145" s="9">
        <f t="shared" si="17"/>
        <v>0</v>
      </c>
      <c r="J145" s="9">
        <f t="shared" si="18"/>
        <v>3.8566634970307105</v>
      </c>
      <c r="K145" s="9">
        <f t="shared" si="19"/>
        <v>0</v>
      </c>
      <c r="L145" s="9">
        <f t="shared" si="20"/>
        <v>0.99999765585367772</v>
      </c>
      <c r="M145" s="9">
        <f t="shared" si="21"/>
        <v>4.1579607088791633E-3</v>
      </c>
      <c r="N145" s="9">
        <f t="shared" si="22"/>
        <v>5.4722280456021019E-5</v>
      </c>
      <c r="O145" s="9">
        <f t="shared" si="36"/>
        <v>5.7517648895708991E-7</v>
      </c>
      <c r="P145" s="9">
        <f t="shared" si="23"/>
        <v>0</v>
      </c>
      <c r="Q145" s="9">
        <f t="shared" si="24"/>
        <v>0</v>
      </c>
      <c r="R145" s="23">
        <f t="shared" si="25"/>
        <v>36.229802487558068</v>
      </c>
      <c r="S145" s="8">
        <f t="shared" si="37"/>
        <v>0.27551650356610563</v>
      </c>
      <c r="T145" s="8">
        <f t="shared" si="38"/>
        <v>0.1394798875792671</v>
      </c>
      <c r="U145" s="8">
        <f t="shared" si="39"/>
        <v>1.1812382883461196E-3</v>
      </c>
      <c r="V145" s="8">
        <f t="shared" si="40"/>
        <v>0</v>
      </c>
      <c r="W145" s="8">
        <f t="shared" si="41"/>
        <v>0.87440174370810453</v>
      </c>
      <c r="X145" s="8">
        <f t="shared" si="42"/>
        <v>0</v>
      </c>
      <c r="Y145" s="8">
        <f t="shared" si="43"/>
        <v>4.1579464940255566E-3</v>
      </c>
      <c r="Z145" s="8">
        <f t="shared" si="44"/>
        <v>3.6392207692598173E-4</v>
      </c>
      <c r="AA145" s="8">
        <f t="shared" si="26"/>
        <v>0</v>
      </c>
      <c r="AB145" s="8">
        <f t="shared" si="27"/>
        <v>0</v>
      </c>
      <c r="AC145" s="8">
        <f t="shared" si="45"/>
        <v>-0.27551650356610563</v>
      </c>
      <c r="AD145" s="8">
        <f t="shared" si="28"/>
        <v>-58.085257484748908</v>
      </c>
      <c r="AF145" s="23">
        <f t="shared" si="29"/>
        <v>13.981149500312799</v>
      </c>
      <c r="AG145" s="8">
        <f t="shared" si="30"/>
        <v>-15.793939694872297</v>
      </c>
      <c r="AI145" s="12">
        <f t="shared" si="31"/>
        <v>-13.979448749184746</v>
      </c>
      <c r="AJ145" s="8">
        <f t="shared" si="32"/>
        <v>-0.17063932389245176</v>
      </c>
      <c r="AL145" s="12">
        <f t="shared" si="33"/>
        <v>36.228101736430006</v>
      </c>
      <c r="AM145" s="8">
        <f t="shared" si="34"/>
        <v>137.84985984807724</v>
      </c>
    </row>
    <row r="146" spans="1:39" x14ac:dyDescent="0.25">
      <c r="A146" s="22">
        <f t="shared" si="46"/>
        <v>850</v>
      </c>
      <c r="B146" s="8">
        <f t="shared" si="10"/>
        <v>5340.7075111026479</v>
      </c>
      <c r="C146" s="9">
        <f t="shared" si="11"/>
        <v>40.320708229946462</v>
      </c>
      <c r="D146" s="9">
        <f t="shared" si="12"/>
        <v>0.99805621249687826</v>
      </c>
      <c r="E146" s="9">
        <f t="shared" si="13"/>
        <v>0.29985765931063935</v>
      </c>
      <c r="F146" s="9">
        <f t="shared" si="14"/>
        <v>0.35842149743845869</v>
      </c>
      <c r="G146" s="9">
        <f t="shared" si="15"/>
        <v>9.5573247889558496E-2</v>
      </c>
      <c r="H146" s="9">
        <f t="shared" si="16"/>
        <v>6.8409636365264649E-6</v>
      </c>
      <c r="I146" s="9">
        <f t="shared" si="17"/>
        <v>0</v>
      </c>
      <c r="J146" s="9">
        <f t="shared" si="18"/>
        <v>4.1742443098538411</v>
      </c>
      <c r="K146" s="9">
        <f t="shared" si="19"/>
        <v>0</v>
      </c>
      <c r="L146" s="9">
        <f t="shared" si="20"/>
        <v>0.9999973536785659</v>
      </c>
      <c r="M146" s="9">
        <f t="shared" si="21"/>
        <v>4.4178332531841103E-3</v>
      </c>
      <c r="N146" s="9">
        <f t="shared" si="22"/>
        <v>6.1776277725312595E-5</v>
      </c>
      <c r="O146" s="9">
        <f t="shared" si="36"/>
        <v>6.4932032849151736E-7</v>
      </c>
      <c r="P146" s="9">
        <f t="shared" si="23"/>
        <v>0</v>
      </c>
      <c r="Q146" s="9">
        <f t="shared" si="24"/>
        <v>0</v>
      </c>
      <c r="R146" s="23">
        <f t="shared" si="25"/>
        <v>35.883560085909309</v>
      </c>
      <c r="S146" s="8">
        <f t="shared" si="37"/>
        <v>0.29186193240427155</v>
      </c>
      <c r="T146" s="8">
        <f t="shared" si="38"/>
        <v>0.14807416170289669</v>
      </c>
      <c r="U146" s="8">
        <f t="shared" si="39"/>
        <v>1.2550656061199122E-3</v>
      </c>
      <c r="V146" s="8">
        <f t="shared" si="40"/>
        <v>0</v>
      </c>
      <c r="W146" s="8">
        <f t="shared" si="41"/>
        <v>0.90405806983833281</v>
      </c>
      <c r="X146" s="8">
        <f t="shared" si="42"/>
        <v>0</v>
      </c>
      <c r="Y146" s="8">
        <f t="shared" si="43"/>
        <v>4.4178162030106228E-3</v>
      </c>
      <c r="Z146" s="8">
        <f t="shared" si="44"/>
        <v>3.8666720453342914E-4</v>
      </c>
      <c r="AA146" s="8">
        <f t="shared" si="26"/>
        <v>0</v>
      </c>
      <c r="AB146" s="8">
        <f t="shared" si="27"/>
        <v>0</v>
      </c>
      <c r="AC146" s="8">
        <f t="shared" si="45"/>
        <v>-0.29186193240427155</v>
      </c>
      <c r="AD146" s="8">
        <f t="shared" si="28"/>
        <v>-60.240510903013707</v>
      </c>
      <c r="AF146" s="23">
        <f t="shared" si="29"/>
        <v>13.941686819228375</v>
      </c>
      <c r="AG146" s="8">
        <f t="shared" si="30"/>
        <v>-16.730938800244864</v>
      </c>
      <c r="AI146" s="12">
        <f t="shared" si="31"/>
        <v>-13.979455022034463</v>
      </c>
      <c r="AJ146" s="8">
        <f t="shared" si="32"/>
        <v>-0.18130417434405349</v>
      </c>
      <c r="AL146" s="12">
        <f t="shared" si="33"/>
        <v>35.921328288715394</v>
      </c>
      <c r="AM146" s="8">
        <f t="shared" si="34"/>
        <v>136.64117720981068</v>
      </c>
    </row>
    <row r="147" spans="1:39" x14ac:dyDescent="0.25">
      <c r="A147" s="22">
        <f t="shared" si="46"/>
        <v>900</v>
      </c>
      <c r="B147" s="8">
        <f t="shared" si="10"/>
        <v>5654.8667764616275</v>
      </c>
      <c r="C147" s="9">
        <f t="shared" si="11"/>
        <v>40.320708229946462</v>
      </c>
      <c r="D147" s="9">
        <f t="shared" si="12"/>
        <v>0.99782080570584275</v>
      </c>
      <c r="E147" s="9">
        <f t="shared" si="13"/>
        <v>0.31749566308120275</v>
      </c>
      <c r="F147" s="9">
        <f t="shared" si="14"/>
        <v>0.3998877500335537</v>
      </c>
      <c r="G147" s="9">
        <f t="shared" si="15"/>
        <v>0.1070063706356135</v>
      </c>
      <c r="H147" s="9">
        <f t="shared" si="16"/>
        <v>7.6694533116020809E-6</v>
      </c>
      <c r="I147" s="9">
        <f t="shared" si="17"/>
        <v>0</v>
      </c>
      <c r="J147" s="9">
        <f t="shared" si="18"/>
        <v>4.4874792518960529</v>
      </c>
      <c r="K147" s="9">
        <f t="shared" si="19"/>
        <v>0</v>
      </c>
      <c r="L147" s="9">
        <f t="shared" si="20"/>
        <v>0.99999703318981092</v>
      </c>
      <c r="M147" s="9">
        <f t="shared" si="21"/>
        <v>4.6777057974890582E-3</v>
      </c>
      <c r="N147" s="9">
        <f t="shared" si="22"/>
        <v>6.9257778324395891E-5</v>
      </c>
      <c r="O147" s="9">
        <f t="shared" si="36"/>
        <v>7.2795773243162898E-7</v>
      </c>
      <c r="P147" s="9">
        <f t="shared" si="23"/>
        <v>0</v>
      </c>
      <c r="Q147" s="9">
        <f t="shared" si="24"/>
        <v>0</v>
      </c>
      <c r="R147" s="23">
        <f t="shared" si="25"/>
        <v>35.540285282369723</v>
      </c>
      <c r="S147" s="8">
        <f t="shared" si="37"/>
        <v>0.30805935603734935</v>
      </c>
      <c r="T147" s="8">
        <f t="shared" si="38"/>
        <v>0.15664645746016154</v>
      </c>
      <c r="U147" s="8">
        <f t="shared" si="39"/>
        <v>1.328892910212298E-3</v>
      </c>
      <c r="V147" s="8">
        <f t="shared" si="40"/>
        <v>0</v>
      </c>
      <c r="W147" s="8">
        <f t="shared" si="41"/>
        <v>0.93163639907953999</v>
      </c>
      <c r="X147" s="8">
        <f t="shared" si="42"/>
        <v>0</v>
      </c>
      <c r="Y147" s="8">
        <f t="shared" si="43"/>
        <v>4.6776855580196166E-3</v>
      </c>
      <c r="Z147" s="8">
        <f t="shared" si="44"/>
        <v>4.0941233174079917E-4</v>
      </c>
      <c r="AA147" s="8">
        <f t="shared" si="26"/>
        <v>0</v>
      </c>
      <c r="AB147" s="8">
        <f t="shared" si="27"/>
        <v>0</v>
      </c>
      <c r="AC147" s="8">
        <f t="shared" si="45"/>
        <v>-0.30805935603734935</v>
      </c>
      <c r="AD147" s="8">
        <f t="shared" si="28"/>
        <v>-62.26948304421169</v>
      </c>
      <c r="AF147" s="23">
        <f t="shared" si="29"/>
        <v>13.90022056663328</v>
      </c>
      <c r="AG147" s="8">
        <f t="shared" si="30"/>
        <v>-17.659453530803464</v>
      </c>
      <c r="AI147" s="12">
        <f t="shared" si="31"/>
        <v>-13.979461675045387</v>
      </c>
      <c r="AJ147" s="8">
        <f t="shared" si="32"/>
        <v>-0.19196900528831762</v>
      </c>
      <c r="AL147" s="12">
        <f t="shared" si="33"/>
        <v>35.619526390781829</v>
      </c>
      <c r="AM147" s="8">
        <f t="shared" si="34"/>
        <v>135.5503555059868</v>
      </c>
    </row>
    <row r="148" spans="1:39" x14ac:dyDescent="0.25">
      <c r="A148" s="22">
        <f t="shared" si="46"/>
        <v>950</v>
      </c>
      <c r="B148" s="8">
        <f t="shared" si="10"/>
        <v>5969.0260418206071</v>
      </c>
      <c r="C148" s="9">
        <f t="shared" si="11"/>
        <v>40.320708229946462</v>
      </c>
      <c r="D148" s="9">
        <f t="shared" si="12"/>
        <v>0.99757194709817665</v>
      </c>
      <c r="E148" s="9">
        <f t="shared" si="13"/>
        <v>0.335133549925268</v>
      </c>
      <c r="F148" s="9">
        <f t="shared" si="14"/>
        <v>0.44329729769361592</v>
      </c>
      <c r="G148" s="9">
        <f t="shared" si="15"/>
        <v>0.11906017630197779</v>
      </c>
      <c r="H148" s="9">
        <f t="shared" si="16"/>
        <v>8.5452850813292338E-6</v>
      </c>
      <c r="I148" s="9">
        <f t="shared" si="17"/>
        <v>0</v>
      </c>
      <c r="J148" s="9">
        <f t="shared" si="18"/>
        <v>4.7957494800810103</v>
      </c>
      <c r="K148" s="9">
        <f t="shared" si="19"/>
        <v>0</v>
      </c>
      <c r="L148" s="9">
        <f t="shared" si="20"/>
        <v>0.99999669438741279</v>
      </c>
      <c r="M148" s="9">
        <f t="shared" si="21"/>
        <v>4.9375783417940061E-3</v>
      </c>
      <c r="N148" s="9">
        <f t="shared" si="22"/>
        <v>7.7166780201629037E-5</v>
      </c>
      <c r="O148" s="9">
        <f t="shared" si="36"/>
        <v>8.1108869872672317E-7</v>
      </c>
      <c r="P148" s="9">
        <f t="shared" si="23"/>
        <v>0</v>
      </c>
      <c r="Q148" s="9">
        <f t="shared" si="24"/>
        <v>0</v>
      </c>
      <c r="R148" s="23">
        <f t="shared" si="25"/>
        <v>35.200652195890001</v>
      </c>
      <c r="S148" s="8">
        <f t="shared" si="37"/>
        <v>0.32410303112126421</v>
      </c>
      <c r="T148" s="8">
        <f t="shared" si="38"/>
        <v>0.16519560419702267</v>
      </c>
      <c r="U148" s="8">
        <f t="shared" si="39"/>
        <v>1.4027201998184943E-3</v>
      </c>
      <c r="V148" s="8">
        <f t="shared" si="40"/>
        <v>0</v>
      </c>
      <c r="W148" s="8">
        <f t="shared" si="41"/>
        <v>0.95730991517077191</v>
      </c>
      <c r="X148" s="8">
        <f t="shared" si="42"/>
        <v>0</v>
      </c>
      <c r="Y148" s="8">
        <f t="shared" si="43"/>
        <v>4.9375545382316496E-3</v>
      </c>
      <c r="Z148" s="8">
        <f t="shared" si="44"/>
        <v>4.3215745852455769E-4</v>
      </c>
      <c r="AA148" s="8">
        <f t="shared" si="26"/>
        <v>0</v>
      </c>
      <c r="AB148" s="8">
        <f t="shared" si="27"/>
        <v>0</v>
      </c>
      <c r="AC148" s="8">
        <f t="shared" si="45"/>
        <v>-0.32410303112126421</v>
      </c>
      <c r="AD148" s="8">
        <f t="shared" si="28"/>
        <v>-64.181834608682223</v>
      </c>
      <c r="AF148" s="23">
        <f t="shared" si="29"/>
        <v>13.856811018973216</v>
      </c>
      <c r="AG148" s="8">
        <f t="shared" si="30"/>
        <v>-18.579154650263551</v>
      </c>
      <c r="AI148" s="12">
        <f t="shared" si="31"/>
        <v>-13.979468708215494</v>
      </c>
      <c r="AJ148" s="8">
        <f t="shared" si="32"/>
        <v>-0.20263381557782417</v>
      </c>
      <c r="AL148" s="12">
        <f t="shared" si="33"/>
        <v>35.323309885132268</v>
      </c>
      <c r="AM148" s="8">
        <f t="shared" si="34"/>
        <v>134.56739989878685</v>
      </c>
    </row>
    <row r="149" spans="1:39" x14ac:dyDescent="0.25">
      <c r="A149" s="22">
        <f t="shared" si="46"/>
        <v>1000</v>
      </c>
      <c r="B149" s="8">
        <f t="shared" si="10"/>
        <v>6283.1853071795858</v>
      </c>
      <c r="C149" s="9">
        <f t="shared" si="11"/>
        <v>40.320708229946462</v>
      </c>
      <c r="D149" s="9">
        <f t="shared" si="12"/>
        <v>0.99730963667387995</v>
      </c>
      <c r="E149" s="9">
        <f t="shared" si="13"/>
        <v>0.35277131334691858</v>
      </c>
      <c r="F149" s="9">
        <f t="shared" si="14"/>
        <v>0.48858848725994941</v>
      </c>
      <c r="G149" s="9">
        <f t="shared" si="15"/>
        <v>0.13172942615368946</v>
      </c>
      <c r="H149" s="9">
        <f t="shared" si="16"/>
        <v>9.4684589178862904E-6</v>
      </c>
      <c r="I149" s="9">
        <f t="shared" si="17"/>
        <v>0</v>
      </c>
      <c r="J149" s="9">
        <f t="shared" si="18"/>
        <v>5.0986089474774579</v>
      </c>
      <c r="K149" s="9">
        <f t="shared" si="19"/>
        <v>0</v>
      </c>
      <c r="L149" s="9">
        <f t="shared" si="20"/>
        <v>0.99999633727137149</v>
      </c>
      <c r="M149" s="9">
        <f t="shared" si="21"/>
        <v>5.1974508860989531E-3</v>
      </c>
      <c r="N149" s="9">
        <f t="shared" si="22"/>
        <v>8.5503281180537036E-5</v>
      </c>
      <c r="O149" s="9">
        <f t="shared" si="36"/>
        <v>8.9871323110508841E-7</v>
      </c>
      <c r="P149" s="9">
        <f t="shared" si="23"/>
        <v>0</v>
      </c>
      <c r="Q149" s="9">
        <f t="shared" si="24"/>
        <v>0</v>
      </c>
      <c r="R149" s="23">
        <f t="shared" si="25"/>
        <v>34.865163287827258</v>
      </c>
      <c r="S149" s="8">
        <f t="shared" si="37"/>
        <v>0.33998762677576616</v>
      </c>
      <c r="T149" s="8">
        <f t="shared" si="38"/>
        <v>0.1737204511050553</v>
      </c>
      <c r="U149" s="8">
        <f t="shared" si="39"/>
        <v>1.4765474741337185E-3</v>
      </c>
      <c r="V149" s="8">
        <f t="shared" si="40"/>
        <v>0</v>
      </c>
      <c r="W149" s="8">
        <f t="shared" si="41"/>
        <v>0.98123880787159479</v>
      </c>
      <c r="X149" s="8">
        <f t="shared" si="42"/>
        <v>0</v>
      </c>
      <c r="Y149" s="8">
        <f t="shared" si="43"/>
        <v>5.1974231228260476E-3</v>
      </c>
      <c r="Z149" s="8">
        <f t="shared" si="44"/>
        <v>4.5490258486117081E-4</v>
      </c>
      <c r="AA149" s="8">
        <f t="shared" si="26"/>
        <v>0</v>
      </c>
      <c r="AB149" s="8">
        <f t="shared" si="27"/>
        <v>0</v>
      </c>
      <c r="AC149" s="8">
        <f t="shared" si="45"/>
        <v>-0.33998762677576616</v>
      </c>
      <c r="AD149" s="8">
        <f t="shared" si="28"/>
        <v>-65.986504291947838</v>
      </c>
      <c r="AF149" s="23">
        <f t="shared" si="29"/>
        <v>13.811519829406883</v>
      </c>
      <c r="AG149" s="8">
        <f t="shared" si="30"/>
        <v>-19.489736566763664</v>
      </c>
      <c r="AI149" s="12">
        <f t="shared" si="31"/>
        <v>-13.979476121542637</v>
      </c>
      <c r="AJ149" s="8">
        <f t="shared" si="32"/>
        <v>-0.21329860406516538</v>
      </c>
      <c r="AL149" s="12">
        <f t="shared" si="33"/>
        <v>35.033119579963</v>
      </c>
      <c r="AM149" s="8">
        <f t="shared" si="34"/>
        <v>133.68306156584327</v>
      </c>
    </row>
    <row r="150" spans="1:39" x14ac:dyDescent="0.25">
      <c r="A150" s="22">
        <f>A149+500</f>
        <v>1500</v>
      </c>
      <c r="B150" s="8">
        <f t="shared" si="10"/>
        <v>9424.7779607693792</v>
      </c>
      <c r="C150" s="9">
        <f t="shared" si="11"/>
        <v>40.320708229946462</v>
      </c>
      <c r="D150" s="9">
        <f t="shared" si="12"/>
        <v>0.99394668251622986</v>
      </c>
      <c r="E150" s="9">
        <f t="shared" si="13"/>
        <v>0.52914073022897412</v>
      </c>
      <c r="F150" s="9">
        <f t="shared" si="14"/>
        <v>1.0309182502128753</v>
      </c>
      <c r="G150" s="9">
        <f t="shared" si="15"/>
        <v>0.29096384338785025</v>
      </c>
      <c r="H150" s="9">
        <f t="shared" si="16"/>
        <v>2.1304003534618207E-5</v>
      </c>
      <c r="I150" s="9">
        <f t="shared" si="17"/>
        <v>0</v>
      </c>
      <c r="J150" s="9">
        <f t="shared" si="18"/>
        <v>7.8021110828768627</v>
      </c>
      <c r="K150" s="9">
        <f t="shared" si="19"/>
        <v>0</v>
      </c>
      <c r="L150" s="9">
        <f t="shared" si="20"/>
        <v>0.99999175886058589</v>
      </c>
      <c r="M150" s="9">
        <f t="shared" si="21"/>
        <v>7.79617632914843E-3</v>
      </c>
      <c r="N150" s="9">
        <f t="shared" si="22"/>
        <v>1.9238017932046294E-4</v>
      </c>
      <c r="O150" s="9">
        <f t="shared" si="36"/>
        <v>2.0221045075911028E-6</v>
      </c>
      <c r="P150" s="9">
        <f t="shared" si="23"/>
        <v>0</v>
      </c>
      <c r="Q150" s="9">
        <f t="shared" si="24"/>
        <v>0</v>
      </c>
      <c r="R150" s="23">
        <f t="shared" si="25"/>
        <v>31.778469641964275</v>
      </c>
      <c r="S150" s="8">
        <f t="shared" si="37"/>
        <v>0.48920180135652996</v>
      </c>
      <c r="T150" s="8">
        <f t="shared" si="38"/>
        <v>0.2573949351086337</v>
      </c>
      <c r="U150" s="8">
        <f t="shared" si="39"/>
        <v>2.2148191992312164E-3</v>
      </c>
      <c r="V150" s="8">
        <f t="shared" si="40"/>
        <v>0</v>
      </c>
      <c r="W150" s="8">
        <f t="shared" si="41"/>
        <v>1.1513210509548193</v>
      </c>
      <c r="X150" s="8">
        <f t="shared" si="42"/>
        <v>0</v>
      </c>
      <c r="Y150" s="8">
        <f t="shared" si="43"/>
        <v>7.796082629427094E-3</v>
      </c>
      <c r="Z150" s="8">
        <f t="shared" si="44"/>
        <v>6.823538184568391E-4</v>
      </c>
      <c r="AA150" s="8">
        <f t="shared" si="26"/>
        <v>0</v>
      </c>
      <c r="AB150" s="8">
        <f t="shared" si="27"/>
        <v>0</v>
      </c>
      <c r="AC150" s="8">
        <f t="shared" si="45"/>
        <v>-0.48920180135652996</v>
      </c>
      <c r="AD150" s="8">
        <f t="shared" si="28"/>
        <v>-79.606271015268703</v>
      </c>
      <c r="AF150" s="23">
        <f t="shared" si="29"/>
        <v>13.269190066453957</v>
      </c>
      <c r="AG150" s="8">
        <f t="shared" si="30"/>
        <v>-28.043415364387069</v>
      </c>
      <c r="AI150" s="12">
        <f t="shared" si="31"/>
        <v>-13.979571162896161</v>
      </c>
      <c r="AJ150" s="8">
        <f t="shared" si="32"/>
        <v>-0.31994503739976365</v>
      </c>
      <c r="AL150" s="12">
        <f t="shared" si="33"/>
        <v>32.488850738406477</v>
      </c>
      <c r="AM150" s="8">
        <f t="shared" si="34"/>
        <v>128.71671193005236</v>
      </c>
    </row>
    <row r="151" spans="1:39" x14ac:dyDescent="0.25">
      <c r="A151" s="22">
        <f t="shared" ref="A151:A167" si="47">A150+500</f>
        <v>2000</v>
      </c>
      <c r="B151" s="8">
        <f t="shared" si="10"/>
        <v>12566.370614359172</v>
      </c>
      <c r="C151" s="9">
        <f t="shared" si="11"/>
        <v>40.320708229946462</v>
      </c>
      <c r="D151" s="9">
        <f t="shared" si="12"/>
        <v>0.98923854669551969</v>
      </c>
      <c r="E151" s="9">
        <f t="shared" si="13"/>
        <v>0.70549065936134492</v>
      </c>
      <c r="F151" s="9">
        <f t="shared" si="14"/>
        <v>1.6917755349362771</v>
      </c>
      <c r="G151" s="9">
        <f t="shared" si="15"/>
        <v>0.50451708524910954</v>
      </c>
      <c r="H151" s="9">
        <f t="shared" si="16"/>
        <v>3.7873711809795264E-5</v>
      </c>
      <c r="I151" s="9">
        <f t="shared" si="17"/>
        <v>0</v>
      </c>
      <c r="J151" s="9">
        <f t="shared" si="18"/>
        <v>9.9736895273419144</v>
      </c>
      <c r="K151" s="9">
        <f t="shared" si="19"/>
        <v>0</v>
      </c>
      <c r="L151" s="9">
        <f t="shared" si="20"/>
        <v>0.99998534908548597</v>
      </c>
      <c r="M151" s="9">
        <f t="shared" si="21"/>
        <v>1.0394901772197906E-2</v>
      </c>
      <c r="N151" s="9">
        <f t="shared" si="22"/>
        <v>3.4200372402932647E-4</v>
      </c>
      <c r="O151" s="9">
        <f t="shared" si="36"/>
        <v>3.5948518071814309E-6</v>
      </c>
      <c r="P151" s="9">
        <f t="shared" si="23"/>
        <v>0</v>
      </c>
      <c r="Q151" s="9">
        <f t="shared" si="24"/>
        <v>0</v>
      </c>
      <c r="R151" s="23">
        <f t="shared" si="25"/>
        <v>29.159452528053357</v>
      </c>
      <c r="S151" s="8">
        <f t="shared" si="37"/>
        <v>0.61950723329103485</v>
      </c>
      <c r="T151" s="8">
        <f t="shared" si="38"/>
        <v>0.33754647410447841</v>
      </c>
      <c r="U151" s="8">
        <f t="shared" si="39"/>
        <v>2.9530885099802195E-3</v>
      </c>
      <c r="V151" s="8">
        <f t="shared" si="40"/>
        <v>0</v>
      </c>
      <c r="W151" s="8">
        <f t="shared" si="41"/>
        <v>1.2480343692426989</v>
      </c>
      <c r="X151" s="8">
        <f t="shared" si="42"/>
        <v>0</v>
      </c>
      <c r="Y151" s="8">
        <f t="shared" si="43"/>
        <v>1.0394679673550658E-2</v>
      </c>
      <c r="Z151" s="8">
        <f t="shared" si="44"/>
        <v>9.0980498145064781E-4</v>
      </c>
      <c r="AA151" s="8">
        <f t="shared" si="26"/>
        <v>0</v>
      </c>
      <c r="AB151" s="8">
        <f t="shared" si="27"/>
        <v>0</v>
      </c>
      <c r="AC151" s="8">
        <f t="shared" si="45"/>
        <v>-0.61950723329103485</v>
      </c>
      <c r="AD151" s="8">
        <f t="shared" si="28"/>
        <v>-88.140763286724223</v>
      </c>
      <c r="AF151" s="23">
        <f t="shared" si="29"/>
        <v>12.608332781730557</v>
      </c>
      <c r="AG151" s="8">
        <f t="shared" si="30"/>
        <v>-35.513153500759962</v>
      </c>
      <c r="AI151" s="12">
        <f t="shared" si="31"/>
        <v>-13.979704216732594</v>
      </c>
      <c r="AJ151" s="8">
        <f t="shared" si="32"/>
        <v>-0.4265880284849296</v>
      </c>
      <c r="AL151" s="12">
        <f t="shared" si="33"/>
        <v>30.530823963055386</v>
      </c>
      <c r="AM151" s="8">
        <f t="shared" si="34"/>
        <v>127.75427196766216</v>
      </c>
    </row>
    <row r="152" spans="1:39" x14ac:dyDescent="0.25">
      <c r="A152" s="22">
        <f t="shared" si="47"/>
        <v>2500</v>
      </c>
      <c r="B152" s="8">
        <f t="shared" si="10"/>
        <v>15707.963267948966</v>
      </c>
      <c r="C152" s="9">
        <f t="shared" si="11"/>
        <v>40.320708229946462</v>
      </c>
      <c r="D152" s="9">
        <f t="shared" si="12"/>
        <v>0.98318522921174956</v>
      </c>
      <c r="E152" s="9">
        <f t="shared" si="13"/>
        <v>0.88181460482746976</v>
      </c>
      <c r="F152" s="9">
        <f t="shared" si="14"/>
        <v>2.4160877951312902</v>
      </c>
      <c r="G152" s="9">
        <f t="shared" si="15"/>
        <v>0.76450460739079518</v>
      </c>
      <c r="H152" s="9">
        <f t="shared" si="16"/>
        <v>5.9177529558312951E-5</v>
      </c>
      <c r="I152" s="9">
        <f t="shared" si="17"/>
        <v>0</v>
      </c>
      <c r="J152" s="9">
        <f t="shared" si="18"/>
        <v>11.751674483658363</v>
      </c>
      <c r="K152" s="9">
        <f t="shared" si="19"/>
        <v>0</v>
      </c>
      <c r="L152" s="9">
        <f t="shared" si="20"/>
        <v>0.99997710794607186</v>
      </c>
      <c r="M152" s="9">
        <f t="shared" si="21"/>
        <v>1.2993627215247385E-2</v>
      </c>
      <c r="N152" s="9">
        <f t="shared" si="22"/>
        <v>5.343698030916054E-4</v>
      </c>
      <c r="O152" s="9">
        <f t="shared" si="36"/>
        <v>5.6169546427720902E-6</v>
      </c>
      <c r="P152" s="9">
        <f t="shared" si="23"/>
        <v>0</v>
      </c>
      <c r="Q152" s="9">
        <f t="shared" si="24"/>
        <v>0</v>
      </c>
      <c r="R152" s="23">
        <f t="shared" si="25"/>
        <v>26.916969749319431</v>
      </c>
      <c r="S152" s="8">
        <f t="shared" si="37"/>
        <v>0.73109736940221848</v>
      </c>
      <c r="T152" s="8">
        <f t="shared" si="38"/>
        <v>0.41343684570421663</v>
      </c>
      <c r="U152" s="8">
        <f t="shared" si="39"/>
        <v>3.6913546016224602E-3</v>
      </c>
      <c r="V152" s="8">
        <f t="shared" si="40"/>
        <v>0</v>
      </c>
      <c r="W152" s="8">
        <f t="shared" si="41"/>
        <v>1.3093545011233014</v>
      </c>
      <c r="X152" s="8">
        <f t="shared" si="42"/>
        <v>0</v>
      </c>
      <c r="Y152" s="8">
        <f t="shared" si="43"/>
        <v>1.2993193439865247E-2</v>
      </c>
      <c r="Z152" s="8">
        <f t="shared" si="44"/>
        <v>1.1372560503087122E-3</v>
      </c>
      <c r="AA152" s="8">
        <f t="shared" si="26"/>
        <v>0</v>
      </c>
      <c r="AB152" s="8">
        <f t="shared" si="27"/>
        <v>0</v>
      </c>
      <c r="AC152" s="8">
        <f t="shared" si="45"/>
        <v>-0.73109736940221848</v>
      </c>
      <c r="AD152" s="8">
        <f t="shared" si="28"/>
        <v>-93.819210205684143</v>
      </c>
      <c r="AF152" s="23">
        <f t="shared" si="29"/>
        <v>11.884020521535543</v>
      </c>
      <c r="AG152" s="8">
        <f t="shared" si="30"/>
        <v>-41.91004028420361</v>
      </c>
      <c r="AI152" s="12">
        <f t="shared" si="31"/>
        <v>-13.979875278993909</v>
      </c>
      <c r="AJ152" s="8">
        <f t="shared" si="32"/>
        <v>-0.5332264302177393</v>
      </c>
      <c r="AL152" s="12">
        <f t="shared" si="33"/>
        <v>29.01282450677779</v>
      </c>
      <c r="AM152" s="8">
        <f t="shared" si="34"/>
        <v>128.57647004315578</v>
      </c>
    </row>
    <row r="153" spans="1:39" x14ac:dyDescent="0.25">
      <c r="A153" s="22">
        <f t="shared" si="47"/>
        <v>3000</v>
      </c>
      <c r="B153" s="8">
        <f t="shared" si="10"/>
        <v>18849.555921538758</v>
      </c>
      <c r="C153" s="9">
        <f t="shared" si="11"/>
        <v>40.320708229946462</v>
      </c>
      <c r="D153" s="9">
        <f t="shared" si="12"/>
        <v>0.97578673006491934</v>
      </c>
      <c r="E153" s="9">
        <f t="shared" si="13"/>
        <v>1.0581060707107868</v>
      </c>
      <c r="F153" s="9">
        <f t="shared" si="14"/>
        <v>3.1633697007102217</v>
      </c>
      <c r="G153" s="9">
        <f t="shared" si="15"/>
        <v>1.0624825199005292</v>
      </c>
      <c r="H153" s="9">
        <f t="shared" si="16"/>
        <v>8.5215387111210468E-5</v>
      </c>
      <c r="I153" s="9">
        <f t="shared" si="17"/>
        <v>0</v>
      </c>
      <c r="J153" s="9">
        <f t="shared" si="18"/>
        <v>13.245726221280162</v>
      </c>
      <c r="K153" s="9">
        <f t="shared" si="19"/>
        <v>0</v>
      </c>
      <c r="L153" s="9">
        <f t="shared" si="20"/>
        <v>0.99996703544234355</v>
      </c>
      <c r="M153" s="9">
        <f t="shared" si="21"/>
        <v>1.559235265829686E-2</v>
      </c>
      <c r="N153" s="9">
        <f t="shared" si="22"/>
        <v>7.6947313003499819E-4</v>
      </c>
      <c r="O153" s="9">
        <f t="shared" si="36"/>
        <v>8.088412384229764E-6</v>
      </c>
      <c r="P153" s="9">
        <f t="shared" si="23"/>
        <v>0</v>
      </c>
      <c r="Q153" s="9">
        <f t="shared" si="24"/>
        <v>0</v>
      </c>
      <c r="R153" s="23">
        <f t="shared" si="25"/>
        <v>24.973402481701299</v>
      </c>
      <c r="S153" s="8">
        <f t="shared" si="37"/>
        <v>0.82584987004094212</v>
      </c>
      <c r="T153" s="8">
        <f t="shared" si="38"/>
        <v>0.4845971904801456</v>
      </c>
      <c r="U153" s="8">
        <f t="shared" si="39"/>
        <v>4.4296166694207236E-3</v>
      </c>
      <c r="V153" s="8">
        <f t="shared" si="40"/>
        <v>0</v>
      </c>
      <c r="W153" s="8">
        <f t="shared" si="41"/>
        <v>1.3514133217122346</v>
      </c>
      <c r="X153" s="8">
        <f t="shared" si="42"/>
        <v>0</v>
      </c>
      <c r="Y153" s="8">
        <f t="shared" si="43"/>
        <v>1.5591603117747762E-2</v>
      </c>
      <c r="Z153" s="8">
        <f t="shared" si="44"/>
        <v>1.3647070014972049E-3</v>
      </c>
      <c r="AA153" s="8">
        <f t="shared" si="26"/>
        <v>0</v>
      </c>
      <c r="AB153" s="8">
        <f t="shared" si="27"/>
        <v>0</v>
      </c>
      <c r="AC153" s="8">
        <f t="shared" si="45"/>
        <v>-0.82584987004094212</v>
      </c>
      <c r="AD153" s="8">
        <f t="shared" si="28"/>
        <v>-97.700344664159417</v>
      </c>
      <c r="AF153" s="23">
        <f t="shared" si="29"/>
        <v>11.136738615956611</v>
      </c>
      <c r="AG153" s="8">
        <f t="shared" si="30"/>
        <v>-47.341712295340635</v>
      </c>
      <c r="AI153" s="12">
        <f t="shared" si="31"/>
        <v>-13.980084344463299</v>
      </c>
      <c r="AJ153" s="8">
        <f t="shared" si="32"/>
        <v>-0.63985909576397015</v>
      </c>
      <c r="AL153" s="12">
        <f t="shared" si="33"/>
        <v>27.816748210207987</v>
      </c>
      <c r="AM153" s="8">
        <f t="shared" si="34"/>
        <v>130.23167169361608</v>
      </c>
    </row>
    <row r="154" spans="1:39" x14ac:dyDescent="0.25">
      <c r="A154" s="22">
        <f t="shared" si="47"/>
        <v>3500</v>
      </c>
      <c r="B154" s="8">
        <f t="shared" si="10"/>
        <v>21991.148575128551</v>
      </c>
      <c r="C154" s="9">
        <f t="shared" si="11"/>
        <v>40.320708229946462</v>
      </c>
      <c r="D154" s="9">
        <f t="shared" si="12"/>
        <v>0.96704304925502915</v>
      </c>
      <c r="E154" s="9">
        <f t="shared" si="13"/>
        <v>1.2343585610947347</v>
      </c>
      <c r="F154" s="9">
        <f t="shared" si="14"/>
        <v>3.9072555651063001</v>
      </c>
      <c r="G154" s="9">
        <f t="shared" si="15"/>
        <v>1.3901509520076314</v>
      </c>
      <c r="H154" s="9">
        <f t="shared" si="16"/>
        <v>1.1598719932000264E-4</v>
      </c>
      <c r="I154" s="9">
        <f t="shared" si="17"/>
        <v>0</v>
      </c>
      <c r="J154" s="9">
        <f t="shared" si="18"/>
        <v>14.529745635731715</v>
      </c>
      <c r="K154" s="9">
        <f t="shared" si="19"/>
        <v>0</v>
      </c>
      <c r="L154" s="9">
        <f t="shared" si="20"/>
        <v>0.99995513157430094</v>
      </c>
      <c r="M154" s="9">
        <f t="shared" si="21"/>
        <v>1.8191078101346337E-2</v>
      </c>
      <c r="N154" s="9">
        <f t="shared" si="22"/>
        <v>1.0473072446397027E-3</v>
      </c>
      <c r="O154" s="9">
        <f t="shared" si="36"/>
        <v>1.1009224264178172E-5</v>
      </c>
      <c r="P154" s="9">
        <f t="shared" si="23"/>
        <v>0</v>
      </c>
      <c r="Q154" s="9">
        <f t="shared" si="24"/>
        <v>0</v>
      </c>
      <c r="R154" s="23">
        <f t="shared" si="25"/>
        <v>23.2729156518465</v>
      </c>
      <c r="S154" s="8">
        <f t="shared" si="37"/>
        <v>0.90623624340815045</v>
      </c>
      <c r="T154" s="8">
        <f t="shared" si="38"/>
        <v>0.55080457986012044</v>
      </c>
      <c r="U154" s="8">
        <f t="shared" si="39"/>
        <v>5.1678739086641152E-3</v>
      </c>
      <c r="V154" s="8">
        <f t="shared" si="40"/>
        <v>0</v>
      </c>
      <c r="W154" s="8">
        <f t="shared" si="41"/>
        <v>1.3819550074744189</v>
      </c>
      <c r="X154" s="8">
        <f t="shared" si="42"/>
        <v>0</v>
      </c>
      <c r="Y154" s="8">
        <f t="shared" si="43"/>
        <v>1.8189887902459394E-2</v>
      </c>
      <c r="Z154" s="8">
        <f t="shared" si="44"/>
        <v>1.5921578114823731E-3</v>
      </c>
      <c r="AA154" s="8">
        <f t="shared" si="26"/>
        <v>0</v>
      </c>
      <c r="AB154" s="8">
        <f t="shared" si="27"/>
        <v>0</v>
      </c>
      <c r="AC154" s="8">
        <f t="shared" si="45"/>
        <v>-0.90623624340815045</v>
      </c>
      <c r="AD154" s="8">
        <f t="shared" si="28"/>
        <v>-100.38225399739181</v>
      </c>
      <c r="AF154" s="23">
        <f t="shared" si="29"/>
        <v>10.392852751560532</v>
      </c>
      <c r="AG154" s="8">
        <f t="shared" si="30"/>
        <v>-51.949848348237921</v>
      </c>
      <c r="AI154" s="12">
        <f t="shared" si="31"/>
        <v>-13.980331406765695</v>
      </c>
      <c r="AJ154" s="8">
        <f t="shared" si="32"/>
        <v>-0.74648487862520696</v>
      </c>
      <c r="AL154" s="12">
        <f t="shared" si="33"/>
        <v>26.860394307051653</v>
      </c>
      <c r="AM154" s="8">
        <f t="shared" si="34"/>
        <v>132.26316389278963</v>
      </c>
    </row>
    <row r="155" spans="1:39" x14ac:dyDescent="0.25">
      <c r="A155" s="22">
        <f t="shared" si="47"/>
        <v>4000</v>
      </c>
      <c r="B155" s="8">
        <f t="shared" si="10"/>
        <v>25132.741228718343</v>
      </c>
      <c r="C155" s="9">
        <f t="shared" si="11"/>
        <v>40.320708229946462</v>
      </c>
      <c r="D155" s="9">
        <f t="shared" si="12"/>
        <v>0.95695418678207889</v>
      </c>
      <c r="E155" s="9">
        <f t="shared" si="13"/>
        <v>1.4105655800627517</v>
      </c>
      <c r="F155" s="9">
        <f t="shared" si="14"/>
        <v>4.6321438829168233</v>
      </c>
      <c r="G155" s="9">
        <f t="shared" si="15"/>
        <v>1.7398541546044237</v>
      </c>
      <c r="H155" s="9">
        <f t="shared" si="16"/>
        <v>1.5149286555918865E-4</v>
      </c>
      <c r="I155" s="9">
        <f t="shared" si="17"/>
        <v>0</v>
      </c>
      <c r="J155" s="9">
        <f t="shared" si="18"/>
        <v>15.653566484142669</v>
      </c>
      <c r="K155" s="9">
        <f t="shared" si="19"/>
        <v>0</v>
      </c>
      <c r="L155" s="9">
        <f t="shared" si="20"/>
        <v>0.99994139634194401</v>
      </c>
      <c r="M155" s="9">
        <f t="shared" si="21"/>
        <v>2.0789803544395812E-2</v>
      </c>
      <c r="N155" s="9">
        <f t="shared" si="22"/>
        <v>1.3678645135476529E-3</v>
      </c>
      <c r="O155" s="9">
        <f t="shared" si="36"/>
        <v>1.4379389377998561E-5</v>
      </c>
      <c r="P155" s="9">
        <f t="shared" si="23"/>
        <v>0</v>
      </c>
      <c r="Q155" s="9">
        <f t="shared" si="24"/>
        <v>0</v>
      </c>
      <c r="R155" s="23">
        <f t="shared" si="25"/>
        <v>21.773621266454033</v>
      </c>
      <c r="S155" s="8">
        <f t="shared" si="37"/>
        <v>0.97470171053032073</v>
      </c>
      <c r="T155" s="8">
        <f t="shared" si="38"/>
        <v>0.61203848985261056</v>
      </c>
      <c r="U155" s="8">
        <f t="shared" si="39"/>
        <v>5.9061255146733178E-3</v>
      </c>
      <c r="V155" s="8">
        <f t="shared" si="40"/>
        <v>0</v>
      </c>
      <c r="W155" s="8">
        <f t="shared" si="41"/>
        <v>1.4051008103081959</v>
      </c>
      <c r="X155" s="8">
        <f t="shared" si="42"/>
        <v>0</v>
      </c>
      <c r="Y155" s="8">
        <f t="shared" si="43"/>
        <v>2.0788026996320583E-2</v>
      </c>
      <c r="Z155" s="8">
        <f t="shared" si="44"/>
        <v>1.8196084567305506E-3</v>
      </c>
      <c r="AA155" s="8">
        <f t="shared" si="26"/>
        <v>0</v>
      </c>
      <c r="AB155" s="8">
        <f t="shared" si="27"/>
        <v>0</v>
      </c>
      <c r="AC155" s="8">
        <f t="shared" si="45"/>
        <v>-0.97470171053032073</v>
      </c>
      <c r="AD155" s="8">
        <f t="shared" si="28"/>
        <v>-102.24234418149095</v>
      </c>
      <c r="AF155" s="23">
        <f t="shared" si="29"/>
        <v>9.6679644337500097</v>
      </c>
      <c r="AG155" s="8">
        <f t="shared" si="30"/>
        <v>-55.874620348871886</v>
      </c>
      <c r="AI155" s="12">
        <f t="shared" si="31"/>
        <v>-13.980616458368363</v>
      </c>
      <c r="AJ155" s="8">
        <f t="shared" si="32"/>
        <v>-0.85310263270589415</v>
      </c>
      <c r="AL155" s="12">
        <f t="shared" si="33"/>
        <v>26.086273291072377</v>
      </c>
      <c r="AM155" s="8">
        <f t="shared" si="34"/>
        <v>134.43351999865706</v>
      </c>
    </row>
    <row r="156" spans="1:39" x14ac:dyDescent="0.25">
      <c r="A156" s="22">
        <f t="shared" si="47"/>
        <v>4500</v>
      </c>
      <c r="B156" s="8">
        <f t="shared" si="10"/>
        <v>28274.333882308139</v>
      </c>
      <c r="C156" s="9">
        <f t="shared" si="11"/>
        <v>40.320708229946462</v>
      </c>
      <c r="D156" s="9">
        <f t="shared" si="12"/>
        <v>0.94552014264606854</v>
      </c>
      <c r="E156" s="9">
        <f t="shared" si="13"/>
        <v>1.5867206316982769</v>
      </c>
      <c r="F156" s="9">
        <f t="shared" si="14"/>
        <v>5.3296965204431581</v>
      </c>
      <c r="G156" s="9">
        <f t="shared" si="15"/>
        <v>2.1048692769429045</v>
      </c>
      <c r="H156" s="9">
        <f t="shared" si="16"/>
        <v>1.9173226972115168E-4</v>
      </c>
      <c r="I156" s="9">
        <f t="shared" si="17"/>
        <v>0</v>
      </c>
      <c r="J156" s="9">
        <f t="shared" si="18"/>
        <v>16.65174930558161</v>
      </c>
      <c r="K156" s="9">
        <f t="shared" si="19"/>
        <v>0</v>
      </c>
      <c r="L156" s="9">
        <f t="shared" si="20"/>
        <v>0.99992582974527289</v>
      </c>
      <c r="M156" s="9">
        <f t="shared" si="21"/>
        <v>2.3388528987445294E-2</v>
      </c>
      <c r="N156" s="9">
        <f t="shared" si="22"/>
        <v>1.7311361309832027E-3</v>
      </c>
      <c r="O156" s="9">
        <f t="shared" si="36"/>
        <v>1.8198906679972991E-5</v>
      </c>
      <c r="P156" s="9">
        <f t="shared" si="23"/>
        <v>0</v>
      </c>
      <c r="Q156" s="9">
        <f t="shared" si="24"/>
        <v>0</v>
      </c>
      <c r="R156" s="23">
        <f t="shared" si="25"/>
        <v>20.442574078096658</v>
      </c>
      <c r="S156" s="8">
        <f t="shared" si="37"/>
        <v>1.0334000937568377</v>
      </c>
      <c r="T156" s="8">
        <f t="shared" si="38"/>
        <v>0.66843014460151495</v>
      </c>
      <c r="U156" s="8">
        <f t="shared" si="39"/>
        <v>6.6443706828058563E-3</v>
      </c>
      <c r="V156" s="8">
        <f t="shared" si="40"/>
        <v>0</v>
      </c>
      <c r="W156" s="8">
        <f t="shared" si="41"/>
        <v>1.4232291101364716</v>
      </c>
      <c r="X156" s="8">
        <f t="shared" si="42"/>
        <v>0</v>
      </c>
      <c r="Y156" s="8">
        <f t="shared" si="43"/>
        <v>2.3385999609885071E-2</v>
      </c>
      <c r="Z156" s="8">
        <f t="shared" si="44"/>
        <v>2.0470589137081743E-3</v>
      </c>
      <c r="AA156" s="8">
        <f t="shared" si="26"/>
        <v>0</v>
      </c>
      <c r="AB156" s="8">
        <f t="shared" si="27"/>
        <v>0</v>
      </c>
      <c r="AC156" s="8">
        <f t="shared" si="45"/>
        <v>-1.0334000937568377</v>
      </c>
      <c r="AD156" s="8">
        <f t="shared" si="28"/>
        <v>-103.53277154254975</v>
      </c>
      <c r="AF156" s="23">
        <f t="shared" si="29"/>
        <v>8.9704117962236758</v>
      </c>
      <c r="AG156" s="8">
        <f t="shared" si="30"/>
        <v>-59.239495820455666</v>
      </c>
      <c r="AI156" s="12">
        <f t="shared" si="31"/>
        <v>-13.980939490581637</v>
      </c>
      <c r="AJ156" s="8">
        <f t="shared" si="32"/>
        <v>-0.95971121238033708</v>
      </c>
      <c r="AL156" s="12">
        <f t="shared" si="33"/>
        <v>25.453101772454612</v>
      </c>
      <c r="AM156" s="8">
        <f t="shared" si="34"/>
        <v>136.61392216536316</v>
      </c>
    </row>
    <row r="157" spans="1:39" x14ac:dyDescent="0.25">
      <c r="A157" s="22">
        <f t="shared" si="47"/>
        <v>5000</v>
      </c>
      <c r="B157" s="8">
        <f t="shared" si="10"/>
        <v>31415.926535897932</v>
      </c>
      <c r="C157" s="9">
        <f t="shared" si="11"/>
        <v>40.320708229946462</v>
      </c>
      <c r="D157" s="9">
        <f t="shared" si="12"/>
        <v>0.93274091684699822</v>
      </c>
      <c r="E157" s="9">
        <f t="shared" si="13"/>
        <v>1.7628172200847481</v>
      </c>
      <c r="F157" s="9">
        <f t="shared" si="14"/>
        <v>5.9961348243527439</v>
      </c>
      <c r="G157" s="9">
        <f t="shared" si="15"/>
        <v>2.4795190351070535</v>
      </c>
      <c r="H157" s="9">
        <f t="shared" si="16"/>
        <v>2.3670528022273567E-4</v>
      </c>
      <c r="I157" s="9">
        <f t="shared" si="17"/>
        <v>0</v>
      </c>
      <c r="J157" s="9">
        <f t="shared" si="18"/>
        <v>17.549023688901777</v>
      </c>
      <c r="K157" s="9">
        <f t="shared" si="19"/>
        <v>0</v>
      </c>
      <c r="L157" s="9">
        <f t="shared" si="20"/>
        <v>0.99990843178428757</v>
      </c>
      <c r="M157" s="9">
        <f t="shared" si="21"/>
        <v>2.598725443049477E-2</v>
      </c>
      <c r="N157" s="9">
        <f t="shared" si="22"/>
        <v>2.1371121195909414E-3</v>
      </c>
      <c r="O157" s="9">
        <f t="shared" si="36"/>
        <v>2.2467774981356354E-5</v>
      </c>
      <c r="P157" s="9">
        <f t="shared" si="23"/>
        <v>0</v>
      </c>
      <c r="Q157" s="9">
        <f t="shared" si="24"/>
        <v>0</v>
      </c>
      <c r="R157" s="23">
        <f t="shared" si="25"/>
        <v>19.253145877184643</v>
      </c>
      <c r="S157" s="8">
        <f t="shared" si="37"/>
        <v>1.0841254268255274</v>
      </c>
      <c r="T157" s="8">
        <f t="shared" si="38"/>
        <v>0.7202141345241948</v>
      </c>
      <c r="U157" s="8">
        <f t="shared" si="39"/>
        <v>7.3826086084613574E-3</v>
      </c>
      <c r="V157" s="8">
        <f t="shared" si="40"/>
        <v>0</v>
      </c>
      <c r="W157" s="8">
        <f t="shared" si="41"/>
        <v>1.4378030106849951</v>
      </c>
      <c r="X157" s="8">
        <f t="shared" si="42"/>
        <v>0</v>
      </c>
      <c r="Y157" s="8">
        <f t="shared" si="43"/>
        <v>2.5983784963112693E-2</v>
      </c>
      <c r="Z157" s="8">
        <f t="shared" si="44"/>
        <v>2.2745091588817967E-3</v>
      </c>
      <c r="AA157" s="8">
        <f t="shared" si="26"/>
        <v>0</v>
      </c>
      <c r="AB157" s="8">
        <f t="shared" si="27"/>
        <v>0</v>
      </c>
      <c r="AC157" s="8">
        <f t="shared" si="45"/>
        <v>-1.0841254268255274</v>
      </c>
      <c r="AD157" s="8">
        <f t="shared" si="28"/>
        <v>-104.42671412383926</v>
      </c>
      <c r="AF157" s="23">
        <f t="shared" si="29"/>
        <v>8.3039734923140891</v>
      </c>
      <c r="AG157" s="8">
        <f t="shared" si="30"/>
        <v>-62.147317461335966</v>
      </c>
      <c r="AI157" s="12">
        <f t="shared" si="31"/>
        <v>-13.981300493559743</v>
      </c>
      <c r="AJ157" s="8">
        <f t="shared" si="32"/>
        <v>-1.0663094725596307</v>
      </c>
      <c r="AL157" s="12">
        <f t="shared" si="33"/>
        <v>24.930472878430294</v>
      </c>
      <c r="AM157" s="8">
        <f t="shared" si="34"/>
        <v>138.73394606447681</v>
      </c>
    </row>
    <row r="158" spans="1:39" x14ac:dyDescent="0.25">
      <c r="A158" s="22">
        <f t="shared" si="47"/>
        <v>5500</v>
      </c>
      <c r="B158" s="8">
        <f t="shared" si="10"/>
        <v>34557.519189487721</v>
      </c>
      <c r="C158" s="9">
        <f t="shared" si="11"/>
        <v>40.320708229946462</v>
      </c>
      <c r="D158" s="9">
        <f t="shared" si="12"/>
        <v>0.91861650938486794</v>
      </c>
      <c r="E158" s="9">
        <f t="shared" si="13"/>
        <v>1.9388488493056035</v>
      </c>
      <c r="F158" s="9">
        <f t="shared" si="14"/>
        <v>6.6304014005973979</v>
      </c>
      <c r="G158" s="9">
        <f t="shared" si="15"/>
        <v>2.859159944876998</v>
      </c>
      <c r="H158" s="9">
        <f t="shared" si="16"/>
        <v>2.8641175000999896E-4</v>
      </c>
      <c r="I158" s="9">
        <f t="shared" si="17"/>
        <v>0</v>
      </c>
      <c r="J158" s="9">
        <f t="shared" si="18"/>
        <v>18.363604078216248</v>
      </c>
      <c r="K158" s="9">
        <f t="shared" si="19"/>
        <v>0</v>
      </c>
      <c r="L158" s="9">
        <f t="shared" si="20"/>
        <v>0.99988920245898794</v>
      </c>
      <c r="M158" s="9">
        <f t="shared" si="21"/>
        <v>2.8585979873544241E-2</v>
      </c>
      <c r="N158" s="9">
        <f t="shared" si="22"/>
        <v>2.5857813313770253E-3</v>
      </c>
      <c r="O158" s="9">
        <f t="shared" si="36"/>
        <v>2.7185992960020405E-5</v>
      </c>
      <c r="P158" s="9">
        <f t="shared" si="23"/>
        <v>0</v>
      </c>
      <c r="Q158" s="9">
        <f t="shared" si="24"/>
        <v>0</v>
      </c>
      <c r="R158" s="23">
        <f t="shared" si="25"/>
        <v>18.183536140435489</v>
      </c>
      <c r="S158" s="8">
        <f t="shared" si="37"/>
        <v>1.1283317818266172</v>
      </c>
      <c r="T158" s="8">
        <f t="shared" si="38"/>
        <v>0.76768749787973001</v>
      </c>
      <c r="U158" s="8">
        <f t="shared" si="39"/>
        <v>8.1208384870868136E-3</v>
      </c>
      <c r="V158" s="8">
        <f t="shared" si="40"/>
        <v>0</v>
      </c>
      <c r="W158" s="8">
        <f t="shared" si="41"/>
        <v>1.4497698112827</v>
      </c>
      <c r="X158" s="8">
        <f t="shared" si="42"/>
        <v>0</v>
      </c>
      <c r="Y158" s="8">
        <f t="shared" si="43"/>
        <v>2.8581362286540925E-2</v>
      </c>
      <c r="Z158" s="8">
        <f t="shared" si="44"/>
        <v>2.5019591687181031E-3</v>
      </c>
      <c r="AA158" s="8">
        <f t="shared" si="26"/>
        <v>0</v>
      </c>
      <c r="AB158" s="8">
        <f t="shared" si="27"/>
        <v>0</v>
      </c>
      <c r="AC158" s="8">
        <f t="shared" si="45"/>
        <v>-1.1283317818266172</v>
      </c>
      <c r="AD158" s="8">
        <f t="shared" si="28"/>
        <v>-105.04474018886815</v>
      </c>
      <c r="AF158" s="23">
        <f t="shared" si="29"/>
        <v>7.6697069160694351</v>
      </c>
      <c r="AG158" s="8">
        <f t="shared" si="30"/>
        <v>-64.681439722544923</v>
      </c>
      <c r="AI158" s="12">
        <f t="shared" si="31"/>
        <v>-13.981699456301742</v>
      </c>
      <c r="AJ158" s="8">
        <f t="shared" si="32"/>
        <v>-1.1728962687585158</v>
      </c>
      <c r="AL158" s="12">
        <f t="shared" si="33"/>
        <v>24.495528680667793</v>
      </c>
      <c r="AM158" s="8">
        <f t="shared" si="34"/>
        <v>140.75631558506245</v>
      </c>
    </row>
    <row r="159" spans="1:39" x14ac:dyDescent="0.25">
      <c r="A159" s="22">
        <f t="shared" si="47"/>
        <v>6000</v>
      </c>
      <c r="B159" s="8">
        <f t="shared" si="10"/>
        <v>37699.111843077517</v>
      </c>
      <c r="C159" s="9">
        <f t="shared" si="11"/>
        <v>40.320708229946462</v>
      </c>
      <c r="D159" s="9">
        <f t="shared" si="12"/>
        <v>0.90314692025967747</v>
      </c>
      <c r="E159" s="9">
        <f t="shared" si="13"/>
        <v>2.1148090234442827</v>
      </c>
      <c r="F159" s="9">
        <f t="shared" si="14"/>
        <v>7.2329896650854355</v>
      </c>
      <c r="G159" s="9">
        <f t="shared" si="15"/>
        <v>3.2400957258277345</v>
      </c>
      <c r="H159" s="9">
        <f t="shared" si="16"/>
        <v>3.4085151654571558E-4</v>
      </c>
      <c r="I159" s="9">
        <f t="shared" si="17"/>
        <v>0</v>
      </c>
      <c r="J159" s="9">
        <f t="shared" si="18"/>
        <v>19.109252621254214</v>
      </c>
      <c r="K159" s="9">
        <f t="shared" si="19"/>
        <v>0</v>
      </c>
      <c r="L159" s="9">
        <f t="shared" si="20"/>
        <v>0.99986814176937411</v>
      </c>
      <c r="M159" s="9">
        <f t="shared" si="21"/>
        <v>3.118470531659372E-2</v>
      </c>
      <c r="N159" s="9">
        <f t="shared" si="22"/>
        <v>3.0771314487635371E-3</v>
      </c>
      <c r="O159" s="9">
        <f t="shared" ref="O159:O190" si="48">20*LOG10(SQRT(1+($B$84*B159)^2))</f>
        <v>3.2353559150811352E-5</v>
      </c>
      <c r="P159" s="9">
        <f t="shared" si="23"/>
        <v>0</v>
      </c>
      <c r="Q159" s="9">
        <f t="shared" si="24"/>
        <v>0</v>
      </c>
      <c r="R159" s="23">
        <f t="shared" si="25"/>
        <v>17.215793035943186</v>
      </c>
      <c r="S159" s="8">
        <f t="shared" ref="S159:S190" si="49">ATAN2(D159,E159)</f>
        <v>1.16718350375918</v>
      </c>
      <c r="T159" s="8">
        <f t="shared" ref="T159:T190" si="50">ATAN($B$76*B159)</f>
        <v>0.8111780518517282</v>
      </c>
      <c r="U159" s="8">
        <f t="shared" ref="U159:U190" si="51">ATAN($B$77*B159)</f>
        <v>8.8590595141818419E-3</v>
      </c>
      <c r="V159" s="8">
        <f t="shared" ref="V159:V190" si="52">ATAN($B$78*B159)</f>
        <v>0</v>
      </c>
      <c r="W159" s="8">
        <f t="shared" ref="W159:W190" si="53">ATAN($B$79*B159)</f>
        <v>1.4597689703993855</v>
      </c>
      <c r="X159" s="8">
        <f t="shared" ref="X159:X190" si="54">ATAN($B$80*B159)</f>
        <v>0</v>
      </c>
      <c r="Y159" s="8">
        <f t="shared" ref="Y159:Y190" si="55">ATAN2(L159,M159)</f>
        <v>3.1178710822454846E-2</v>
      </c>
      <c r="Z159" s="8">
        <f t="shared" si="44"/>
        <v>2.7294089196839241E-3</v>
      </c>
      <c r="AA159" s="8">
        <f t="shared" si="26"/>
        <v>0</v>
      </c>
      <c r="AB159" s="8">
        <f t="shared" si="27"/>
        <v>0</v>
      </c>
      <c r="AC159" s="8">
        <f t="shared" ref="AC159:AC190" si="56">IF(-S159&gt;0,-S159-2*PI(),-S159)</f>
        <v>-1.16718350375918</v>
      </c>
      <c r="AD159" s="8">
        <f t="shared" si="28"/>
        <v>-105.47141637781792</v>
      </c>
      <c r="AF159" s="23">
        <f t="shared" si="29"/>
        <v>7.0671186515813975</v>
      </c>
      <c r="AG159" s="8">
        <f t="shared" si="30"/>
        <v>-66.908608495749164</v>
      </c>
      <c r="AI159" s="12">
        <f t="shared" si="31"/>
        <v>-13.982136366652593</v>
      </c>
      <c r="AJ159" s="8">
        <f t="shared" si="32"/>
        <v>-1.2794704571621467</v>
      </c>
      <c r="AL159" s="12">
        <f t="shared" si="33"/>
        <v>24.130810751014373</v>
      </c>
      <c r="AM159" s="8">
        <f t="shared" si="34"/>
        <v>142.66316594136262</v>
      </c>
    </row>
    <row r="160" spans="1:39" x14ac:dyDescent="0.25">
      <c r="A160" s="22">
        <f t="shared" si="47"/>
        <v>6500</v>
      </c>
      <c r="B160" s="8">
        <f t="shared" ref="B160:B221" si="57">A160*2*PI()</f>
        <v>40840.704496667313</v>
      </c>
      <c r="C160" s="9">
        <f t="shared" ref="C160:C221" si="58">20*LOG10($B$72)</f>
        <v>40.320708229946462</v>
      </c>
      <c r="D160" s="9">
        <f t="shared" ref="D160:D221" si="59">1-$B$74*B160*B160</f>
        <v>0.88633214947142702</v>
      </c>
      <c r="E160" s="9">
        <f t="shared" ref="E160:E221" si="60">B160*$B$75-$B$73*B160*B160*B160</f>
        <v>2.2906912465842231</v>
      </c>
      <c r="F160" s="9">
        <f t="shared" ref="F160:F221" si="61">20*LOG10(SQRT(D160^2+E160^2))</f>
        <v>7.8052260397468798</v>
      </c>
      <c r="G160" s="9">
        <f t="shared" ref="G160:G221" si="62">20*LOG10(SQRT(1+($B$76*B160)^2))</f>
        <v>3.6194546917480346</v>
      </c>
      <c r="H160" s="9">
        <f t="shared" ref="H160:H221" si="63">20*LOG10(SQRT(1+($B$77*B160)^2))</f>
        <v>4.0002440183169727E-4</v>
      </c>
      <c r="I160" s="9">
        <f t="shared" ref="I160:I221" si="64">20*LOG10(SQRT(1+($B$78*B160)^2))</f>
        <v>0</v>
      </c>
      <c r="J160" s="9">
        <f t="shared" ref="J160:J221" si="65">20*LOG10(SQRT(1+($B$79*B160)^2))</f>
        <v>19.796600566844901</v>
      </c>
      <c r="K160" s="9">
        <f t="shared" ref="K160:K221" si="66">20*LOG10(SQRT(1+($B$80*B160)^2))</f>
        <v>0</v>
      </c>
      <c r="L160" s="9">
        <f t="shared" ref="L160:L221" si="67">1-$B$82*B160^2</f>
        <v>0.99984524971544597</v>
      </c>
      <c r="M160" s="9">
        <f t="shared" ref="M160:M221" si="68">B160*$B$83-$B$81*B160^3</f>
        <v>3.3783430759643199E-2</v>
      </c>
      <c r="N160" s="9">
        <f t="shared" ref="N160:N221" si="69">20*LOG10(SQRT(L160^2+M160^2))</f>
        <v>3.6111489857576528E-3</v>
      </c>
      <c r="O160" s="9">
        <f t="shared" si="48"/>
        <v>3.7970471949408133E-5</v>
      </c>
      <c r="P160" s="9">
        <f t="shared" ref="P160:P221" si="70">20*LOG10(SQRT(1+($B$62*B160)^2))</f>
        <v>0</v>
      </c>
      <c r="Q160" s="9">
        <f t="shared" ref="Q160:Q221" si="71">20*LOG10(SQRT(1+($B$63*B160)^2))</f>
        <v>0</v>
      </c>
      <c r="R160" s="23">
        <f t="shared" ref="R160:R221" si="72">C160-F160+G160+H160+I160-J160-K160-N160-O160+P160-Q160</f>
        <v>16.335087220046841</v>
      </c>
      <c r="S160" s="8">
        <f t="shared" si="49"/>
        <v>1.2016096220332853</v>
      </c>
      <c r="T160" s="8">
        <f t="shared" si="50"/>
        <v>0.851021617900246</v>
      </c>
      <c r="U160" s="8">
        <f t="shared" si="51"/>
        <v>9.5972708853039376E-3</v>
      </c>
      <c r="V160" s="8">
        <f t="shared" si="52"/>
        <v>0</v>
      </c>
      <c r="W160" s="8">
        <f t="shared" si="53"/>
        <v>1.4682473258645619</v>
      </c>
      <c r="X160" s="8">
        <f t="shared" si="54"/>
        <v>0</v>
      </c>
      <c r="Y160" s="8">
        <f t="shared" si="55"/>
        <v>3.3775809826055471E-2</v>
      </c>
      <c r="Z160" s="8">
        <f t="shared" ref="Z160:Z221" si="73">ATAN($B$84*B160)</f>
        <v>2.9568583882462517E-3</v>
      </c>
      <c r="AA160" s="8">
        <f t="shared" ref="AA160:AA221" si="74">ATAN($B$62*B160)</f>
        <v>0</v>
      </c>
      <c r="AB160" s="8">
        <f t="shared" ref="AB160:AB221" si="75">ATAN($B$63*B160)</f>
        <v>0</v>
      </c>
      <c r="AC160" s="8">
        <f t="shared" si="56"/>
        <v>-1.2016096220332853</v>
      </c>
      <c r="AD160" s="8">
        <f t="shared" ref="AD160:AD221" si="76">(180/PI())*(AC160+T160+U160+V160-W160-X160-Y160-Z160+AA160-AB160)</f>
        <v>-105.76633178050902</v>
      </c>
      <c r="AF160" s="23">
        <f t="shared" ref="AF160:AF221" si="77">20*LOG10($B$30*$B$53)-F160-P160+Q160</f>
        <v>6.4948822769199532</v>
      </c>
      <c r="AG160" s="8">
        <f t="shared" ref="AG160:AG221" si="78">(-S160+AA160-AB160)*180/3.14</f>
        <v>-68.882080243946277</v>
      </c>
      <c r="AI160" s="12">
        <f t="shared" ref="AI160:AI221" si="79">20*LOG10($B$47)-N160+H160+I160</f>
        <v>-13.982611211304301</v>
      </c>
      <c r="AJ160" s="8">
        <f t="shared" ref="AJ160:AJ221" si="80">(-Y160+U160+V160)*180/3.14</f>
        <v>-1.3860308946927629</v>
      </c>
      <c r="AL160" s="12">
        <f t="shared" ref="AL160:AL221" si="81">20*LOG10($B$32)-J160+G160-K160-O160</f>
        <v>23.822816154431184</v>
      </c>
      <c r="AM160" s="8">
        <f t="shared" ref="AM160:AM221" si="82">((-W160-X160+T160-Z160)*180/3.14)+180</f>
        <v>144.44813313902512</v>
      </c>
    </row>
    <row r="161" spans="1:39" x14ac:dyDescent="0.25">
      <c r="A161" s="22">
        <f t="shared" si="47"/>
        <v>7000</v>
      </c>
      <c r="B161" s="8">
        <f t="shared" si="57"/>
        <v>43982.297150257102</v>
      </c>
      <c r="C161" s="9">
        <f t="shared" si="58"/>
        <v>40.320708229946462</v>
      </c>
      <c r="D161" s="9">
        <f t="shared" si="59"/>
        <v>0.86817219702011661</v>
      </c>
      <c r="E161" s="9">
        <f t="shared" si="60"/>
        <v>2.4664890228088638</v>
      </c>
      <c r="F161" s="9">
        <f t="shared" si="61"/>
        <v>8.3488406819916499</v>
      </c>
      <c r="G161" s="9">
        <f t="shared" si="62"/>
        <v>3.9950574247902204</v>
      </c>
      <c r="H161" s="9">
        <f t="shared" si="63"/>
        <v>4.6393021239071947E-4</v>
      </c>
      <c r="I161" s="9">
        <f t="shared" si="64"/>
        <v>0</v>
      </c>
      <c r="J161" s="9">
        <f t="shared" si="65"/>
        <v>20.43402021843843</v>
      </c>
      <c r="K161" s="9">
        <f t="shared" si="66"/>
        <v>0</v>
      </c>
      <c r="L161" s="9">
        <f t="shared" si="67"/>
        <v>0.99982052629720364</v>
      </c>
      <c r="M161" s="9">
        <f t="shared" si="68"/>
        <v>3.6382156202692674E-2</v>
      </c>
      <c r="N161" s="9">
        <f t="shared" si="69"/>
        <v>4.1878192892219656E-3</v>
      </c>
      <c r="O161" s="9">
        <f t="shared" si="48"/>
        <v>4.4036729610394755E-5</v>
      </c>
      <c r="P161" s="9">
        <f t="shared" si="70"/>
        <v>0</v>
      </c>
      <c r="Q161" s="9">
        <f t="shared" si="71"/>
        <v>0</v>
      </c>
      <c r="R161" s="23">
        <f t="shared" si="72"/>
        <v>15.529136828500162</v>
      </c>
      <c r="S161" s="8">
        <f t="shared" si="49"/>
        <v>1.2323524041623766</v>
      </c>
      <c r="T161" s="8">
        <f t="shared" si="50"/>
        <v>0.88754674796896682</v>
      </c>
      <c r="U161" s="8">
        <f t="shared" si="51"/>
        <v>1.0335471796073739E-2</v>
      </c>
      <c r="V161" s="8">
        <f t="shared" si="52"/>
        <v>0</v>
      </c>
      <c r="W161" s="8">
        <f t="shared" si="53"/>
        <v>1.4755263284415769</v>
      </c>
      <c r="X161" s="8">
        <f t="shared" si="54"/>
        <v>0</v>
      </c>
      <c r="Y161" s="8">
        <f t="shared" si="55"/>
        <v>3.6372638566626252E-2</v>
      </c>
      <c r="Z161" s="8">
        <f t="shared" si="73"/>
        <v>3.1843075508722518E-3</v>
      </c>
      <c r="AA161" s="8">
        <f t="shared" si="74"/>
        <v>0</v>
      </c>
      <c r="AB161" s="8">
        <f t="shared" si="75"/>
        <v>0</v>
      </c>
      <c r="AC161" s="8">
        <f t="shared" si="56"/>
        <v>-1.2323524041623766</v>
      </c>
      <c r="AD161" s="8">
        <f t="shared" si="76"/>
        <v>-105.97160718202531</v>
      </c>
      <c r="AF161" s="23">
        <f t="shared" si="77"/>
        <v>5.9512676346751832</v>
      </c>
      <c r="AG161" s="8">
        <f t="shared" si="78"/>
        <v>-70.644405334148971</v>
      </c>
      <c r="AI161" s="12">
        <f t="shared" si="79"/>
        <v>-13.983123975797206</v>
      </c>
      <c r="AJ161" s="8">
        <f t="shared" si="80"/>
        <v>-1.4925764390762586</v>
      </c>
      <c r="AL161" s="12">
        <f t="shared" si="81"/>
        <v>23.560993169622183</v>
      </c>
      <c r="AM161" s="8">
        <f t="shared" si="82"/>
        <v>146.11162425343093</v>
      </c>
    </row>
    <row r="162" spans="1:39" x14ac:dyDescent="0.25">
      <c r="A162" s="22">
        <f t="shared" si="47"/>
        <v>7500</v>
      </c>
      <c r="B162" s="8">
        <f t="shared" si="57"/>
        <v>47123.889803846898</v>
      </c>
      <c r="C162" s="9">
        <f t="shared" si="58"/>
        <v>40.320708229946462</v>
      </c>
      <c r="D162" s="9">
        <f t="shared" si="59"/>
        <v>0.84866706290574601</v>
      </c>
      <c r="E162" s="9">
        <f t="shared" si="60"/>
        <v>2.642195856201643</v>
      </c>
      <c r="F162" s="9">
        <f t="shared" si="61"/>
        <v>8.865716388899795</v>
      </c>
      <c r="G162" s="9">
        <f t="shared" si="62"/>
        <v>4.3652903484433638</v>
      </c>
      <c r="H162" s="9">
        <f t="shared" si="63"/>
        <v>5.3256873928133957E-4</v>
      </c>
      <c r="I162" s="9">
        <f t="shared" si="64"/>
        <v>0</v>
      </c>
      <c r="J162" s="9">
        <f t="shared" si="65"/>
        <v>21.028216516229655</v>
      </c>
      <c r="K162" s="9">
        <f t="shared" si="66"/>
        <v>0</v>
      </c>
      <c r="L162" s="9">
        <f t="shared" si="67"/>
        <v>0.999793971514647</v>
      </c>
      <c r="M162" s="9">
        <f t="shared" si="68"/>
        <v>3.8980881645742156E-2</v>
      </c>
      <c r="N162" s="9">
        <f t="shared" si="69"/>
        <v>4.8071265402650568E-3</v>
      </c>
      <c r="O162" s="9">
        <f t="shared" si="48"/>
        <v>5.0552330254976063E-5</v>
      </c>
      <c r="P162" s="9">
        <f t="shared" si="70"/>
        <v>0</v>
      </c>
      <c r="Q162" s="9">
        <f t="shared" si="71"/>
        <v>0</v>
      </c>
      <c r="R162" s="23">
        <f t="shared" si="72"/>
        <v>14.787740563129136</v>
      </c>
      <c r="S162" s="8">
        <f t="shared" si="49"/>
        <v>1.260007370515192</v>
      </c>
      <c r="T162" s="8">
        <f t="shared" si="50"/>
        <v>0.92106526098480324</v>
      </c>
      <c r="U162" s="8">
        <f t="shared" si="51"/>
        <v>1.1073661442180284E-2</v>
      </c>
      <c r="V162" s="8">
        <f t="shared" si="52"/>
        <v>0</v>
      </c>
      <c r="W162" s="8">
        <f t="shared" si="53"/>
        <v>1.4818430266569276</v>
      </c>
      <c r="X162" s="8">
        <f t="shared" si="54"/>
        <v>0</v>
      </c>
      <c r="Y162" s="8">
        <f t="shared" si="55"/>
        <v>3.8969176328697591E-2</v>
      </c>
      <c r="Z162" s="8">
        <f t="shared" si="73"/>
        <v>3.4117563840292829E-3</v>
      </c>
      <c r="AA162" s="8">
        <f t="shared" si="74"/>
        <v>0</v>
      </c>
      <c r="AB162" s="8">
        <f t="shared" si="75"/>
        <v>0</v>
      </c>
      <c r="AC162" s="8">
        <f t="shared" si="56"/>
        <v>-1.260007370515192</v>
      </c>
      <c r="AD162" s="8">
        <f t="shared" si="76"/>
        <v>-106.11707821555953</v>
      </c>
      <c r="AF162" s="23">
        <f t="shared" si="77"/>
        <v>5.4343919277670381</v>
      </c>
      <c r="AG162" s="8">
        <f t="shared" si="78"/>
        <v>-72.229721876667057</v>
      </c>
      <c r="AI162" s="12">
        <f t="shared" si="79"/>
        <v>-13.98367464452136</v>
      </c>
      <c r="AJ162" s="8">
        <f t="shared" si="80"/>
        <v>-1.5991059489086354</v>
      </c>
      <c r="AL162" s="12">
        <f t="shared" si="81"/>
        <v>23.337023279883454</v>
      </c>
      <c r="AM162" s="8">
        <f t="shared" si="82"/>
        <v>147.65792548722686</v>
      </c>
    </row>
    <row r="163" spans="1:39" x14ac:dyDescent="0.25">
      <c r="A163" s="22">
        <f t="shared" si="47"/>
        <v>8000</v>
      </c>
      <c r="B163" s="8">
        <f t="shared" si="57"/>
        <v>50265.482457436687</v>
      </c>
      <c r="C163" s="9">
        <f t="shared" si="58"/>
        <v>40.320708229946462</v>
      </c>
      <c r="D163" s="9">
        <f t="shared" si="59"/>
        <v>0.82781674712831554</v>
      </c>
      <c r="E163" s="9">
        <f t="shared" si="60"/>
        <v>2.8178052508459994</v>
      </c>
      <c r="F163" s="9">
        <f t="shared" si="61"/>
        <v>9.3577456176166098</v>
      </c>
      <c r="G163" s="9">
        <f t="shared" si="62"/>
        <v>4.728993067642592</v>
      </c>
      <c r="H163" s="9">
        <f t="shared" si="63"/>
        <v>6.0593975809546238E-4</v>
      </c>
      <c r="I163" s="9">
        <f t="shared" si="64"/>
        <v>0</v>
      </c>
      <c r="J163" s="9">
        <f t="shared" si="65"/>
        <v>21.58463865701907</v>
      </c>
      <c r="K163" s="9">
        <f t="shared" si="66"/>
        <v>0</v>
      </c>
      <c r="L163" s="9">
        <f t="shared" si="67"/>
        <v>0.99976558536777616</v>
      </c>
      <c r="M163" s="9">
        <f t="shared" si="68"/>
        <v>4.1579607088791624E-2</v>
      </c>
      <c r="N163" s="9">
        <f t="shared" si="69"/>
        <v>5.469053755729E-3</v>
      </c>
      <c r="O163" s="9">
        <f t="shared" si="48"/>
        <v>5.7517271857478395E-5</v>
      </c>
      <c r="P163" s="9">
        <f t="shared" si="70"/>
        <v>0</v>
      </c>
      <c r="Q163" s="9">
        <f t="shared" si="71"/>
        <v>0</v>
      </c>
      <c r="R163" s="23">
        <f t="shared" si="72"/>
        <v>14.102396391683884</v>
      </c>
      <c r="S163" s="8">
        <f t="shared" si="49"/>
        <v>1.2850550503851863</v>
      </c>
      <c r="T163" s="8">
        <f t="shared" si="50"/>
        <v>0.95186700536561686</v>
      </c>
      <c r="U163" s="8">
        <f t="shared" si="51"/>
        <v>1.1811839019386263E-2</v>
      </c>
      <c r="V163" s="8">
        <f t="shared" si="52"/>
        <v>0</v>
      </c>
      <c r="W163" s="8">
        <f t="shared" si="53"/>
        <v>1.4873759994479585</v>
      </c>
      <c r="X163" s="8">
        <f t="shared" si="54"/>
        <v>0</v>
      </c>
      <c r="Y163" s="8">
        <f t="shared" si="55"/>
        <v>4.1565402413209121E-2</v>
      </c>
      <c r="Z163" s="8">
        <f t="shared" si="73"/>
        <v>3.6392048641849042E-3</v>
      </c>
      <c r="AA163" s="8">
        <f t="shared" si="74"/>
        <v>0</v>
      </c>
      <c r="AB163" s="8">
        <f t="shared" si="75"/>
        <v>0</v>
      </c>
      <c r="AC163" s="8">
        <f t="shared" si="56"/>
        <v>-1.2850550503851863</v>
      </c>
      <c r="AD163" s="8">
        <f t="shared" si="76"/>
        <v>-106.22390076869915</v>
      </c>
      <c r="AF163" s="23">
        <f t="shared" si="77"/>
        <v>4.9423626990502232</v>
      </c>
      <c r="AG163" s="8">
        <f t="shared" si="78"/>
        <v>-73.665576136730422</v>
      </c>
      <c r="AI163" s="12">
        <f t="shared" si="79"/>
        <v>-13.984263200718008</v>
      </c>
      <c r="AJ163" s="8">
        <f t="shared" si="80"/>
        <v>-1.7056182837223295</v>
      </c>
      <c r="AL163" s="12">
        <f t="shared" si="81"/>
        <v>23.144296893351662</v>
      </c>
      <c r="AM163" s="8">
        <f t="shared" si="82"/>
        <v>149.0934153470144</v>
      </c>
    </row>
    <row r="164" spans="1:39" x14ac:dyDescent="0.25">
      <c r="A164" s="22">
        <f t="shared" si="47"/>
        <v>8500</v>
      </c>
      <c r="B164" s="8">
        <f t="shared" si="57"/>
        <v>53407.075111026483</v>
      </c>
      <c r="C164" s="9">
        <f t="shared" si="58"/>
        <v>40.320708229946462</v>
      </c>
      <c r="D164" s="9">
        <f t="shared" si="59"/>
        <v>0.805621249687825</v>
      </c>
      <c r="E164" s="9">
        <f t="shared" si="60"/>
        <v>2.9933107108253711</v>
      </c>
      <c r="F164" s="9">
        <f t="shared" si="61"/>
        <v>9.8267523794232599</v>
      </c>
      <c r="G164" s="9">
        <f t="shared" si="62"/>
        <v>5.0853623477975756</v>
      </c>
      <c r="H164" s="9">
        <f t="shared" si="63"/>
        <v>6.8404302896179711E-4</v>
      </c>
      <c r="I164" s="9">
        <f t="shared" si="64"/>
        <v>0</v>
      </c>
      <c r="J164" s="9">
        <f t="shared" si="65"/>
        <v>22.1077730697817</v>
      </c>
      <c r="K164" s="9">
        <f t="shared" si="66"/>
        <v>0</v>
      </c>
      <c r="L164" s="9">
        <f t="shared" si="67"/>
        <v>0.99973536785659112</v>
      </c>
      <c r="M164" s="9">
        <f t="shared" si="68"/>
        <v>4.4178332531841107E-2</v>
      </c>
      <c r="N164" s="9">
        <f t="shared" si="69"/>
        <v>6.1735827898005777E-3</v>
      </c>
      <c r="O164" s="9">
        <f t="shared" si="48"/>
        <v>6.4931552256922802E-5</v>
      </c>
      <c r="P164" s="9">
        <f t="shared" si="70"/>
        <v>0</v>
      </c>
      <c r="Q164" s="9">
        <f t="shared" si="71"/>
        <v>0</v>
      </c>
      <c r="R164" s="23">
        <f t="shared" si="72"/>
        <v>13.46599065722598</v>
      </c>
      <c r="S164" s="8">
        <f t="shared" si="49"/>
        <v>1.3078857315535868</v>
      </c>
      <c r="T164" s="8">
        <f t="shared" si="50"/>
        <v>0.98021753761790265</v>
      </c>
      <c r="U164" s="8">
        <f t="shared" si="51"/>
        <v>1.2550003723533274E-2</v>
      </c>
      <c r="V164" s="8">
        <f t="shared" si="52"/>
        <v>0</v>
      </c>
      <c r="W164" s="8">
        <f t="shared" si="53"/>
        <v>1.4922623004795328</v>
      </c>
      <c r="X164" s="8">
        <f t="shared" si="54"/>
        <v>0</v>
      </c>
      <c r="Y164" s="8">
        <f t="shared" si="55"/>
        <v>4.4161296138669773E-2</v>
      </c>
      <c r="Z164" s="8">
        <f t="shared" si="73"/>
        <v>3.8666529678068984E-3</v>
      </c>
      <c r="AA164" s="8">
        <f t="shared" si="74"/>
        <v>0</v>
      </c>
      <c r="AB164" s="8">
        <f t="shared" si="75"/>
        <v>0</v>
      </c>
      <c r="AC164" s="8">
        <f t="shared" si="56"/>
        <v>-1.3078857315535868</v>
      </c>
      <c r="AD164" s="8">
        <f t="shared" si="76"/>
        <v>-106.30707287338747</v>
      </c>
      <c r="AF164" s="23">
        <f t="shared" si="77"/>
        <v>4.4733559372435732</v>
      </c>
      <c r="AG164" s="8">
        <f t="shared" si="78"/>
        <v>-74.974341299250199</v>
      </c>
      <c r="AI164" s="12">
        <f t="shared" si="79"/>
        <v>-13.984889626481214</v>
      </c>
      <c r="AJ164" s="8">
        <f t="shared" si="80"/>
        <v>-1.8121123040524107</v>
      </c>
      <c r="AL164" s="12">
        <f t="shared" si="81"/>
        <v>22.977524346463621</v>
      </c>
      <c r="AM164" s="8">
        <f t="shared" si="82"/>
        <v>150.42546023907687</v>
      </c>
    </row>
    <row r="165" spans="1:39" x14ac:dyDescent="0.25">
      <c r="A165" s="22">
        <f t="shared" si="47"/>
        <v>9000</v>
      </c>
      <c r="B165" s="8">
        <f t="shared" si="57"/>
        <v>56548.667764616279</v>
      </c>
      <c r="C165" s="9">
        <f t="shared" si="58"/>
        <v>40.320708229946462</v>
      </c>
      <c r="D165" s="9">
        <f t="shared" si="59"/>
        <v>0.78208057058427438</v>
      </c>
      <c r="E165" s="9">
        <f t="shared" si="60"/>
        <v>3.1687057402231971</v>
      </c>
      <c r="F165" s="9">
        <f t="shared" si="61"/>
        <v>10.274452679092763</v>
      </c>
      <c r="G165" s="9">
        <f t="shared" si="62"/>
        <v>5.4338727106803404</v>
      </c>
      <c r="H165" s="9">
        <f t="shared" si="63"/>
        <v>7.6687829654941927E-4</v>
      </c>
      <c r="I165" s="9">
        <f t="shared" si="64"/>
        <v>0</v>
      </c>
      <c r="J165" s="9">
        <f t="shared" si="65"/>
        <v>22.60135623041975</v>
      </c>
      <c r="K165" s="9">
        <f t="shared" si="66"/>
        <v>0</v>
      </c>
      <c r="L165" s="9">
        <f t="shared" si="67"/>
        <v>0.99970331898109177</v>
      </c>
      <c r="M165" s="9">
        <f t="shared" si="68"/>
        <v>4.6777057974890589E-2</v>
      </c>
      <c r="N165" s="9">
        <f t="shared" si="69"/>
        <v>6.9206943357170651E-3</v>
      </c>
      <c r="O165" s="9">
        <f t="shared" si="48"/>
        <v>7.2795169151240442E-5</v>
      </c>
      <c r="P165" s="9">
        <f t="shared" si="70"/>
        <v>0</v>
      </c>
      <c r="Q165" s="9">
        <f t="shared" si="71"/>
        <v>0</v>
      </c>
      <c r="R165" s="23">
        <f t="shared" si="72"/>
        <v>12.872545419905975</v>
      </c>
      <c r="S165" s="8">
        <f t="shared" si="49"/>
        <v>1.3288186019273727</v>
      </c>
      <c r="T165" s="8">
        <f t="shared" si="50"/>
        <v>1.0063577141482376</v>
      </c>
      <c r="U165" s="8">
        <f t="shared" si="51"/>
        <v>1.3288154750547076E-2</v>
      </c>
      <c r="V165" s="8">
        <f t="shared" si="52"/>
        <v>0</v>
      </c>
      <c r="W165" s="8">
        <f t="shared" si="53"/>
        <v>1.496608843472923</v>
      </c>
      <c r="X165" s="8">
        <f t="shared" si="54"/>
        <v>0</v>
      </c>
      <c r="Y165" s="8">
        <f t="shared" si="55"/>
        <v>4.6756836842315269E-2</v>
      </c>
      <c r="Z165" s="8">
        <f t="shared" si="73"/>
        <v>4.0941006713632782E-3</v>
      </c>
      <c r="AA165" s="8">
        <f t="shared" si="74"/>
        <v>0</v>
      </c>
      <c r="AB165" s="8">
        <f t="shared" si="75"/>
        <v>0</v>
      </c>
      <c r="AC165" s="8">
        <f t="shared" si="56"/>
        <v>-1.3288186019273727</v>
      </c>
      <c r="AD165" s="8">
        <f t="shared" si="76"/>
        <v>-106.37720715983403</v>
      </c>
      <c r="AF165" s="23">
        <f t="shared" si="77"/>
        <v>4.0256556375740704</v>
      </c>
      <c r="AG165" s="8">
        <f t="shared" si="78"/>
        <v>-76.17431476016786</v>
      </c>
      <c r="AI165" s="12">
        <f t="shared" si="79"/>
        <v>-13.985553902759543</v>
      </c>
      <c r="AJ165" s="8">
        <f t="shared" si="80"/>
        <v>-1.9185868715026351</v>
      </c>
      <c r="AL165" s="12">
        <f t="shared" si="81"/>
        <v>22.832443685091441</v>
      </c>
      <c r="AM165" s="8">
        <f t="shared" si="82"/>
        <v>151.66173840786982</v>
      </c>
    </row>
    <row r="166" spans="1:39" x14ac:dyDescent="0.25">
      <c r="A166" s="22">
        <f t="shared" si="47"/>
        <v>9500</v>
      </c>
      <c r="B166" s="8">
        <f t="shared" si="57"/>
        <v>59690.260418206068</v>
      </c>
      <c r="C166" s="9">
        <f t="shared" si="58"/>
        <v>40.320708229946462</v>
      </c>
      <c r="D166" s="9">
        <f t="shared" si="59"/>
        <v>0.75719470981766368</v>
      </c>
      <c r="E166" s="9">
        <f t="shared" si="60"/>
        <v>3.3439838431229147</v>
      </c>
      <c r="F166" s="9">
        <f t="shared" si="61"/>
        <v>10.70243757342751</v>
      </c>
      <c r="G166" s="9">
        <f t="shared" si="62"/>
        <v>5.7742121547806349</v>
      </c>
      <c r="H166" s="9">
        <f t="shared" si="63"/>
        <v>8.5444529006758042E-4</v>
      </c>
      <c r="I166" s="9">
        <f t="shared" si="64"/>
        <v>0</v>
      </c>
      <c r="J166" s="9">
        <f t="shared" si="65"/>
        <v>23.068532096413449</v>
      </c>
      <c r="K166" s="9">
        <f t="shared" si="66"/>
        <v>0</v>
      </c>
      <c r="L166" s="9">
        <f t="shared" si="67"/>
        <v>0.99966943874127812</v>
      </c>
      <c r="M166" s="9">
        <f t="shared" si="68"/>
        <v>4.9375783417940057E-2</v>
      </c>
      <c r="N166" s="9">
        <f t="shared" si="69"/>
        <v>7.7103679275894923E-3</v>
      </c>
      <c r="O166" s="9">
        <f t="shared" si="48"/>
        <v>8.1108120101131443E-5</v>
      </c>
      <c r="P166" s="9">
        <f t="shared" si="70"/>
        <v>0</v>
      </c>
      <c r="Q166" s="9">
        <f t="shared" si="71"/>
        <v>0</v>
      </c>
      <c r="R166" s="23">
        <f t="shared" si="72"/>
        <v>12.317013684128513</v>
      </c>
      <c r="S166" s="8">
        <f t="shared" si="49"/>
        <v>1.3481165285459398</v>
      </c>
      <c r="T166" s="8">
        <f t="shared" si="50"/>
        <v>1.0305044688143035</v>
      </c>
      <c r="U166" s="8">
        <f t="shared" si="51"/>
        <v>1.4026291296442844E-2</v>
      </c>
      <c r="V166" s="8">
        <f t="shared" si="52"/>
        <v>0</v>
      </c>
      <c r="W166" s="8">
        <f t="shared" si="53"/>
        <v>1.5005002424198572</v>
      </c>
      <c r="X166" s="8">
        <f t="shared" si="54"/>
        <v>0</v>
      </c>
      <c r="Y166" s="8">
        <f t="shared" si="55"/>
        <v>4.9352003881262971E-2</v>
      </c>
      <c r="Z166" s="8">
        <f t="shared" si="73"/>
        <v>4.3215479513223068E-3</v>
      </c>
      <c r="AA166" s="8">
        <f t="shared" si="74"/>
        <v>0</v>
      </c>
      <c r="AB166" s="8">
        <f t="shared" si="75"/>
        <v>0</v>
      </c>
      <c r="AC166" s="8">
        <f t="shared" si="56"/>
        <v>-1.3481165285459398</v>
      </c>
      <c r="AD166" s="8">
        <f t="shared" si="76"/>
        <v>-106.44178229207103</v>
      </c>
      <c r="AF166" s="23">
        <f t="shared" si="77"/>
        <v>3.5976707432393233</v>
      </c>
      <c r="AG166" s="8">
        <f t="shared" si="78"/>
        <v>-77.280565330658959</v>
      </c>
      <c r="AI166" s="12">
        <f t="shared" si="79"/>
        <v>-13.986256009357897</v>
      </c>
      <c r="AJ166" s="8">
        <f t="shared" si="80"/>
        <v>-2.0250408488113445</v>
      </c>
      <c r="AL166" s="12">
        <f t="shared" si="81"/>
        <v>22.705598950247083</v>
      </c>
      <c r="AM166" s="8">
        <f t="shared" si="82"/>
        <v>152.809835069988</v>
      </c>
    </row>
    <row r="167" spans="1:39" x14ac:dyDescent="0.25">
      <c r="A167" s="22">
        <f t="shared" si="47"/>
        <v>10000</v>
      </c>
      <c r="B167" s="8">
        <f t="shared" si="57"/>
        <v>62831.853071795864</v>
      </c>
      <c r="C167" s="9">
        <f t="shared" si="58"/>
        <v>40.320708229946462</v>
      </c>
      <c r="D167" s="9">
        <f t="shared" si="59"/>
        <v>0.73096366738799301</v>
      </c>
      <c r="E167" s="9">
        <f t="shared" si="60"/>
        <v>3.5191385236079644</v>
      </c>
      <c r="F167" s="9">
        <f t="shared" si="61"/>
        <v>11.112169248463319</v>
      </c>
      <c r="G167" s="9">
        <f t="shared" si="62"/>
        <v>6.1062309158959414</v>
      </c>
      <c r="H167" s="9">
        <f t="shared" si="63"/>
        <v>9.467437232733376E-4</v>
      </c>
      <c r="I167" s="9">
        <f t="shared" si="64"/>
        <v>0</v>
      </c>
      <c r="J167" s="9">
        <f t="shared" si="65"/>
        <v>23.511970501162708</v>
      </c>
      <c r="K167" s="9">
        <f t="shared" si="66"/>
        <v>0</v>
      </c>
      <c r="L167" s="9">
        <f t="shared" si="67"/>
        <v>0.99963372713715026</v>
      </c>
      <c r="M167" s="9">
        <f t="shared" si="68"/>
        <v>5.1974508860989539E-2</v>
      </c>
      <c r="N167" s="9">
        <f t="shared" si="69"/>
        <v>8.542581942343112E-3</v>
      </c>
      <c r="O167" s="9">
        <f t="shared" si="48"/>
        <v>8.9870402526209147E-5</v>
      </c>
      <c r="P167" s="9">
        <f t="shared" si="70"/>
        <v>0</v>
      </c>
      <c r="Q167" s="9">
        <f t="shared" si="71"/>
        <v>0</v>
      </c>
      <c r="R167" s="23">
        <f t="shared" si="72"/>
        <v>11.795113687594785</v>
      </c>
      <c r="S167" s="8">
        <f t="shared" si="49"/>
        <v>1.3659974887688862</v>
      </c>
      <c r="T167" s="8">
        <f t="shared" si="50"/>
        <v>1.0528522703053209</v>
      </c>
      <c r="U167" s="8">
        <f t="shared" si="51"/>
        <v>1.4764412557330419E-2</v>
      </c>
      <c r="V167" s="8">
        <f t="shared" si="52"/>
        <v>0</v>
      </c>
      <c r="W167" s="8">
        <f t="shared" si="53"/>
        <v>1.5040043290633174</v>
      </c>
      <c r="X167" s="8">
        <f t="shared" si="54"/>
        <v>0</v>
      </c>
      <c r="Y167" s="8">
        <f t="shared" si="55"/>
        <v>5.1946776633663989E-2</v>
      </c>
      <c r="Z167" s="8">
        <f t="shared" si="73"/>
        <v>4.5489947841525092E-3</v>
      </c>
      <c r="AA167" s="8">
        <f t="shared" si="74"/>
        <v>0</v>
      </c>
      <c r="AB167" s="8">
        <f t="shared" si="75"/>
        <v>0</v>
      </c>
      <c r="AC167" s="8">
        <f t="shared" si="56"/>
        <v>-1.3659974887688862</v>
      </c>
      <c r="AD167" s="8">
        <f t="shared" si="76"/>
        <v>-106.50603055344931</v>
      </c>
      <c r="AF167" s="23">
        <f t="shared" si="77"/>
        <v>3.187939068203514</v>
      </c>
      <c r="AG167" s="8">
        <f t="shared" si="78"/>
        <v>-78.305588528152711</v>
      </c>
      <c r="AI167" s="12">
        <f t="shared" si="79"/>
        <v>-13.986995924939444</v>
      </c>
      <c r="AJ167" s="8">
        <f t="shared" si="80"/>
        <v>-2.1314730999172111</v>
      </c>
      <c r="AL167" s="12">
        <f t="shared" si="81"/>
        <v>22.594170544330709</v>
      </c>
      <c r="AM167" s="8">
        <f t="shared" si="82"/>
        <v>153.87700966955833</v>
      </c>
    </row>
    <row r="168" spans="1:39" x14ac:dyDescent="0.25">
      <c r="A168" s="22">
        <f>A167+5000</f>
        <v>15000</v>
      </c>
      <c r="B168" s="8">
        <f t="shared" si="57"/>
        <v>94247.779607693796</v>
      </c>
      <c r="C168" s="9">
        <f t="shared" si="58"/>
        <v>40.320708229946462</v>
      </c>
      <c r="D168" s="9">
        <f t="shared" si="59"/>
        <v>0.39466825162298425</v>
      </c>
      <c r="E168" s="9">
        <f t="shared" si="60"/>
        <v>5.2624679940081167</v>
      </c>
      <c r="F168" s="9">
        <f t="shared" si="61"/>
        <v>14.44814789054618</v>
      </c>
      <c r="G168" s="9">
        <f t="shared" si="62"/>
        <v>8.9923027197558163</v>
      </c>
      <c r="H168" s="9">
        <f t="shared" si="63"/>
        <v>2.1298832206275422E-3</v>
      </c>
      <c r="I168" s="9">
        <f t="shared" si="64"/>
        <v>0</v>
      </c>
      <c r="J168" s="9">
        <f t="shared" si="65"/>
        <v>27.023034680698824</v>
      </c>
      <c r="K168" s="9">
        <f t="shared" si="66"/>
        <v>0</v>
      </c>
      <c r="L168" s="9">
        <f t="shared" si="67"/>
        <v>0.9991758860585882</v>
      </c>
      <c r="M168" s="9">
        <f t="shared" si="68"/>
        <v>7.7961763291484312E-2</v>
      </c>
      <c r="N168" s="9">
        <f t="shared" si="69"/>
        <v>1.9198865274558219E-2</v>
      </c>
      <c r="O168" s="9">
        <f t="shared" si="48"/>
        <v>2.0220579050707934E-4</v>
      </c>
      <c r="P168" s="9">
        <f t="shared" si="70"/>
        <v>0</v>
      </c>
      <c r="Q168" s="9">
        <f t="shared" si="71"/>
        <v>0</v>
      </c>
      <c r="R168" s="23">
        <f t="shared" si="72"/>
        <v>7.8245571906128291</v>
      </c>
      <c r="S168" s="8">
        <f t="shared" si="49"/>
        <v>1.4959396627029466</v>
      </c>
      <c r="T168" s="8">
        <f t="shared" si="50"/>
        <v>1.2077453830433957</v>
      </c>
      <c r="U168" s="8">
        <f t="shared" si="51"/>
        <v>2.2144607713108763E-2</v>
      </c>
      <c r="V168" s="8">
        <f t="shared" si="52"/>
        <v>0</v>
      </c>
      <c r="W168" s="8">
        <f t="shared" si="53"/>
        <v>1.5262315199471552</v>
      </c>
      <c r="X168" s="8">
        <f t="shared" si="54"/>
        <v>0</v>
      </c>
      <c r="Y168" s="8">
        <f t="shared" si="55"/>
        <v>7.7868298920461029E-2</v>
      </c>
      <c r="Z168" s="8">
        <f t="shared" si="73"/>
        <v>6.823433343661988E-3</v>
      </c>
      <c r="AA168" s="8">
        <f t="shared" si="74"/>
        <v>0</v>
      </c>
      <c r="AB168" s="8">
        <f t="shared" si="75"/>
        <v>0</v>
      </c>
      <c r="AC168" s="8">
        <f t="shared" si="56"/>
        <v>-1.4959396627029466</v>
      </c>
      <c r="AD168" s="8">
        <f t="shared" si="76"/>
        <v>-107.54262681456615</v>
      </c>
      <c r="AF168" s="23">
        <f t="shared" si="77"/>
        <v>-0.14803957387934652</v>
      </c>
      <c r="AG168" s="8">
        <f t="shared" si="78"/>
        <v>-85.754502957493756</v>
      </c>
      <c r="AI168" s="12">
        <f t="shared" si="79"/>
        <v>-13.996469068774307</v>
      </c>
      <c r="AJ168" s="8">
        <f t="shared" si="80"/>
        <v>-3.1943517252622318</v>
      </c>
      <c r="AL168" s="12">
        <f t="shared" si="81"/>
        <v>21.969065833266484</v>
      </c>
      <c r="AM168" s="8">
        <f t="shared" si="82"/>
        <v>161.35168068645356</v>
      </c>
    </row>
    <row r="169" spans="1:39" x14ac:dyDescent="0.25">
      <c r="A169" s="22">
        <f t="shared" ref="A169:A185" si="83">A168+5000</f>
        <v>20000</v>
      </c>
      <c r="B169" s="8">
        <f t="shared" si="57"/>
        <v>125663.70614359173</v>
      </c>
      <c r="C169" s="9">
        <f t="shared" si="58"/>
        <v>40.320708229946462</v>
      </c>
      <c r="D169" s="9">
        <f t="shared" si="59"/>
        <v>-7.6145330448027959E-2</v>
      </c>
      <c r="E169" s="9">
        <f t="shared" si="60"/>
        <v>6.9863097147236752</v>
      </c>
      <c r="F169" s="9">
        <f t="shared" si="61"/>
        <v>16.88547257533585</v>
      </c>
      <c r="G169" s="9">
        <f t="shared" si="62"/>
        <v>11.244588034603618</v>
      </c>
      <c r="H169" s="9">
        <f t="shared" si="63"/>
        <v>3.7857372056881678E-3</v>
      </c>
      <c r="I169" s="9">
        <f t="shared" si="64"/>
        <v>0</v>
      </c>
      <c r="J169" s="9">
        <f t="shared" si="65"/>
        <v>29.518036754146735</v>
      </c>
      <c r="K169" s="9">
        <f t="shared" si="66"/>
        <v>0</v>
      </c>
      <c r="L169" s="9">
        <f t="shared" si="67"/>
        <v>0.99853490854860116</v>
      </c>
      <c r="M169" s="9">
        <f t="shared" si="68"/>
        <v>0.10394901772197908</v>
      </c>
      <c r="N169" s="9">
        <f t="shared" si="69"/>
        <v>3.4076905410635336E-2</v>
      </c>
      <c r="O169" s="9">
        <f t="shared" si="48"/>
        <v>3.5947045228450984E-4</v>
      </c>
      <c r="P169" s="9">
        <f t="shared" si="70"/>
        <v>0</v>
      </c>
      <c r="Q169" s="9">
        <f t="shared" si="71"/>
        <v>0</v>
      </c>
      <c r="R169" s="23">
        <f t="shared" si="72"/>
        <v>5.1311362964102658</v>
      </c>
      <c r="S169" s="8">
        <f t="shared" si="49"/>
        <v>1.5816951157971668</v>
      </c>
      <c r="T169" s="8">
        <f t="shared" si="50"/>
        <v>1.2932334279906343</v>
      </c>
      <c r="U169" s="8">
        <f t="shared" si="51"/>
        <v>2.9522390993626104E-2</v>
      </c>
      <c r="V169" s="8">
        <f t="shared" si="52"/>
        <v>0</v>
      </c>
      <c r="W169" s="8">
        <f t="shared" si="53"/>
        <v>1.537363040039492</v>
      </c>
      <c r="X169" s="8">
        <f t="shared" si="54"/>
        <v>0</v>
      </c>
      <c r="Y169" s="8">
        <f t="shared" si="55"/>
        <v>0.10372790847749269</v>
      </c>
      <c r="Z169" s="8">
        <f t="shared" si="73"/>
        <v>9.0978013081817292E-3</v>
      </c>
      <c r="AA169" s="8">
        <f t="shared" si="74"/>
        <v>0</v>
      </c>
      <c r="AB169" s="8">
        <f t="shared" si="75"/>
        <v>0</v>
      </c>
      <c r="AC169" s="8">
        <f t="shared" si="56"/>
        <v>-1.5816951157971668</v>
      </c>
      <c r="AD169" s="8">
        <f t="shared" si="76"/>
        <v>-109.38497962241655</v>
      </c>
      <c r="AF169" s="23">
        <f t="shared" si="77"/>
        <v>-2.5853642586690171</v>
      </c>
      <c r="AG169" s="8">
        <f t="shared" si="78"/>
        <v>-90.670420650792991</v>
      </c>
      <c r="AI169" s="12">
        <f t="shared" si="79"/>
        <v>-14.009691254925324</v>
      </c>
      <c r="AJ169" s="8">
        <f t="shared" si="80"/>
        <v>-4.2538194735974475</v>
      </c>
      <c r="AL169" s="12">
        <f t="shared" si="81"/>
        <v>21.726191810004597</v>
      </c>
      <c r="AM169" s="8">
        <f t="shared" si="82"/>
        <v>165.48377885214424</v>
      </c>
    </row>
    <row r="170" spans="1:39" x14ac:dyDescent="0.25">
      <c r="A170" s="22">
        <f t="shared" si="83"/>
        <v>25000</v>
      </c>
      <c r="B170" s="8">
        <f t="shared" si="57"/>
        <v>157079.63267948964</v>
      </c>
      <c r="C170" s="9">
        <f t="shared" si="58"/>
        <v>40.320708229946462</v>
      </c>
      <c r="D170" s="9">
        <f t="shared" si="59"/>
        <v>-0.68147707882504327</v>
      </c>
      <c r="E170" s="9">
        <f t="shared" si="60"/>
        <v>8.6841677691931061</v>
      </c>
      <c r="F170" s="9">
        <f t="shared" si="61"/>
        <v>18.801226338510698</v>
      </c>
      <c r="G170" s="9">
        <f t="shared" si="62"/>
        <v>13.063783444041217</v>
      </c>
      <c r="H170" s="9">
        <f t="shared" si="63"/>
        <v>5.9137650744972101E-3</v>
      </c>
      <c r="I170" s="9">
        <f t="shared" si="64"/>
        <v>0</v>
      </c>
      <c r="J170" s="9">
        <f t="shared" si="65"/>
        <v>31.454489702147693</v>
      </c>
      <c r="K170" s="9">
        <f t="shared" si="66"/>
        <v>0</v>
      </c>
      <c r="L170" s="9">
        <f t="shared" si="67"/>
        <v>0.99771079460718937</v>
      </c>
      <c r="M170" s="9">
        <f t="shared" si="68"/>
        <v>0.12993627215247383</v>
      </c>
      <c r="N170" s="9">
        <f t="shared" si="69"/>
        <v>5.3136404755328409E-2</v>
      </c>
      <c r="O170" s="9">
        <f t="shared" si="48"/>
        <v>5.6165950707136065E-4</v>
      </c>
      <c r="P170" s="9">
        <f t="shared" si="70"/>
        <v>0</v>
      </c>
      <c r="Q170" s="9">
        <f t="shared" si="71"/>
        <v>0</v>
      </c>
      <c r="R170" s="23">
        <f t="shared" si="72"/>
        <v>3.080991334141383</v>
      </c>
      <c r="S170" s="8">
        <f t="shared" si="49"/>
        <v>1.6491093415758351</v>
      </c>
      <c r="T170" s="8">
        <f t="shared" si="50"/>
        <v>1.3466909843063593</v>
      </c>
      <c r="U170" s="8">
        <f t="shared" si="51"/>
        <v>3.6896960891557938E-2</v>
      </c>
      <c r="V170" s="8">
        <f t="shared" si="52"/>
        <v>0</v>
      </c>
      <c r="W170" s="8">
        <f t="shared" si="53"/>
        <v>1.5440461096898792</v>
      </c>
      <c r="X170" s="8">
        <f t="shared" si="54"/>
        <v>0</v>
      </c>
      <c r="Y170" s="8">
        <f t="shared" si="55"/>
        <v>0.12950550697623089</v>
      </c>
      <c r="Z170" s="8">
        <f t="shared" si="73"/>
        <v>1.1372075152865122E-2</v>
      </c>
      <c r="AA170" s="8">
        <f t="shared" si="74"/>
        <v>0</v>
      </c>
      <c r="AB170" s="8">
        <f t="shared" si="75"/>
        <v>0</v>
      </c>
      <c r="AC170" s="8">
        <f t="shared" si="56"/>
        <v>-1.6491093415758351</v>
      </c>
      <c r="AD170" s="8">
        <f t="shared" si="76"/>
        <v>-111.75227172570361</v>
      </c>
      <c r="AF170" s="23">
        <f t="shared" si="77"/>
        <v>-4.5011180218438653</v>
      </c>
      <c r="AG170" s="8">
        <f t="shared" si="78"/>
        <v>-94.534930408805835</v>
      </c>
      <c r="AI170" s="12">
        <f t="shared" si="79"/>
        <v>-14.026622726401206</v>
      </c>
      <c r="AJ170" s="8">
        <f t="shared" si="80"/>
        <v>-5.3087701577201054</v>
      </c>
      <c r="AL170" s="12">
        <f t="shared" si="81"/>
        <v>21.608732082386453</v>
      </c>
      <c r="AM170" s="8">
        <f t="shared" si="82"/>
        <v>168.03474646606711</v>
      </c>
    </row>
    <row r="171" spans="1:39" x14ac:dyDescent="0.25">
      <c r="A171" s="22">
        <f t="shared" si="83"/>
        <v>30000</v>
      </c>
      <c r="B171" s="8">
        <f t="shared" si="57"/>
        <v>188495.55921538759</v>
      </c>
      <c r="C171" s="9">
        <f t="shared" si="58"/>
        <v>40.320708229946462</v>
      </c>
      <c r="D171" s="9">
        <f t="shared" si="59"/>
        <v>-1.421326993508063</v>
      </c>
      <c r="E171" s="9">
        <f t="shared" si="60"/>
        <v>10.349546240854879</v>
      </c>
      <c r="F171" s="9">
        <f t="shared" si="61"/>
        <v>20.379571994181109</v>
      </c>
      <c r="G171" s="9">
        <f t="shared" si="62"/>
        <v>14.581370371832579</v>
      </c>
      <c r="H171" s="9">
        <f t="shared" si="63"/>
        <v>8.5132727734209563E-3</v>
      </c>
      <c r="I171" s="9">
        <f t="shared" si="64"/>
        <v>0</v>
      </c>
      <c r="J171" s="9">
        <f t="shared" si="65"/>
        <v>33.037165171136159</v>
      </c>
      <c r="K171" s="9">
        <f t="shared" si="66"/>
        <v>0</v>
      </c>
      <c r="L171" s="9">
        <f t="shared" si="67"/>
        <v>0.99670354423435259</v>
      </c>
      <c r="M171" s="9">
        <f t="shared" si="68"/>
        <v>0.15592352658296862</v>
      </c>
      <c r="N171" s="9">
        <f t="shared" si="69"/>
        <v>7.6326197619382682E-2</v>
      </c>
      <c r="O171" s="9">
        <f t="shared" si="48"/>
        <v>8.0876668043349041E-4</v>
      </c>
      <c r="P171" s="9">
        <f t="shared" si="70"/>
        <v>0</v>
      </c>
      <c r="Q171" s="9">
        <f t="shared" si="71"/>
        <v>0</v>
      </c>
      <c r="R171" s="23">
        <f t="shared" si="72"/>
        <v>1.4167197449353777</v>
      </c>
      <c r="S171" s="8">
        <f t="shared" si="49"/>
        <v>1.7072748977165948</v>
      </c>
      <c r="T171" s="8">
        <f t="shared" si="50"/>
        <v>1.3830874327127243</v>
      </c>
      <c r="U171" s="8">
        <f t="shared" si="51"/>
        <v>4.4267517995374803E-2</v>
      </c>
      <c r="V171" s="8">
        <f t="shared" si="52"/>
        <v>0</v>
      </c>
      <c r="W171" s="8">
        <f t="shared" si="53"/>
        <v>1.5485028545401132</v>
      </c>
      <c r="X171" s="8">
        <f t="shared" si="54"/>
        <v>0</v>
      </c>
      <c r="Y171" s="8">
        <f t="shared" si="55"/>
        <v>0.15518144857782742</v>
      </c>
      <c r="Z171" s="8">
        <f t="shared" si="73"/>
        <v>1.3646231358707043E-2</v>
      </c>
      <c r="AA171" s="8">
        <f t="shared" si="74"/>
        <v>0</v>
      </c>
      <c r="AB171" s="8">
        <f t="shared" si="75"/>
        <v>0</v>
      </c>
      <c r="AC171" s="8">
        <f t="shared" si="56"/>
        <v>-1.7072748977165948</v>
      </c>
      <c r="AD171" s="8">
        <f t="shared" si="76"/>
        <v>-114.43402321957028</v>
      </c>
      <c r="AF171" s="23">
        <f t="shared" si="77"/>
        <v>-6.0794636775142763</v>
      </c>
      <c r="AG171" s="8">
        <f t="shared" si="78"/>
        <v>-97.869261652543642</v>
      </c>
      <c r="AI171" s="12">
        <f t="shared" si="79"/>
        <v>-14.047213011566337</v>
      </c>
      <c r="AJ171" s="8">
        <f t="shared" si="80"/>
        <v>-6.3581234091851817</v>
      </c>
      <c r="AL171" s="12">
        <f t="shared" si="81"/>
        <v>21.543396434015985</v>
      </c>
      <c r="AM171" s="8">
        <f t="shared" si="82"/>
        <v>169.73531924410915</v>
      </c>
    </row>
    <row r="172" spans="1:39" x14ac:dyDescent="0.25">
      <c r="A172" s="22">
        <f t="shared" si="83"/>
        <v>35000</v>
      </c>
      <c r="B172" s="8">
        <f t="shared" si="57"/>
        <v>219911.48575128551</v>
      </c>
      <c r="C172" s="9">
        <f t="shared" si="58"/>
        <v>40.320708229946462</v>
      </c>
      <c r="D172" s="9">
        <f t="shared" si="59"/>
        <v>-2.2956950744970852</v>
      </c>
      <c r="E172" s="9">
        <f t="shared" si="60"/>
        <v>11.975949213147462</v>
      </c>
      <c r="F172" s="9">
        <f t="shared" si="61"/>
        <v>21.722922044657356</v>
      </c>
      <c r="G172" s="9">
        <f t="shared" si="62"/>
        <v>15.879996566412427</v>
      </c>
      <c r="H172" s="9">
        <f t="shared" si="63"/>
        <v>1.1583413552409107E-2</v>
      </c>
      <c r="I172" s="9">
        <f t="shared" si="64"/>
        <v>0</v>
      </c>
      <c r="J172" s="9">
        <f t="shared" si="65"/>
        <v>34.375528373831969</v>
      </c>
      <c r="K172" s="9">
        <f t="shared" si="66"/>
        <v>0</v>
      </c>
      <c r="L172" s="9">
        <f t="shared" si="67"/>
        <v>0.99551315743009106</v>
      </c>
      <c r="M172" s="9">
        <f t="shared" si="68"/>
        <v>0.18191078101346336</v>
      </c>
      <c r="N172" s="9">
        <f t="shared" si="69"/>
        <v>0.10358471701348798</v>
      </c>
      <c r="O172" s="9">
        <f t="shared" si="48"/>
        <v>1.1007843049383186E-3</v>
      </c>
      <c r="P172" s="9">
        <f t="shared" si="70"/>
        <v>0</v>
      </c>
      <c r="Q172" s="9">
        <f t="shared" si="71"/>
        <v>0</v>
      </c>
      <c r="R172" s="23">
        <f t="shared" si="72"/>
        <v>9.1522901035454018E-3</v>
      </c>
      <c r="S172" s="8">
        <f t="shared" si="49"/>
        <v>1.7601909265201534</v>
      </c>
      <c r="T172" s="8">
        <f t="shared" si="50"/>
        <v>1.4094023849308521</v>
      </c>
      <c r="U172" s="8">
        <f t="shared" si="51"/>
        <v>5.1633265506879245E-2</v>
      </c>
      <c r="V172" s="8">
        <f t="shared" si="52"/>
        <v>0</v>
      </c>
      <c r="W172" s="8">
        <f t="shared" si="53"/>
        <v>1.5516867964372449</v>
      </c>
      <c r="X172" s="8">
        <f t="shared" si="54"/>
        <v>0</v>
      </c>
      <c r="Y172" s="8">
        <f t="shared" si="55"/>
        <v>0.18073664120018565</v>
      </c>
      <c r="Z172" s="8">
        <f t="shared" si="73"/>
        <v>1.5920246414002494E-2</v>
      </c>
      <c r="AA172" s="8">
        <f t="shared" si="74"/>
        <v>0</v>
      </c>
      <c r="AB172" s="8">
        <f t="shared" si="75"/>
        <v>0</v>
      </c>
      <c r="AC172" s="8">
        <f t="shared" si="56"/>
        <v>-1.7601909265201534</v>
      </c>
      <c r="AD172" s="8">
        <f t="shared" si="76"/>
        <v>-117.31304897309469</v>
      </c>
      <c r="AF172" s="23">
        <f t="shared" si="77"/>
        <v>-7.4228137279905226</v>
      </c>
      <c r="AG172" s="8">
        <f t="shared" si="78"/>
        <v>-100.90266457758841</v>
      </c>
      <c r="AI172" s="12">
        <f t="shared" si="79"/>
        <v>-14.071401390181453</v>
      </c>
      <c r="AJ172" s="8">
        <f t="shared" si="80"/>
        <v>-7.4008304537564182</v>
      </c>
      <c r="AL172" s="12">
        <f t="shared" si="81"/>
        <v>21.503367408275519</v>
      </c>
      <c r="AM172" s="8">
        <f t="shared" si="82"/>
        <v>170.93094317653785</v>
      </c>
    </row>
    <row r="173" spans="1:39" x14ac:dyDescent="0.25">
      <c r="A173" s="22">
        <f t="shared" si="83"/>
        <v>40000</v>
      </c>
      <c r="B173" s="8">
        <f t="shared" si="57"/>
        <v>251327.41228718346</v>
      </c>
      <c r="C173" s="9">
        <f t="shared" si="58"/>
        <v>40.320708229946462</v>
      </c>
      <c r="D173" s="9">
        <f t="shared" si="59"/>
        <v>-3.3045813217921118</v>
      </c>
      <c r="E173" s="9">
        <f t="shared" si="60"/>
        <v>13.556880769509327</v>
      </c>
      <c r="F173" s="9">
        <f t="shared" si="61"/>
        <v>22.893866372543282</v>
      </c>
      <c r="G173" s="9">
        <f t="shared" si="62"/>
        <v>17.013471373839749</v>
      </c>
      <c r="H173" s="9">
        <f t="shared" si="63"/>
        <v>1.5123188882178128E-2</v>
      </c>
      <c r="I173" s="9">
        <f t="shared" si="64"/>
        <v>0</v>
      </c>
      <c r="J173" s="9">
        <f t="shared" si="65"/>
        <v>35.534995640103816</v>
      </c>
      <c r="K173" s="9">
        <f t="shared" si="66"/>
        <v>0</v>
      </c>
      <c r="L173" s="9">
        <f t="shared" si="67"/>
        <v>0.99413963419440465</v>
      </c>
      <c r="M173" s="9">
        <f t="shared" si="68"/>
        <v>0.20789803544395816</v>
      </c>
      <c r="N173" s="9">
        <f t="shared" si="69"/>
        <v>0.13484054662736114</v>
      </c>
      <c r="O173" s="9">
        <f t="shared" si="48"/>
        <v>1.4377033209550308E-3</v>
      </c>
      <c r="P173" s="9">
        <f t="shared" si="70"/>
        <v>0</v>
      </c>
      <c r="Q173" s="9">
        <f t="shared" si="71"/>
        <v>0</v>
      </c>
      <c r="R173" s="23">
        <f t="shared" si="72"/>
        <v>-1.2158374699270285</v>
      </c>
      <c r="S173" s="8">
        <f t="shared" si="49"/>
        <v>1.80989042202676</v>
      </c>
      <c r="T173" s="8">
        <f t="shared" si="50"/>
        <v>1.4292896947419473</v>
      </c>
      <c r="U173" s="8">
        <f t="shared" si="51"/>
        <v>5.8993409754496788E-2</v>
      </c>
      <c r="V173" s="8">
        <f t="shared" si="52"/>
        <v>0</v>
      </c>
      <c r="W173" s="8">
        <f t="shared" si="53"/>
        <v>1.5540750107096242</v>
      </c>
      <c r="X173" s="8">
        <f t="shared" si="54"/>
        <v>0</v>
      </c>
      <c r="Y173" s="8">
        <f t="shared" si="55"/>
        <v>0.20615264033160693</v>
      </c>
      <c r="Z173" s="8">
        <f t="shared" si="73"/>
        <v>1.8194096815804174E-2</v>
      </c>
      <c r="AA173" s="8">
        <f t="shared" si="74"/>
        <v>0</v>
      </c>
      <c r="AB173" s="8">
        <f t="shared" si="75"/>
        <v>0</v>
      </c>
      <c r="AC173" s="8">
        <f t="shared" si="56"/>
        <v>-1.80989042202676</v>
      </c>
      <c r="AD173" s="8">
        <f t="shared" si="76"/>
        <v>-120.32280230149799</v>
      </c>
      <c r="AF173" s="23">
        <f t="shared" si="77"/>
        <v>-8.5937580558764495</v>
      </c>
      <c r="AG173" s="8">
        <f t="shared" si="78"/>
        <v>-103.75168024357222</v>
      </c>
      <c r="AI173" s="12">
        <f t="shared" si="79"/>
        <v>-14.099117444465557</v>
      </c>
      <c r="AJ173" s="8">
        <f t="shared" si="80"/>
        <v>-8.4358794598343394</v>
      </c>
      <c r="AL173" s="12">
        <f t="shared" si="81"/>
        <v>21.477038030414977</v>
      </c>
      <c r="AM173" s="8">
        <f t="shared" si="82"/>
        <v>171.80372792960938</v>
      </c>
    </row>
    <row r="174" spans="1:39" x14ac:dyDescent="0.25">
      <c r="A174" s="22">
        <f t="shared" si="83"/>
        <v>45000</v>
      </c>
      <c r="B174" s="8">
        <f t="shared" si="57"/>
        <v>282743.3388230814</v>
      </c>
      <c r="C174" s="9">
        <f t="shared" si="58"/>
        <v>40.320708229946462</v>
      </c>
      <c r="D174" s="9">
        <f t="shared" si="59"/>
        <v>-4.447985735393142</v>
      </c>
      <c r="E174" s="9">
        <f t="shared" si="60"/>
        <v>15.085844993378934</v>
      </c>
      <c r="F174" s="9">
        <f t="shared" si="61"/>
        <v>23.933422822380471</v>
      </c>
      <c r="G174" s="9">
        <f t="shared" si="62"/>
        <v>18.018353737330148</v>
      </c>
      <c r="H174" s="9">
        <f t="shared" si="63"/>
        <v>1.9131449533166676E-2</v>
      </c>
      <c r="I174" s="9">
        <f t="shared" si="64"/>
        <v>0</v>
      </c>
      <c r="J174" s="9">
        <f t="shared" si="65"/>
        <v>36.557791252692368</v>
      </c>
      <c r="K174" s="9">
        <f t="shared" si="66"/>
        <v>0</v>
      </c>
      <c r="L174" s="9">
        <f t="shared" si="67"/>
        <v>0.99258297452729338</v>
      </c>
      <c r="M174" s="9">
        <f t="shared" si="68"/>
        <v>0.23388528987445292</v>
      </c>
      <c r="N174" s="9">
        <f t="shared" si="69"/>
        <v>0.17001304782317028</v>
      </c>
      <c r="O174" s="9">
        <f t="shared" si="48"/>
        <v>1.8195132775793066E-3</v>
      </c>
      <c r="P174" s="9">
        <f t="shared" si="70"/>
        <v>0</v>
      </c>
      <c r="Q174" s="9">
        <f t="shared" si="71"/>
        <v>0</v>
      </c>
      <c r="R174" s="23">
        <f t="shared" si="72"/>
        <v>-2.3048532193638063</v>
      </c>
      <c r="S174" s="8">
        <f t="shared" si="49"/>
        <v>1.8575170651743993</v>
      </c>
      <c r="T174" s="8">
        <f t="shared" si="50"/>
        <v>1.4448367108492919</v>
      </c>
      <c r="U174" s="8">
        <f t="shared" si="51"/>
        <v>6.6347160701500263E-2</v>
      </c>
      <c r="V174" s="8">
        <f t="shared" si="52"/>
        <v>0</v>
      </c>
      <c r="W174" s="8">
        <f t="shared" si="53"/>
        <v>1.5559326439873244</v>
      </c>
      <c r="X174" s="8">
        <f t="shared" si="54"/>
        <v>0</v>
      </c>
      <c r="Y174" s="8">
        <f t="shared" si="55"/>
        <v>0.23141173432631024</v>
      </c>
      <c r="Z174" s="8">
        <f t="shared" si="73"/>
        <v>2.0467759071378624E-2</v>
      </c>
      <c r="AA174" s="8">
        <f t="shared" si="74"/>
        <v>0</v>
      </c>
      <c r="AB174" s="8">
        <f t="shared" si="75"/>
        <v>0</v>
      </c>
      <c r="AC174" s="8">
        <f t="shared" si="56"/>
        <v>-1.8575170651743993</v>
      </c>
      <c r="AD174" s="8">
        <f t="shared" si="76"/>
        <v>-123.42343592460567</v>
      </c>
      <c r="AF174" s="23">
        <f t="shared" si="77"/>
        <v>-9.6333145057136385</v>
      </c>
      <c r="AG174" s="8">
        <f t="shared" si="78"/>
        <v>-106.48186997815027</v>
      </c>
      <c r="AI174" s="12">
        <f t="shared" si="79"/>
        <v>-14.130281685010379</v>
      </c>
      <c r="AJ174" s="8">
        <f t="shared" si="80"/>
        <v>-9.4623003988744561</v>
      </c>
      <c r="AL174" s="12">
        <f t="shared" si="81"/>
        <v>21.458742971360202</v>
      </c>
      <c r="AM174" s="8">
        <f t="shared" si="82"/>
        <v>172.45813229372803</v>
      </c>
    </row>
    <row r="175" spans="1:39" x14ac:dyDescent="0.25">
      <c r="A175" s="22">
        <f t="shared" si="83"/>
        <v>50000</v>
      </c>
      <c r="B175" s="8">
        <f t="shared" si="57"/>
        <v>314159.26535897929</v>
      </c>
      <c r="C175" s="9">
        <f t="shared" si="58"/>
        <v>40.320708229946462</v>
      </c>
      <c r="D175" s="9">
        <f t="shared" si="59"/>
        <v>-5.7259083153001731</v>
      </c>
      <c r="E175" s="9">
        <f t="shared" si="60"/>
        <v>16.556345968194755</v>
      </c>
      <c r="F175" s="9">
        <f t="shared" si="61"/>
        <v>24.869949325509914</v>
      </c>
      <c r="G175" s="9">
        <f t="shared" si="62"/>
        <v>18.920461239380607</v>
      </c>
      <c r="H175" s="9">
        <f t="shared" si="63"/>
        <v>2.3606896813897833E-2</v>
      </c>
      <c r="I175" s="9">
        <f t="shared" si="64"/>
        <v>0</v>
      </c>
      <c r="J175" s="9">
        <f t="shared" si="65"/>
        <v>37.472758771783404</v>
      </c>
      <c r="K175" s="9">
        <f t="shared" si="66"/>
        <v>0</v>
      </c>
      <c r="L175" s="9">
        <f t="shared" si="67"/>
        <v>0.99084317842875735</v>
      </c>
      <c r="M175" s="9">
        <f t="shared" si="68"/>
        <v>0.25987254430494766</v>
      </c>
      <c r="N175" s="9">
        <f t="shared" si="69"/>
        <v>0.20901305042817026</v>
      </c>
      <c r="O175" s="9">
        <f t="shared" si="48"/>
        <v>2.2462023337229322E-3</v>
      </c>
      <c r="P175" s="9">
        <f t="shared" si="70"/>
        <v>0</v>
      </c>
      <c r="Q175" s="9">
        <f t="shared" si="71"/>
        <v>0</v>
      </c>
      <c r="R175" s="23">
        <f t="shared" si="72"/>
        <v>-3.2891909839142475</v>
      </c>
      <c r="S175" s="8">
        <f t="shared" si="49"/>
        <v>1.9037636610613802</v>
      </c>
      <c r="T175" s="8">
        <f t="shared" si="50"/>
        <v>1.4573189166053782</v>
      </c>
      <c r="U175" s="8">
        <f t="shared" si="51"/>
        <v>7.3693732448361929E-2</v>
      </c>
      <c r="V175" s="8">
        <f t="shared" si="52"/>
        <v>0</v>
      </c>
      <c r="W175" s="8">
        <f t="shared" si="53"/>
        <v>1.5574188250939227</v>
      </c>
      <c r="X175" s="8">
        <f t="shared" si="54"/>
        <v>0</v>
      </c>
      <c r="Y175" s="8">
        <f t="shared" si="55"/>
        <v>0.25649702032049265</v>
      </c>
      <c r="Z175" s="8">
        <f t="shared" si="73"/>
        <v>2.2741209699660848E-2</v>
      </c>
      <c r="AA175" s="8">
        <f t="shared" si="74"/>
        <v>0</v>
      </c>
      <c r="AB175" s="8">
        <f t="shared" si="75"/>
        <v>0</v>
      </c>
      <c r="AC175" s="8">
        <f t="shared" si="56"/>
        <v>-1.9037636610613802</v>
      </c>
      <c r="AD175" s="8">
        <f t="shared" si="76"/>
        <v>-126.58975746823123</v>
      </c>
      <c r="AF175" s="23">
        <f t="shared" si="77"/>
        <v>-10.569841008843081</v>
      </c>
      <c r="AG175" s="8">
        <f t="shared" si="78"/>
        <v>-109.13294872326382</v>
      </c>
      <c r="AI175" s="12">
        <f t="shared" si="79"/>
        <v>-14.164806240334647</v>
      </c>
      <c r="AJ175" s="8">
        <f t="shared" si="80"/>
        <v>-10.479169368466094</v>
      </c>
      <c r="AL175" s="12">
        <f t="shared" si="81"/>
        <v>21.445456265263481</v>
      </c>
      <c r="AM175" s="8">
        <f t="shared" si="82"/>
        <v>172.95815246054875</v>
      </c>
    </row>
    <row r="176" spans="1:39" x14ac:dyDescent="0.25">
      <c r="A176" s="22">
        <f t="shared" si="83"/>
        <v>55000</v>
      </c>
      <c r="B176" s="8">
        <f t="shared" si="57"/>
        <v>345575.19189487724</v>
      </c>
      <c r="C176" s="9">
        <f t="shared" si="58"/>
        <v>40.320708229946462</v>
      </c>
      <c r="D176" s="9">
        <f t="shared" si="59"/>
        <v>-7.1383490615132104</v>
      </c>
      <c r="E176" s="9">
        <f t="shared" si="60"/>
        <v>17.961887777395265</v>
      </c>
      <c r="F176" s="9">
        <f t="shared" si="61"/>
        <v>25.723899416606677</v>
      </c>
      <c r="G176" s="9">
        <f t="shared" si="62"/>
        <v>19.738639835531565</v>
      </c>
      <c r="H176" s="9">
        <f t="shared" si="63"/>
        <v>2.8548083965895171E-2</v>
      </c>
      <c r="I176" s="9">
        <f t="shared" si="64"/>
        <v>0</v>
      </c>
      <c r="J176" s="9">
        <f t="shared" si="65"/>
        <v>38.300477594467985</v>
      </c>
      <c r="K176" s="9">
        <f t="shared" si="66"/>
        <v>0</v>
      </c>
      <c r="L176" s="9">
        <f t="shared" si="67"/>
        <v>0.98892024589879635</v>
      </c>
      <c r="M176" s="9">
        <f t="shared" si="68"/>
        <v>0.28585979873544243</v>
      </c>
      <c r="N176" s="9">
        <f t="shared" si="69"/>
        <v>0.25174359539893509</v>
      </c>
      <c r="O176" s="9">
        <f t="shared" si="48"/>
        <v>2.7177572593372759E-3</v>
      </c>
      <c r="P176" s="9">
        <f t="shared" si="70"/>
        <v>0</v>
      </c>
      <c r="Q176" s="9">
        <f t="shared" si="71"/>
        <v>0</v>
      </c>
      <c r="R176" s="23">
        <f t="shared" si="72"/>
        <v>-4.1909422142890138</v>
      </c>
      <c r="S176" s="8">
        <f t="shared" si="49"/>
        <v>1.9490734938554615</v>
      </c>
      <c r="T176" s="8">
        <f t="shared" si="50"/>
        <v>1.4675582891296206</v>
      </c>
      <c r="U176" s="8">
        <f t="shared" si="51"/>
        <v>8.1032343728445699E-2</v>
      </c>
      <c r="V176" s="8">
        <f t="shared" si="52"/>
        <v>0</v>
      </c>
      <c r="W176" s="8">
        <f t="shared" si="53"/>
        <v>1.5586348357087583</v>
      </c>
      <c r="X176" s="8">
        <f t="shared" si="54"/>
        <v>0</v>
      </c>
      <c r="Y176" s="8">
        <f t="shared" si="55"/>
        <v>0.28139247012317581</v>
      </c>
      <c r="Z176" s="8">
        <f t="shared" si="73"/>
        <v>2.5014425232707097E-2</v>
      </c>
      <c r="AA176" s="8">
        <f t="shared" si="74"/>
        <v>0</v>
      </c>
      <c r="AB176" s="8">
        <f t="shared" si="75"/>
        <v>0</v>
      </c>
      <c r="AC176" s="8">
        <f t="shared" si="56"/>
        <v>-1.9490734938554615</v>
      </c>
      <c r="AD176" s="8">
        <f t="shared" si="76"/>
        <v>-129.8049975082522</v>
      </c>
      <c r="AF176" s="23">
        <f t="shared" si="77"/>
        <v>-11.423791099939844</v>
      </c>
      <c r="AG176" s="8">
        <f t="shared" si="78"/>
        <v>-111.73032767324301</v>
      </c>
      <c r="AI176" s="12">
        <f t="shared" si="79"/>
        <v>-14.202595598153415</v>
      </c>
      <c r="AJ176" s="8">
        <f t="shared" si="80"/>
        <v>-11.485612341099179</v>
      </c>
      <c r="AL176" s="12">
        <f t="shared" si="81"/>
        <v>21.435444483804243</v>
      </c>
      <c r="AM176" s="8">
        <f t="shared" si="82"/>
        <v>173.34510352670952</v>
      </c>
    </row>
    <row r="177" spans="1:39" x14ac:dyDescent="0.25">
      <c r="A177" s="22">
        <f t="shared" si="83"/>
        <v>60000</v>
      </c>
      <c r="B177" s="8">
        <f t="shared" si="57"/>
        <v>376991.11843077518</v>
      </c>
      <c r="C177" s="9">
        <f t="shared" si="58"/>
        <v>40.320708229946462</v>
      </c>
      <c r="D177" s="9">
        <f t="shared" si="59"/>
        <v>-8.6853079740322521</v>
      </c>
      <c r="E177" s="9">
        <f t="shared" si="60"/>
        <v>19.295974504418925</v>
      </c>
      <c r="F177" s="9">
        <f t="shared" si="61"/>
        <v>26.510542236127357</v>
      </c>
      <c r="G177" s="9">
        <f t="shared" si="62"/>
        <v>20.487037882798703</v>
      </c>
      <c r="H177" s="9">
        <f t="shared" si="63"/>
        <v>3.3953417712056885E-2</v>
      </c>
      <c r="I177" s="9">
        <f t="shared" si="64"/>
        <v>0</v>
      </c>
      <c r="J177" s="9">
        <f t="shared" si="65"/>
        <v>39.056146221784608</v>
      </c>
      <c r="K177" s="9">
        <f t="shared" si="66"/>
        <v>0</v>
      </c>
      <c r="L177" s="9">
        <f t="shared" si="67"/>
        <v>0.98681417693741058</v>
      </c>
      <c r="M177" s="9">
        <f t="shared" si="68"/>
        <v>0.31184705316593725</v>
      </c>
      <c r="N177" s="9">
        <f t="shared" si="69"/>
        <v>0.29810071705357472</v>
      </c>
      <c r="O177" s="9">
        <f t="shared" si="48"/>
        <v>3.234163436770454E-3</v>
      </c>
      <c r="P177" s="9">
        <f t="shared" si="70"/>
        <v>0</v>
      </c>
      <c r="Q177" s="9">
        <f t="shared" si="71"/>
        <v>0</v>
      </c>
      <c r="R177" s="23">
        <f t="shared" si="72"/>
        <v>-5.0263238079450909</v>
      </c>
      <c r="S177" s="8">
        <f t="shared" si="49"/>
        <v>1.9937415912261294</v>
      </c>
      <c r="T177" s="8">
        <f t="shared" si="50"/>
        <v>1.4761078185916092</v>
      </c>
      <c r="U177" s="8">
        <f t="shared" si="51"/>
        <v>8.8362218396271355E-2</v>
      </c>
      <c r="V177" s="8">
        <f t="shared" si="52"/>
        <v>0</v>
      </c>
      <c r="W177" s="8">
        <f t="shared" si="53"/>
        <v>1.5596482055164931</v>
      </c>
      <c r="X177" s="8">
        <f t="shared" si="54"/>
        <v>0</v>
      </c>
      <c r="Y177" s="8">
        <f t="shared" si="55"/>
        <v>0.30608298565625747</v>
      </c>
      <c r="Z177" s="8">
        <f t="shared" si="73"/>
        <v>2.7287382217145606E-2</v>
      </c>
      <c r="AA177" s="8">
        <f t="shared" si="74"/>
        <v>0</v>
      </c>
      <c r="AB177" s="8">
        <f t="shared" si="75"/>
        <v>0</v>
      </c>
      <c r="AC177" s="8">
        <f t="shared" si="56"/>
        <v>-1.9937415912261294</v>
      </c>
      <c r="AD177" s="8">
        <f t="shared" si="76"/>
        <v>-133.05742311799</v>
      </c>
      <c r="AF177" s="23">
        <f t="shared" si="77"/>
        <v>-12.210433919460524</v>
      </c>
      <c r="AG177" s="8">
        <f t="shared" si="78"/>
        <v>-114.29091924226219</v>
      </c>
      <c r="AI177" s="12">
        <f t="shared" si="79"/>
        <v>-14.243547386061893</v>
      </c>
      <c r="AJ177" s="8">
        <f t="shared" si="80"/>
        <v>-12.480808314266721</v>
      </c>
      <c r="AL177" s="12">
        <f t="shared" si="81"/>
        <v>21.427657497577325</v>
      </c>
      <c r="AM177" s="8">
        <f t="shared" si="82"/>
        <v>173.6468157816671</v>
      </c>
    </row>
    <row r="178" spans="1:39" x14ac:dyDescent="0.25">
      <c r="A178" s="22">
        <f t="shared" si="83"/>
        <v>65000</v>
      </c>
      <c r="B178" s="8">
        <f t="shared" si="57"/>
        <v>408407.04496667313</v>
      </c>
      <c r="C178" s="9">
        <f t="shared" si="58"/>
        <v>40.320708229946462</v>
      </c>
      <c r="D178" s="9">
        <f t="shared" si="59"/>
        <v>-10.366785052857296</v>
      </c>
      <c r="E178" s="9">
        <f t="shared" si="60"/>
        <v>20.552110232704209</v>
      </c>
      <c r="F178" s="9">
        <f t="shared" si="61"/>
        <v>27.241606985673954</v>
      </c>
      <c r="G178" s="9">
        <f t="shared" si="62"/>
        <v>21.176533273496275</v>
      </c>
      <c r="H178" s="9">
        <f t="shared" si="63"/>
        <v>3.9821159955036455E-2</v>
      </c>
      <c r="I178" s="9">
        <f t="shared" si="64"/>
        <v>0</v>
      </c>
      <c r="J178" s="9">
        <f t="shared" si="65"/>
        <v>39.751308505781807</v>
      </c>
      <c r="K178" s="9">
        <f t="shared" si="66"/>
        <v>0</v>
      </c>
      <c r="L178" s="9">
        <f t="shared" si="67"/>
        <v>0.98452497154459984</v>
      </c>
      <c r="M178" s="9">
        <f t="shared" si="68"/>
        <v>0.33783430759643202</v>
      </c>
      <c r="N178" s="9">
        <f t="shared" si="69"/>
        <v>0.3479742525187618</v>
      </c>
      <c r="O178" s="9">
        <f t="shared" si="48"/>
        <v>3.7954048622888242E-3</v>
      </c>
      <c r="P178" s="9">
        <f t="shared" si="70"/>
        <v>0</v>
      </c>
      <c r="Q178" s="9">
        <f t="shared" si="71"/>
        <v>0</v>
      </c>
      <c r="R178" s="23">
        <f t="shared" si="72"/>
        <v>-5.8076224854390359</v>
      </c>
      <c r="S178" s="8">
        <f t="shared" si="49"/>
        <v>2.0379693987121756</v>
      </c>
      <c r="T178" s="8">
        <f t="shared" si="50"/>
        <v>1.483352946383091</v>
      </c>
      <c r="U178" s="8">
        <f t="shared" si="51"/>
        <v>9.5682585907605006E-2</v>
      </c>
      <c r="V178" s="8">
        <f t="shared" si="52"/>
        <v>0</v>
      </c>
      <c r="W178" s="8">
        <f t="shared" si="53"/>
        <v>1.5605056902449577</v>
      </c>
      <c r="X178" s="8">
        <f t="shared" si="54"/>
        <v>0</v>
      </c>
      <c r="Y178" s="8">
        <f t="shared" si="55"/>
        <v>0.33055444373566789</v>
      </c>
      <c r="Z178" s="8">
        <f t="shared" si="73"/>
        <v>2.9560057215625102E-2</v>
      </c>
      <c r="AA178" s="8">
        <f t="shared" si="74"/>
        <v>0</v>
      </c>
      <c r="AB178" s="8">
        <f t="shared" si="75"/>
        <v>0</v>
      </c>
      <c r="AC178" s="8">
        <f t="shared" si="56"/>
        <v>-2.0379693987121756</v>
      </c>
      <c r="AD178" s="8">
        <f t="shared" si="76"/>
        <v>-136.33840462472585</v>
      </c>
      <c r="AF178" s="23">
        <f t="shared" si="77"/>
        <v>-12.941498669007121</v>
      </c>
      <c r="AG178" s="8">
        <f t="shared" si="78"/>
        <v>-116.82627126375529</v>
      </c>
      <c r="AI178" s="12">
        <f t="shared" si="79"/>
        <v>-14.287553179284101</v>
      </c>
      <c r="AJ178" s="8">
        <f t="shared" si="80"/>
        <v>-13.463991850016344</v>
      </c>
      <c r="AL178" s="12">
        <f t="shared" si="81"/>
        <v>21.42142936285218</v>
      </c>
      <c r="AM178" s="8">
        <f t="shared" si="82"/>
        <v>173.88270567071703</v>
      </c>
    </row>
    <row r="179" spans="1:39" x14ac:dyDescent="0.25">
      <c r="A179" s="22">
        <f t="shared" si="83"/>
        <v>70000</v>
      </c>
      <c r="B179" s="8">
        <f t="shared" si="57"/>
        <v>439822.97150257102</v>
      </c>
      <c r="C179" s="9">
        <f t="shared" si="58"/>
        <v>40.320708229946462</v>
      </c>
      <c r="D179" s="9">
        <f t="shared" si="59"/>
        <v>-12.182780297988341</v>
      </c>
      <c r="E179" s="9">
        <f t="shared" si="60"/>
        <v>21.723799045689571</v>
      </c>
      <c r="F179" s="9">
        <f t="shared" si="61"/>
        <v>27.926322925652329</v>
      </c>
      <c r="G179" s="9">
        <f t="shared" si="62"/>
        <v>21.815661666165077</v>
      </c>
      <c r="H179" s="9">
        <f t="shared" si="63"/>
        <v>4.6149429621828483E-2</v>
      </c>
      <c r="I179" s="9">
        <f t="shared" si="64"/>
        <v>0</v>
      </c>
      <c r="J179" s="9">
        <f t="shared" si="65"/>
        <v>40.394938820627615</v>
      </c>
      <c r="K179" s="9">
        <f t="shared" si="66"/>
        <v>0</v>
      </c>
      <c r="L179" s="9">
        <f t="shared" si="67"/>
        <v>0.98205262972036433</v>
      </c>
      <c r="M179" s="9">
        <f t="shared" si="68"/>
        <v>0.36382156202692673</v>
      </c>
      <c r="N179" s="9">
        <f t="shared" si="69"/>
        <v>0.40124866629441003</v>
      </c>
      <c r="O179" s="9">
        <f t="shared" si="48"/>
        <v>4.4014641477182394E-3</v>
      </c>
      <c r="P179" s="9">
        <f t="shared" si="70"/>
        <v>0</v>
      </c>
      <c r="Q179" s="9">
        <f t="shared" si="71"/>
        <v>0</v>
      </c>
      <c r="R179" s="23">
        <f t="shared" si="72"/>
        <v>-6.5443925509887055</v>
      </c>
      <c r="S179" s="8">
        <f t="shared" si="49"/>
        <v>2.0818960385681522</v>
      </c>
      <c r="T179" s="8">
        <f t="shared" si="50"/>
        <v>1.4895704186890553</v>
      </c>
      <c r="U179" s="8">
        <f t="shared" si="51"/>
        <v>0.10299268179065416</v>
      </c>
      <c r="V179" s="8">
        <f t="shared" si="52"/>
        <v>0</v>
      </c>
      <c r="W179" s="8">
        <f t="shared" si="53"/>
        <v>1.5612406892481168</v>
      </c>
      <c r="X179" s="8">
        <f t="shared" si="54"/>
        <v>0</v>
      </c>
      <c r="Y179" s="8">
        <f t="shared" si="55"/>
        <v>0.354793730193673</v>
      </c>
      <c r="Z179" s="8">
        <f t="shared" si="73"/>
        <v>3.183242680826083E-2</v>
      </c>
      <c r="AA179" s="8">
        <f t="shared" si="74"/>
        <v>0</v>
      </c>
      <c r="AB179" s="8">
        <f t="shared" si="75"/>
        <v>0</v>
      </c>
      <c r="AC179" s="8">
        <f t="shared" si="56"/>
        <v>-2.0818960385681522</v>
      </c>
      <c r="AD179" s="8">
        <f t="shared" si="76"/>
        <v>-139.64126147279009</v>
      </c>
      <c r="AF179" s="23">
        <f t="shared" si="77"/>
        <v>-13.626214608985496</v>
      </c>
      <c r="AG179" s="8">
        <f t="shared" si="78"/>
        <v>-119.34435889881127</v>
      </c>
      <c r="AI179" s="12">
        <f t="shared" si="79"/>
        <v>-14.334499323392958</v>
      </c>
      <c r="AJ179" s="8">
        <f t="shared" si="80"/>
        <v>-14.434455003994712</v>
      </c>
      <c r="AL179" s="12">
        <f t="shared" si="81"/>
        <v>21.416321381389743</v>
      </c>
      <c r="AM179" s="8">
        <f t="shared" si="82"/>
        <v>174.06672435473948</v>
      </c>
    </row>
    <row r="180" spans="1:39" x14ac:dyDescent="0.25">
      <c r="A180" s="22">
        <f t="shared" si="83"/>
        <v>75000</v>
      </c>
      <c r="B180" s="8">
        <f t="shared" si="57"/>
        <v>471238.89803846896</v>
      </c>
      <c r="C180" s="9">
        <f t="shared" si="58"/>
        <v>40.320708229946462</v>
      </c>
      <c r="D180" s="9">
        <f t="shared" si="59"/>
        <v>-14.133293709425391</v>
      </c>
      <c r="E180" s="9">
        <f t="shared" si="60"/>
        <v>22.8045450268135</v>
      </c>
      <c r="F180" s="9">
        <f t="shared" si="61"/>
        <v>28.572101921134948</v>
      </c>
      <c r="G180" s="9">
        <f t="shared" si="62"/>
        <v>22.411239602308438</v>
      </c>
      <c r="H180" s="9">
        <f t="shared" si="63"/>
        <v>5.293620465053054E-2</v>
      </c>
      <c r="I180" s="9">
        <f t="shared" si="64"/>
        <v>0</v>
      </c>
      <c r="J180" s="9">
        <f t="shared" si="65"/>
        <v>40.994152177872429</v>
      </c>
      <c r="K180" s="9">
        <f t="shared" si="66"/>
        <v>0</v>
      </c>
      <c r="L180" s="9">
        <f t="shared" si="67"/>
        <v>0.97939715146470396</v>
      </c>
      <c r="M180" s="9">
        <f t="shared" si="68"/>
        <v>0.38980881645742155</v>
      </c>
      <c r="N180" s="9">
        <f t="shared" si="69"/>
        <v>0.45780387836820746</v>
      </c>
      <c r="O180" s="9">
        <f t="shared" si="48"/>
        <v>5.0523225222433837E-3</v>
      </c>
      <c r="P180" s="9">
        <f t="shared" si="70"/>
        <v>0</v>
      </c>
      <c r="Q180" s="9">
        <f t="shared" si="71"/>
        <v>0</v>
      </c>
      <c r="R180" s="23">
        <f t="shared" si="72"/>
        <v>-7.2442262629924006</v>
      </c>
      <c r="S180" s="8">
        <f t="shared" si="49"/>
        <v>2.1256170557365586</v>
      </c>
      <c r="T180" s="8">
        <f t="shared" si="50"/>
        <v>1.4949640077037558</v>
      </c>
      <c r="U180" s="8">
        <f t="shared" si="51"/>
        <v>0.11029174810767185</v>
      </c>
      <c r="V180" s="8">
        <f t="shared" si="52"/>
        <v>0</v>
      </c>
      <c r="W180" s="8">
        <f t="shared" si="53"/>
        <v>1.5618776967643615</v>
      </c>
      <c r="X180" s="8">
        <f t="shared" si="54"/>
        <v>0</v>
      </c>
      <c r="Y180" s="8">
        <f t="shared" si="55"/>
        <v>0.37878876353543089</v>
      </c>
      <c r="Z180" s="8">
        <f t="shared" si="73"/>
        <v>3.4104467594077863E-2</v>
      </c>
      <c r="AA180" s="8">
        <f t="shared" si="74"/>
        <v>0</v>
      </c>
      <c r="AB180" s="8">
        <f t="shared" si="75"/>
        <v>0</v>
      </c>
      <c r="AC180" s="8">
        <f t="shared" si="56"/>
        <v>-2.1256170557365586</v>
      </c>
      <c r="AD180" s="8">
        <f t="shared" si="76"/>
        <v>-142.96054598110339</v>
      </c>
      <c r="AF180" s="23">
        <f t="shared" si="77"/>
        <v>-14.271993604468115</v>
      </c>
      <c r="AG180" s="8">
        <f t="shared" si="78"/>
        <v>-121.85065924604476</v>
      </c>
      <c r="AI180" s="12">
        <f t="shared" si="79"/>
        <v>-14.384267760438052</v>
      </c>
      <c r="AJ180" s="8">
        <f t="shared" si="80"/>
        <v>-15.391548655094468</v>
      </c>
      <c r="AL180" s="12">
        <f t="shared" si="81"/>
        <v>21.412035101913766</v>
      </c>
      <c r="AM180" s="8">
        <f t="shared" si="82"/>
        <v>174.20915025546401</v>
      </c>
    </row>
    <row r="181" spans="1:39" x14ac:dyDescent="0.25">
      <c r="A181" s="22">
        <f t="shared" si="83"/>
        <v>80000</v>
      </c>
      <c r="B181" s="8">
        <f t="shared" si="57"/>
        <v>502654.82457436691</v>
      </c>
      <c r="C181" s="9">
        <f t="shared" si="58"/>
        <v>40.320708229946462</v>
      </c>
      <c r="D181" s="9">
        <f t="shared" si="59"/>
        <v>-16.218325287168447</v>
      </c>
      <c r="E181" s="9">
        <f t="shared" si="60"/>
        <v>23.787852259514452</v>
      </c>
      <c r="F181" s="9">
        <f t="shared" si="61"/>
        <v>29.185000387549273</v>
      </c>
      <c r="G181" s="9">
        <f t="shared" si="62"/>
        <v>22.968794588140653</v>
      </c>
      <c r="H181" s="9">
        <f t="shared" si="63"/>
        <v>6.0179324114907347E-2</v>
      </c>
      <c r="I181" s="9">
        <f t="shared" si="64"/>
        <v>0</v>
      </c>
      <c r="J181" s="9">
        <f t="shared" si="65"/>
        <v>41.554684819390992</v>
      </c>
      <c r="K181" s="9">
        <f t="shared" si="66"/>
        <v>0</v>
      </c>
      <c r="L181" s="9">
        <f t="shared" si="67"/>
        <v>0.97655853677761872</v>
      </c>
      <c r="M181" s="9">
        <f t="shared" si="68"/>
        <v>0.41579607088791631</v>
      </c>
      <c r="N181" s="9">
        <f t="shared" si="69"/>
        <v>0.51751608507609281</v>
      </c>
      <c r="O181" s="9">
        <f t="shared" si="48"/>
        <v>5.747959834345632E-3</v>
      </c>
      <c r="P181" s="9">
        <f t="shared" si="70"/>
        <v>0</v>
      </c>
      <c r="Q181" s="9">
        <f t="shared" si="71"/>
        <v>0</v>
      </c>
      <c r="R181" s="23">
        <f t="shared" si="72"/>
        <v>-7.9132671096486833</v>
      </c>
      <c r="S181" s="8">
        <f t="shared" si="49"/>
        <v>2.1691961393584318</v>
      </c>
      <c r="T181" s="8">
        <f t="shared" si="50"/>
        <v>1.4996870378054221</v>
      </c>
      <c r="U181" s="8">
        <f t="shared" si="51"/>
        <v>0.11757903390630206</v>
      </c>
      <c r="V181" s="8">
        <f t="shared" si="52"/>
        <v>0</v>
      </c>
      <c r="W181" s="8">
        <f t="shared" si="53"/>
        <v>1.5624350842963695</v>
      </c>
      <c r="X181" s="8">
        <f t="shared" si="54"/>
        <v>0</v>
      </c>
      <c r="Y181" s="8">
        <f t="shared" si="55"/>
        <v>0.40252850849624999</v>
      </c>
      <c r="Z181" s="8">
        <f t="shared" si="73"/>
        <v>3.6376156192451478E-2</v>
      </c>
      <c r="AA181" s="8">
        <f t="shared" si="74"/>
        <v>0</v>
      </c>
      <c r="AB181" s="8">
        <f t="shared" si="75"/>
        <v>0</v>
      </c>
      <c r="AC181" s="8">
        <f t="shared" si="56"/>
        <v>-2.1691961393584318</v>
      </c>
      <c r="AD181" s="8">
        <f t="shared" si="76"/>
        <v>-146.29158445114251</v>
      </c>
      <c r="AF181" s="23">
        <f t="shared" si="77"/>
        <v>-14.88489207088244</v>
      </c>
      <c r="AG181" s="8">
        <f t="shared" si="78"/>
        <v>-124.34882327532411</v>
      </c>
      <c r="AI181" s="12">
        <f t="shared" si="79"/>
        <v>-14.43673684768156</v>
      </c>
      <c r="AJ181" s="8">
        <f t="shared" si="80"/>
        <v>-16.334683256748605</v>
      </c>
      <c r="AL181" s="12">
        <f t="shared" si="81"/>
        <v>21.408361808915316</v>
      </c>
      <c r="AM181" s="8">
        <f t="shared" si="82"/>
        <v>174.31772086528287</v>
      </c>
    </row>
    <row r="182" spans="1:39" x14ac:dyDescent="0.25">
      <c r="A182" s="22">
        <f t="shared" si="83"/>
        <v>85000</v>
      </c>
      <c r="B182" s="8">
        <f t="shared" si="57"/>
        <v>534070.7511102648</v>
      </c>
      <c r="C182" s="9">
        <f t="shared" si="58"/>
        <v>40.320708229946462</v>
      </c>
      <c r="D182" s="9">
        <f t="shared" si="59"/>
        <v>-18.437875031217501</v>
      </c>
      <c r="E182" s="9">
        <f t="shared" si="60"/>
        <v>24.667224827230893</v>
      </c>
      <c r="F182" s="9">
        <f t="shared" si="61"/>
        <v>29.770040081260571</v>
      </c>
      <c r="G182" s="9">
        <f t="shared" si="62"/>
        <v>23.492869294422256</v>
      </c>
      <c r="H182" s="9">
        <f t="shared" si="63"/>
        <v>6.7876490482115498E-2</v>
      </c>
      <c r="I182" s="9">
        <f t="shared" si="64"/>
        <v>0</v>
      </c>
      <c r="J182" s="9">
        <f t="shared" si="65"/>
        <v>42.081228925449061</v>
      </c>
      <c r="K182" s="9">
        <f t="shared" si="66"/>
        <v>0</v>
      </c>
      <c r="L182" s="9">
        <f t="shared" si="67"/>
        <v>0.97353678565910862</v>
      </c>
      <c r="M182" s="9">
        <f t="shared" si="68"/>
        <v>0.44178332531841102</v>
      </c>
      <c r="N182" s="9">
        <f t="shared" si="69"/>
        <v>0.58025856285856203</v>
      </c>
      <c r="O182" s="9">
        <f t="shared" si="48"/>
        <v>6.4883545538714348E-3</v>
      </c>
      <c r="P182" s="9">
        <f t="shared" si="70"/>
        <v>0</v>
      </c>
      <c r="Q182" s="9">
        <f t="shared" si="71"/>
        <v>0</v>
      </c>
      <c r="R182" s="23">
        <f t="shared" si="72"/>
        <v>-8.5565619092712311</v>
      </c>
      <c r="S182" s="8">
        <f t="shared" si="49"/>
        <v>2.2126727438403915</v>
      </c>
      <c r="T182" s="8">
        <f t="shared" si="50"/>
        <v>1.5038570648629495</v>
      </c>
      <c r="U182" s="8">
        <f t="shared" si="51"/>
        <v>0.12485379566002876</v>
      </c>
      <c r="V182" s="8">
        <f t="shared" si="52"/>
        <v>0</v>
      </c>
      <c r="W182" s="8">
        <f t="shared" si="53"/>
        <v>1.5629269011505118</v>
      </c>
      <c r="X182" s="8">
        <f t="shared" si="54"/>
        <v>0</v>
      </c>
      <c r="Y182" s="8">
        <f t="shared" si="55"/>
        <v>0.42600298001616443</v>
      </c>
      <c r="Z182" s="8">
        <f t="shared" si="73"/>
        <v>3.8647469244544444E-2</v>
      </c>
      <c r="AA182" s="8">
        <f t="shared" si="74"/>
        <v>0</v>
      </c>
      <c r="AB182" s="8">
        <f t="shared" si="75"/>
        <v>0</v>
      </c>
      <c r="AC182" s="8">
        <f t="shared" si="56"/>
        <v>-2.2126727438403915</v>
      </c>
      <c r="AD182" s="8">
        <f t="shared" si="76"/>
        <v>-149.63017612547978</v>
      </c>
      <c r="AF182" s="23">
        <f t="shared" si="77"/>
        <v>-15.469931764593738</v>
      </c>
      <c r="AG182" s="8">
        <f t="shared" si="78"/>
        <v>-126.84111270422626</v>
      </c>
      <c r="AI182" s="12">
        <f t="shared" si="79"/>
        <v>-14.491782159096822</v>
      </c>
      <c r="AJ182" s="8">
        <f t="shared" si="80"/>
        <v>-17.2633290395237</v>
      </c>
      <c r="AL182" s="12">
        <f t="shared" si="81"/>
        <v>21.405152014419325</v>
      </c>
      <c r="AM182" s="8">
        <f t="shared" si="82"/>
        <v>174.39837102045249</v>
      </c>
    </row>
    <row r="183" spans="1:39" x14ac:dyDescent="0.25">
      <c r="A183" s="22">
        <f t="shared" si="83"/>
        <v>90000</v>
      </c>
      <c r="B183" s="8">
        <f t="shared" si="57"/>
        <v>565486.6776461628</v>
      </c>
      <c r="C183" s="9">
        <f t="shared" si="58"/>
        <v>40.320708229946462</v>
      </c>
      <c r="D183" s="9">
        <f t="shared" si="59"/>
        <v>-20.791942941572568</v>
      </c>
      <c r="E183" s="9">
        <f t="shared" si="60"/>
        <v>25.436166813401304</v>
      </c>
      <c r="F183" s="9">
        <f t="shared" si="61"/>
        <v>30.33143574721587</v>
      </c>
      <c r="G183" s="9">
        <f t="shared" si="62"/>
        <v>23.987241422947946</v>
      </c>
      <c r="H183" s="9">
        <f t="shared" si="63"/>
        <v>7.6025271998760843E-2</v>
      </c>
      <c r="I183" s="9">
        <f t="shared" si="64"/>
        <v>0</v>
      </c>
      <c r="J183" s="9">
        <f t="shared" si="65"/>
        <v>42.577671547289448</v>
      </c>
      <c r="K183" s="9">
        <f t="shared" si="66"/>
        <v>0</v>
      </c>
      <c r="L183" s="9">
        <f t="shared" si="67"/>
        <v>0.97033189810917364</v>
      </c>
      <c r="M183" s="9">
        <f t="shared" si="68"/>
        <v>0.46777057974890585</v>
      </c>
      <c r="N183" s="9">
        <f t="shared" si="69"/>
        <v>0.64590244615955983</v>
      </c>
      <c r="O183" s="9">
        <f t="shared" si="48"/>
        <v>7.2734837742560081E-3</v>
      </c>
      <c r="P183" s="9">
        <f t="shared" si="70"/>
        <v>0</v>
      </c>
      <c r="Q183" s="9">
        <f t="shared" si="71"/>
        <v>0</v>
      </c>
      <c r="R183" s="23">
        <f t="shared" si="72"/>
        <v>-9.1783082995459679</v>
      </c>
      <c r="S183" s="8">
        <f t="shared" si="49"/>
        <v>2.2560672441349769</v>
      </c>
      <c r="T183" s="8">
        <f t="shared" si="50"/>
        <v>1.5075657184402427</v>
      </c>
      <c r="U183" s="8">
        <f t="shared" si="51"/>
        <v>0.1321152976971216</v>
      </c>
      <c r="V183" s="8">
        <f t="shared" si="52"/>
        <v>0</v>
      </c>
      <c r="W183" s="8">
        <f t="shared" si="53"/>
        <v>1.5633640748909918</v>
      </c>
      <c r="X183" s="8">
        <f t="shared" si="54"/>
        <v>0</v>
      </c>
      <c r="Y183" s="8">
        <f t="shared" si="55"/>
        <v>0.44920323827319469</v>
      </c>
      <c r="Z183" s="8">
        <f t="shared" si="73"/>
        <v>4.0918383414740883E-2</v>
      </c>
      <c r="AA183" s="8">
        <f t="shared" si="74"/>
        <v>0</v>
      </c>
      <c r="AB183" s="8">
        <f t="shared" si="75"/>
        <v>0</v>
      </c>
      <c r="AC183" s="8">
        <f t="shared" si="56"/>
        <v>-2.2560672441349769</v>
      </c>
      <c r="AD183" s="8">
        <f t="shared" si="76"/>
        <v>-152.97239311870618</v>
      </c>
      <c r="AF183" s="23">
        <f t="shared" si="77"/>
        <v>-16.031327430549037</v>
      </c>
      <c r="AG183" s="8">
        <f t="shared" si="78"/>
        <v>-129.32869552366108</v>
      </c>
      <c r="AI183" s="12">
        <f t="shared" si="79"/>
        <v>-14.549277260881174</v>
      </c>
      <c r="AJ183" s="8">
        <f t="shared" si="80"/>
        <v>-18.177015701813104</v>
      </c>
      <c r="AL183" s="12">
        <f t="shared" si="81"/>
        <v>21.402296391884242</v>
      </c>
      <c r="AM183" s="8">
        <f t="shared" si="82"/>
        <v>174.45572828796554</v>
      </c>
    </row>
    <row r="184" spans="1:39" x14ac:dyDescent="0.25">
      <c r="A184" s="22">
        <f t="shared" si="83"/>
        <v>95000</v>
      </c>
      <c r="B184" s="8">
        <f t="shared" si="57"/>
        <v>596902.60418206069</v>
      </c>
      <c r="C184" s="9">
        <f t="shared" si="58"/>
        <v>40.320708229946462</v>
      </c>
      <c r="D184" s="9">
        <f t="shared" si="59"/>
        <v>-23.280529018233629</v>
      </c>
      <c r="E184" s="9">
        <f t="shared" si="60"/>
        <v>26.088182301464137</v>
      </c>
      <c r="F184" s="9">
        <f t="shared" si="61"/>
        <v>30.872759680495207</v>
      </c>
      <c r="G184" s="9">
        <f t="shared" si="62"/>
        <v>24.455085700937154</v>
      </c>
      <c r="H184" s="9">
        <f t="shared" si="63"/>
        <v>8.4623105200150192E-2</v>
      </c>
      <c r="I184" s="9">
        <f t="shared" si="64"/>
        <v>0</v>
      </c>
      <c r="J184" s="9">
        <f t="shared" si="65"/>
        <v>43.04726887686283</v>
      </c>
      <c r="K184" s="9">
        <f t="shared" si="66"/>
        <v>0</v>
      </c>
      <c r="L184" s="9">
        <f t="shared" si="67"/>
        <v>0.96694387412781391</v>
      </c>
      <c r="M184" s="9">
        <f t="shared" si="68"/>
        <v>0.49375783417940061</v>
      </c>
      <c r="N184" s="9">
        <f t="shared" si="69"/>
        <v>0.71431747190793748</v>
      </c>
      <c r="O184" s="9">
        <f t="shared" si="48"/>
        <v>8.1033232148807408E-3</v>
      </c>
      <c r="P184" s="9">
        <f t="shared" si="70"/>
        <v>0</v>
      </c>
      <c r="Q184" s="9">
        <f t="shared" si="71"/>
        <v>0</v>
      </c>
      <c r="R184" s="23">
        <f t="shared" si="72"/>
        <v>-9.782032316397089</v>
      </c>
      <c r="S184" s="8">
        <f t="shared" si="49"/>
        <v>2.2993845772654766</v>
      </c>
      <c r="T184" s="8">
        <f t="shared" si="50"/>
        <v>1.5108854674490713</v>
      </c>
      <c r="U184" s="8">
        <f t="shared" si="51"/>
        <v>0.13936281261750441</v>
      </c>
      <c r="V184" s="8">
        <f t="shared" si="52"/>
        <v>0</v>
      </c>
      <c r="W184" s="8">
        <f t="shared" si="53"/>
        <v>1.5637552327561199</v>
      </c>
      <c r="X184" s="8">
        <f t="shared" si="54"/>
        <v>0</v>
      </c>
      <c r="Y184" s="8">
        <f t="shared" si="55"/>
        <v>0.47212137551495637</v>
      </c>
      <c r="Z184" s="8">
        <f t="shared" si="73"/>
        <v>4.3188875392076526E-2</v>
      </c>
      <c r="AA184" s="8">
        <f t="shared" si="74"/>
        <v>0</v>
      </c>
      <c r="AB184" s="8">
        <f t="shared" si="75"/>
        <v>0</v>
      </c>
      <c r="AC184" s="8">
        <f t="shared" si="56"/>
        <v>-2.2993845772654766</v>
      </c>
      <c r="AD184" s="8">
        <f t="shared" si="76"/>
        <v>-156.31444770347079</v>
      </c>
      <c r="AF184" s="23">
        <f t="shared" si="77"/>
        <v>-16.572651363828374</v>
      </c>
      <c r="AG184" s="8">
        <f t="shared" si="78"/>
        <v>-131.81185474770248</v>
      </c>
      <c r="AI184" s="12">
        <f t="shared" si="79"/>
        <v>-14.609094453428163</v>
      </c>
      <c r="AJ184" s="8">
        <f t="shared" si="80"/>
        <v>-19.075331631064124</v>
      </c>
      <c r="AL184" s="12">
        <f t="shared" si="81"/>
        <v>21.399713500859445</v>
      </c>
      <c r="AM184" s="8">
        <f t="shared" si="82"/>
        <v>174.49345371788453</v>
      </c>
    </row>
    <row r="185" spans="1:39" x14ac:dyDescent="0.25">
      <c r="A185" s="22">
        <f t="shared" si="83"/>
        <v>100000</v>
      </c>
      <c r="B185" s="8">
        <f t="shared" si="57"/>
        <v>628318.53071795858</v>
      </c>
      <c r="C185" s="9">
        <f t="shared" si="58"/>
        <v>40.320708229946462</v>
      </c>
      <c r="D185" s="9">
        <f t="shared" si="59"/>
        <v>-25.903633261200692</v>
      </c>
      <c r="E185" s="9">
        <f t="shared" si="60"/>
        <v>26.616775374857873</v>
      </c>
      <c r="F185" s="9">
        <f t="shared" si="61"/>
        <v>31.397062618179366</v>
      </c>
      <c r="G185" s="9">
        <f t="shared" si="62"/>
        <v>24.899095299783905</v>
      </c>
      <c r="H185" s="9">
        <f t="shared" si="63"/>
        <v>9.3667297537414013E-2</v>
      </c>
      <c r="I185" s="9">
        <f t="shared" si="64"/>
        <v>0</v>
      </c>
      <c r="J185" s="9">
        <f t="shared" si="65"/>
        <v>43.492775778637736</v>
      </c>
      <c r="K185" s="9">
        <f t="shared" si="66"/>
        <v>0</v>
      </c>
      <c r="L185" s="9">
        <f t="shared" si="67"/>
        <v>0.96337271371502931</v>
      </c>
      <c r="M185" s="9">
        <f t="shared" si="68"/>
        <v>0.51974508860989532</v>
      </c>
      <c r="N185" s="9">
        <f t="shared" si="69"/>
        <v>0.78537268426579732</v>
      </c>
      <c r="O185" s="9">
        <f t="shared" si="48"/>
        <v>8.9778472235678836E-3</v>
      </c>
      <c r="P185" s="9">
        <f t="shared" si="70"/>
        <v>0</v>
      </c>
      <c r="Q185" s="9">
        <f t="shared" si="71"/>
        <v>0</v>
      </c>
      <c r="R185" s="23">
        <f t="shared" si="72"/>
        <v>-10.370718101038683</v>
      </c>
      <c r="S185" s="8">
        <f t="shared" si="49"/>
        <v>2.3426169436897641</v>
      </c>
      <c r="T185" s="8">
        <f t="shared" si="50"/>
        <v>1.5138743744686074</v>
      </c>
      <c r="U185" s="8">
        <f t="shared" si="51"/>
        <v>0.14659562169700652</v>
      </c>
      <c r="V185" s="8">
        <f t="shared" si="52"/>
        <v>0</v>
      </c>
      <c r="W185" s="8">
        <f t="shared" si="53"/>
        <v>1.5641072766804018</v>
      </c>
      <c r="X185" s="8">
        <f t="shared" si="54"/>
        <v>0</v>
      </c>
      <c r="Y185" s="8">
        <f t="shared" si="55"/>
        <v>0.49475049550013916</v>
      </c>
      <c r="Z185" s="8">
        <f t="shared" si="73"/>
        <v>4.5458921891665303E-2</v>
      </c>
      <c r="AA185" s="8">
        <f t="shared" si="74"/>
        <v>0</v>
      </c>
      <c r="AB185" s="8">
        <f t="shared" si="75"/>
        <v>0</v>
      </c>
      <c r="AC185" s="8">
        <f t="shared" si="56"/>
        <v>-2.3426169436897641</v>
      </c>
      <c r="AD185" s="8">
        <f t="shared" si="76"/>
        <v>-159.6526064301253</v>
      </c>
      <c r="AF185" s="23">
        <f t="shared" si="77"/>
        <v>-17.096954301512532</v>
      </c>
      <c r="AG185" s="8">
        <f t="shared" si="78"/>
        <v>-134.29014326883998</v>
      </c>
      <c r="AI185" s="12">
        <f t="shared" si="79"/>
        <v>-14.671105473448758</v>
      </c>
      <c r="AJ185" s="8">
        <f t="shared" si="80"/>
        <v>-19.957922702090407</v>
      </c>
      <c r="AL185" s="12">
        <f t="shared" si="81"/>
        <v>21.3973416739226</v>
      </c>
      <c r="AM185" s="8">
        <f t="shared" si="82"/>
        <v>174.51448142082077</v>
      </c>
    </row>
    <row r="186" spans="1:39" x14ac:dyDescent="0.25">
      <c r="A186" s="22">
        <f>A185+50000</f>
        <v>150000</v>
      </c>
      <c r="B186" s="8">
        <f t="shared" si="57"/>
        <v>942477.79607693793</v>
      </c>
      <c r="C186" s="9">
        <f t="shared" si="58"/>
        <v>40.320708229946462</v>
      </c>
      <c r="D186" s="9">
        <f t="shared" si="59"/>
        <v>-59.533174837701566</v>
      </c>
      <c r="E186" s="9">
        <f t="shared" si="60"/>
        <v>23.685371658457711</v>
      </c>
      <c r="F186" s="9">
        <f t="shared" si="61"/>
        <v>36.133338692288277</v>
      </c>
      <c r="G186" s="9">
        <f t="shared" si="62"/>
        <v>28.413104328380037</v>
      </c>
      <c r="H186" s="9">
        <f t="shared" si="63"/>
        <v>0.20798010177087931</v>
      </c>
      <c r="I186" s="9">
        <f t="shared" si="64"/>
        <v>0</v>
      </c>
      <c r="J186" s="9">
        <f t="shared" si="65"/>
        <v>47.014493005530824</v>
      </c>
      <c r="K186" s="9">
        <f t="shared" si="66"/>
        <v>0</v>
      </c>
      <c r="L186" s="9">
        <f t="shared" si="67"/>
        <v>0.91758860585881585</v>
      </c>
      <c r="M186" s="9">
        <f t="shared" si="68"/>
        <v>0.7796176329148431</v>
      </c>
      <c r="N186" s="9">
        <f t="shared" si="69"/>
        <v>1.6129985852707538</v>
      </c>
      <c r="O186" s="9">
        <f t="shared" si="48"/>
        <v>2.0174120105217679E-2</v>
      </c>
      <c r="P186" s="9">
        <f t="shared" si="70"/>
        <v>0</v>
      </c>
      <c r="Q186" s="9">
        <f t="shared" si="71"/>
        <v>0</v>
      </c>
      <c r="R186" s="23">
        <f t="shared" si="72"/>
        <v>-15.839211743097694</v>
      </c>
      <c r="S186" s="8">
        <f t="shared" si="49"/>
        <v>2.762939675851388</v>
      </c>
      <c r="T186" s="8">
        <f t="shared" si="50"/>
        <v>1.5328255791978713</v>
      </c>
      <c r="U186" s="8">
        <f t="shared" si="51"/>
        <v>0.21796371605464043</v>
      </c>
      <c r="V186" s="8">
        <f t="shared" si="52"/>
        <v>0</v>
      </c>
      <c r="W186" s="8">
        <f t="shared" si="53"/>
        <v>1.5663369231021997</v>
      </c>
      <c r="X186" s="8">
        <f t="shared" si="54"/>
        <v>0</v>
      </c>
      <c r="Y186" s="8">
        <f t="shared" si="55"/>
        <v>0.70428354109814661</v>
      </c>
      <c r="Z186" s="8">
        <f t="shared" si="73"/>
        <v>6.812978441678004E-2</v>
      </c>
      <c r="AA186" s="8">
        <f t="shared" si="74"/>
        <v>0</v>
      </c>
      <c r="AB186" s="8">
        <f t="shared" si="75"/>
        <v>0</v>
      </c>
      <c r="AC186" s="8">
        <f t="shared" si="56"/>
        <v>-2.762939675851388</v>
      </c>
      <c r="AD186" s="8">
        <f t="shared" si="76"/>
        <v>-191.99246362180889</v>
      </c>
      <c r="AF186" s="23">
        <f t="shared" si="77"/>
        <v>-21.833230375621444</v>
      </c>
      <c r="AG186" s="8">
        <f t="shared" si="78"/>
        <v>-158.38507695963369</v>
      </c>
      <c r="AI186" s="12">
        <f t="shared" si="79"/>
        <v>-15.38441857022025</v>
      </c>
      <c r="AJ186" s="8">
        <f t="shared" si="80"/>
        <v>-27.878206531156405</v>
      </c>
      <c r="AL186" s="12">
        <f t="shared" si="81"/>
        <v>21.378437202743996</v>
      </c>
      <c r="AM186" s="8">
        <f t="shared" si="82"/>
        <v>174.17343850388551</v>
      </c>
    </row>
    <row r="187" spans="1:39" x14ac:dyDescent="0.25">
      <c r="A187" s="22">
        <f t="shared" ref="A187:A203" si="84">A186+50000</f>
        <v>200000</v>
      </c>
      <c r="B187" s="8">
        <f t="shared" si="57"/>
        <v>1256637.0614359172</v>
      </c>
      <c r="C187" s="9">
        <f t="shared" si="58"/>
        <v>40.320708229946462</v>
      </c>
      <c r="D187" s="9">
        <f t="shared" si="59"/>
        <v>-106.61453304480277</v>
      </c>
      <c r="E187" s="9">
        <f t="shared" si="60"/>
        <v>1.2662182574626257</v>
      </c>
      <c r="F187" s="9">
        <f t="shared" si="61"/>
        <v>40.556940727184212</v>
      </c>
      <c r="G187" s="9">
        <f t="shared" si="62"/>
        <v>30.909140080441489</v>
      </c>
      <c r="H187" s="9">
        <f t="shared" si="63"/>
        <v>0.36312569294475794</v>
      </c>
      <c r="I187" s="9">
        <f t="shared" si="64"/>
        <v>0</v>
      </c>
      <c r="J187" s="9">
        <f t="shared" si="65"/>
        <v>49.513229953085656</v>
      </c>
      <c r="K187" s="9">
        <f t="shared" si="66"/>
        <v>0</v>
      </c>
      <c r="L187" s="9">
        <f t="shared" si="67"/>
        <v>0.853490854860117</v>
      </c>
      <c r="M187" s="9">
        <f t="shared" si="68"/>
        <v>1.0394901772197906</v>
      </c>
      <c r="N187" s="9">
        <f t="shared" si="69"/>
        <v>2.5743531812958609</v>
      </c>
      <c r="O187" s="9">
        <f t="shared" si="48"/>
        <v>3.5800567721729806E-2</v>
      </c>
      <c r="P187" s="9">
        <f t="shared" si="70"/>
        <v>0</v>
      </c>
      <c r="Q187" s="9">
        <f t="shared" si="71"/>
        <v>0</v>
      </c>
      <c r="R187" s="23">
        <f t="shared" si="72"/>
        <v>-21.08735042595475</v>
      </c>
      <c r="S187" s="8">
        <f t="shared" si="49"/>
        <v>3.1297166110706471</v>
      </c>
      <c r="T187" s="8">
        <f t="shared" si="50"/>
        <v>1.5423122777823479</v>
      </c>
      <c r="U187" s="8">
        <f t="shared" si="51"/>
        <v>0.28714824030276109</v>
      </c>
      <c r="V187" s="8">
        <f t="shared" si="52"/>
        <v>0</v>
      </c>
      <c r="W187" s="8">
        <f t="shared" si="53"/>
        <v>1.5674517643258823</v>
      </c>
      <c r="X187" s="8">
        <f t="shared" si="54"/>
        <v>0</v>
      </c>
      <c r="Y187" s="8">
        <f t="shared" si="55"/>
        <v>0.88334113560860317</v>
      </c>
      <c r="Z187" s="8">
        <f t="shared" si="73"/>
        <v>9.0730733572227121E-2</v>
      </c>
      <c r="AA187" s="8">
        <f t="shared" si="74"/>
        <v>0</v>
      </c>
      <c r="AB187" s="8">
        <f t="shared" si="75"/>
        <v>0</v>
      </c>
      <c r="AC187" s="8">
        <f t="shared" si="56"/>
        <v>-3.1297166110706471</v>
      </c>
      <c r="AD187" s="8">
        <f t="shared" si="76"/>
        <v>-220.11776414692972</v>
      </c>
      <c r="AF187" s="23">
        <f t="shared" si="77"/>
        <v>-26.256832410517379</v>
      </c>
      <c r="AG187" s="8">
        <f t="shared" si="78"/>
        <v>-179.41050636710716</v>
      </c>
      <c r="AI187" s="12">
        <f t="shared" si="79"/>
        <v>-16.190627575071478</v>
      </c>
      <c r="AJ187" s="8">
        <f t="shared" si="80"/>
        <v>-34.176662788232981</v>
      </c>
      <c r="AL187" s="12">
        <f t="shared" si="81"/>
        <v>21.360109559634104</v>
      </c>
      <c r="AM187" s="8">
        <f t="shared" si="82"/>
        <v>173.35775808253595</v>
      </c>
    </row>
    <row r="188" spans="1:39" x14ac:dyDescent="0.25">
      <c r="A188" s="22">
        <f t="shared" si="84"/>
        <v>250000</v>
      </c>
      <c r="B188" s="8">
        <f t="shared" si="57"/>
        <v>1570796.3267948965</v>
      </c>
      <c r="C188" s="9">
        <f t="shared" si="58"/>
        <v>40.320708229946462</v>
      </c>
      <c r="D188" s="9">
        <f t="shared" si="59"/>
        <v>-167.14770788250433</v>
      </c>
      <c r="E188" s="9">
        <f t="shared" si="60"/>
        <v>-47.136601389659006</v>
      </c>
      <c r="F188" s="9">
        <f t="shared" si="61"/>
        <v>44.794344394682398</v>
      </c>
      <c r="G188" s="9">
        <f t="shared" si="62"/>
        <v>32.846071999053549</v>
      </c>
      <c r="H188" s="9">
        <f t="shared" si="63"/>
        <v>0.55478569103637476</v>
      </c>
      <c r="I188" s="9">
        <f t="shared" si="64"/>
        <v>0</v>
      </c>
      <c r="J188" s="9">
        <f t="shared" si="65"/>
        <v>51.451412724258319</v>
      </c>
      <c r="K188" s="9">
        <f t="shared" si="66"/>
        <v>0</v>
      </c>
      <c r="L188" s="9">
        <f t="shared" si="67"/>
        <v>0.77107946071893285</v>
      </c>
      <c r="M188" s="9">
        <f t="shared" si="68"/>
        <v>1.2993627215247383</v>
      </c>
      <c r="N188" s="9">
        <f t="shared" si="69"/>
        <v>3.5848822296650438</v>
      </c>
      <c r="O188" s="9">
        <f t="shared" si="48"/>
        <v>5.5809449285783859E-2</v>
      </c>
      <c r="P188" s="9">
        <f t="shared" si="70"/>
        <v>0</v>
      </c>
      <c r="Q188" s="9">
        <f t="shared" si="71"/>
        <v>0</v>
      </c>
      <c r="R188" s="23">
        <f t="shared" si="72"/>
        <v>-26.16488287785516</v>
      </c>
      <c r="S188" s="8">
        <f t="shared" si="49"/>
        <v>-2.8667250632657506</v>
      </c>
      <c r="T188" s="8">
        <f t="shared" si="50"/>
        <v>1.5480068689693929</v>
      </c>
      <c r="U188" s="8">
        <f t="shared" si="51"/>
        <v>0.35362074469209615</v>
      </c>
      <c r="V188" s="8">
        <f t="shared" si="52"/>
        <v>0</v>
      </c>
      <c r="W188" s="8">
        <f t="shared" si="53"/>
        <v>1.5681206732280746</v>
      </c>
      <c r="X188" s="8">
        <f t="shared" si="54"/>
        <v>0</v>
      </c>
      <c r="Y188" s="8">
        <f t="shared" si="55"/>
        <v>1.0352224876958083</v>
      </c>
      <c r="Z188" s="8">
        <f t="shared" si="73"/>
        <v>0.11323913280312267</v>
      </c>
      <c r="AA188" s="8">
        <f t="shared" si="74"/>
        <v>0</v>
      </c>
      <c r="AB188" s="8">
        <f t="shared" si="75"/>
        <v>0</v>
      </c>
      <c r="AC188" s="8">
        <f t="shared" si="56"/>
        <v>-3.4164602439138356</v>
      </c>
      <c r="AD188" s="8">
        <f t="shared" si="76"/>
        <v>-242.44221651268694</v>
      </c>
      <c r="AF188" s="23">
        <f t="shared" si="77"/>
        <v>-30.494236078015565</v>
      </c>
      <c r="AG188" s="8">
        <f t="shared" si="78"/>
        <v>164.33455776682646</v>
      </c>
      <c r="AI188" s="12">
        <f t="shared" si="79"/>
        <v>-17.009496625349044</v>
      </c>
      <c r="AJ188" s="8">
        <f t="shared" si="80"/>
        <v>-39.072711382378401</v>
      </c>
      <c r="AL188" s="12">
        <f t="shared" si="81"/>
        <v>21.338849825509445</v>
      </c>
      <c r="AM188" s="8">
        <f t="shared" si="82"/>
        <v>172.35556411747618</v>
      </c>
    </row>
    <row r="189" spans="1:39" x14ac:dyDescent="0.25">
      <c r="A189" s="22">
        <f t="shared" si="84"/>
        <v>300000</v>
      </c>
      <c r="B189" s="8">
        <f t="shared" si="57"/>
        <v>1884955.5921538759</v>
      </c>
      <c r="C189" s="9">
        <f t="shared" si="58"/>
        <v>40.320708229946462</v>
      </c>
      <c r="D189" s="9">
        <f t="shared" si="59"/>
        <v>-241.13269935080626</v>
      </c>
      <c r="E189" s="9">
        <f t="shared" si="60"/>
        <v>-128.01900384443888</v>
      </c>
      <c r="F189" s="9">
        <f t="shared" si="61"/>
        <v>48.723535203040875</v>
      </c>
      <c r="G189" s="9">
        <f t="shared" si="62"/>
        <v>34.429007789061366</v>
      </c>
      <c r="H189" s="9">
        <f t="shared" si="63"/>
        <v>0.77810189767006754</v>
      </c>
      <c r="I189" s="9">
        <f t="shared" si="64"/>
        <v>0</v>
      </c>
      <c r="J189" s="9">
        <f t="shared" si="65"/>
        <v>53.035028144990036</v>
      </c>
      <c r="K189" s="9">
        <f t="shared" si="66"/>
        <v>0</v>
      </c>
      <c r="L189" s="9">
        <f t="shared" si="67"/>
        <v>0.6703544234352633</v>
      </c>
      <c r="M189" s="9">
        <f t="shared" si="68"/>
        <v>1.5592352658296862</v>
      </c>
      <c r="N189" s="9">
        <f t="shared" si="69"/>
        <v>4.5948139852642118</v>
      </c>
      <c r="O189" s="9">
        <f t="shared" si="48"/>
        <v>8.0140217582713433E-2</v>
      </c>
      <c r="P189" s="9">
        <f t="shared" si="70"/>
        <v>0</v>
      </c>
      <c r="Q189" s="9">
        <f t="shared" si="71"/>
        <v>0</v>
      </c>
      <c r="R189" s="23">
        <f t="shared" si="72"/>
        <v>-30.905699634199937</v>
      </c>
      <c r="S189" s="8">
        <f t="shared" si="49"/>
        <v>-2.6535263545214045</v>
      </c>
      <c r="T189" s="8">
        <f t="shared" si="50"/>
        <v>1.5518041073571343</v>
      </c>
      <c r="U189" s="8">
        <f t="shared" si="51"/>
        <v>0.41698787478286681</v>
      </c>
      <c r="V189" s="8">
        <f t="shared" si="52"/>
        <v>0</v>
      </c>
      <c r="W189" s="8">
        <f t="shared" si="53"/>
        <v>1.5685666138633736</v>
      </c>
      <c r="X189" s="8">
        <f t="shared" si="54"/>
        <v>0</v>
      </c>
      <c r="Y189" s="8">
        <f t="shared" si="55"/>
        <v>1.1647614574627201</v>
      </c>
      <c r="Z189" s="8">
        <f t="shared" si="73"/>
        <v>0.1356329049265525</v>
      </c>
      <c r="AA189" s="8">
        <f t="shared" si="74"/>
        <v>0</v>
      </c>
      <c r="AB189" s="8">
        <f t="shared" si="75"/>
        <v>0</v>
      </c>
      <c r="AC189" s="8">
        <f t="shared" si="56"/>
        <v>-3.6296589526581817</v>
      </c>
      <c r="AD189" s="8">
        <f t="shared" si="76"/>
        <v>-259.54002327037966</v>
      </c>
      <c r="AF189" s="23">
        <f t="shared" si="77"/>
        <v>-34.423426886374045</v>
      </c>
      <c r="AG189" s="8">
        <f t="shared" si="78"/>
        <v>152.11297573689581</v>
      </c>
      <c r="AI189" s="12">
        <f t="shared" si="79"/>
        <v>-17.796112174314516</v>
      </c>
      <c r="AJ189" s="8">
        <f t="shared" si="80"/>
        <v>-42.866001554896052</v>
      </c>
      <c r="AL189" s="12">
        <f t="shared" si="81"/>
        <v>21.313839426488617</v>
      </c>
      <c r="AM189" s="8">
        <f t="shared" si="82"/>
        <v>171.26395730640047</v>
      </c>
    </row>
    <row r="190" spans="1:39" x14ac:dyDescent="0.25">
      <c r="A190" s="22">
        <f t="shared" si="84"/>
        <v>350000</v>
      </c>
      <c r="B190" s="8">
        <f t="shared" si="57"/>
        <v>2199114.857512855</v>
      </c>
      <c r="C190" s="9">
        <f t="shared" si="58"/>
        <v>40.320708229946462</v>
      </c>
      <c r="D190" s="9">
        <f t="shared" si="59"/>
        <v>-328.56950744970851</v>
      </c>
      <c r="E190" s="9">
        <f t="shared" si="60"/>
        <v>-247.87690566840848</v>
      </c>
      <c r="F190" s="9">
        <f t="shared" si="61"/>
        <v>52.289156661390457</v>
      </c>
      <c r="G190" s="9">
        <f t="shared" si="62"/>
        <v>35.767528004597338</v>
      </c>
      <c r="H190" s="9">
        <f t="shared" si="63"/>
        <v>1.0280196655331972</v>
      </c>
      <c r="I190" s="9">
        <f t="shared" si="64"/>
        <v>0</v>
      </c>
      <c r="J190" s="9">
        <f t="shared" si="65"/>
        <v>54.37395820925876</v>
      </c>
      <c r="K190" s="9">
        <f t="shared" si="66"/>
        <v>0</v>
      </c>
      <c r="L190" s="9">
        <f t="shared" si="67"/>
        <v>0.55131574300910846</v>
      </c>
      <c r="M190" s="9">
        <f t="shared" si="68"/>
        <v>1.8191078101346336</v>
      </c>
      <c r="N190" s="9">
        <f t="shared" si="69"/>
        <v>5.5788025499094687</v>
      </c>
      <c r="O190" s="9">
        <f t="shared" si="48"/>
        <v>0.10872011995042284</v>
      </c>
      <c r="P190" s="9">
        <f t="shared" si="70"/>
        <v>0</v>
      </c>
      <c r="Q190" s="9">
        <f t="shared" si="71"/>
        <v>0</v>
      </c>
      <c r="R190" s="23">
        <f t="shared" si="72"/>
        <v>-35.234381640432105</v>
      </c>
      <c r="S190" s="8">
        <f t="shared" si="49"/>
        <v>-2.495273594300119</v>
      </c>
      <c r="T190" s="8">
        <f t="shared" si="50"/>
        <v>1.5545167622844482</v>
      </c>
      <c r="U190" s="8">
        <f t="shared" si="51"/>
        <v>0.47699078158729608</v>
      </c>
      <c r="V190" s="8">
        <f t="shared" si="52"/>
        <v>0</v>
      </c>
      <c r="W190" s="8">
        <f t="shared" si="53"/>
        <v>1.5688851434418787</v>
      </c>
      <c r="X190" s="8">
        <f t="shared" si="54"/>
        <v>0</v>
      </c>
      <c r="Y190" s="8">
        <f t="shared" si="55"/>
        <v>1.2765260386865096</v>
      </c>
      <c r="Z190" s="8">
        <f t="shared" si="73"/>
        <v>0.15789065601851512</v>
      </c>
      <c r="AA190" s="8">
        <f t="shared" si="74"/>
        <v>0</v>
      </c>
      <c r="AB190" s="8">
        <f t="shared" si="75"/>
        <v>0</v>
      </c>
      <c r="AC190" s="8">
        <f t="shared" si="56"/>
        <v>-3.7879117128794673</v>
      </c>
      <c r="AD190" s="8">
        <f t="shared" si="76"/>
        <v>-272.71106593302494</v>
      </c>
      <c r="AF190" s="23">
        <f t="shared" si="77"/>
        <v>-37.989048344723628</v>
      </c>
      <c r="AG190" s="8">
        <f t="shared" si="78"/>
        <v>143.04116145669471</v>
      </c>
      <c r="AI190" s="12">
        <f t="shared" si="79"/>
        <v>-18.530182971096647</v>
      </c>
      <c r="AJ190" s="8">
        <f t="shared" si="80"/>
        <v>-45.833231298681035</v>
      </c>
      <c r="AL190" s="12">
        <f t="shared" si="81"/>
        <v>21.284849675388156</v>
      </c>
      <c r="AM190" s="8">
        <f t="shared" si="82"/>
        <v>170.1252781236719</v>
      </c>
    </row>
    <row r="191" spans="1:39" x14ac:dyDescent="0.25">
      <c r="A191" s="22">
        <f t="shared" si="84"/>
        <v>400000</v>
      </c>
      <c r="B191" s="8">
        <f t="shared" si="57"/>
        <v>2513274.1228718343</v>
      </c>
      <c r="C191" s="9">
        <f t="shared" si="58"/>
        <v>40.320708229946462</v>
      </c>
      <c r="D191" s="9">
        <f t="shared" si="59"/>
        <v>-429.45813217921108</v>
      </c>
      <c r="E191" s="9">
        <f t="shared" si="60"/>
        <v>-413.20622342309969</v>
      </c>
      <c r="F191" s="9">
        <f t="shared" si="61"/>
        <v>55.504407633096598</v>
      </c>
      <c r="G191" s="9">
        <f t="shared" si="62"/>
        <v>36.927097197362365</v>
      </c>
      <c r="H191" s="9">
        <f t="shared" si="63"/>
        <v>1.2995763466070329</v>
      </c>
      <c r="I191" s="9">
        <f t="shared" si="64"/>
        <v>0</v>
      </c>
      <c r="J191" s="9">
        <f t="shared" si="65"/>
        <v>55.533793430893176</v>
      </c>
      <c r="K191" s="9">
        <f t="shared" si="66"/>
        <v>0</v>
      </c>
      <c r="L191" s="9">
        <f t="shared" si="67"/>
        <v>0.41396341944046811</v>
      </c>
      <c r="M191" s="9">
        <f t="shared" si="68"/>
        <v>2.0789803544395813</v>
      </c>
      <c r="N191" s="9">
        <f t="shared" si="69"/>
        <v>6.5258716484549426</v>
      </c>
      <c r="O191" s="9">
        <f t="shared" ref="O191:O221" si="85">20*LOG10(SQRT(1+($B$84*B191)^2))</f>
        <v>0.14146490682584872</v>
      </c>
      <c r="P191" s="9">
        <f t="shared" si="70"/>
        <v>0</v>
      </c>
      <c r="Q191" s="9">
        <f t="shared" si="71"/>
        <v>0</v>
      </c>
      <c r="R191" s="23">
        <f t="shared" si="72"/>
        <v>-39.158155845354706</v>
      </c>
      <c r="S191" s="8">
        <f t="shared" ref="S191:S221" si="86">ATAN2(D191,E191)</f>
        <v>-2.3754784364783479</v>
      </c>
      <c r="T191" s="8">
        <f t="shared" ref="T191:T221" si="87">ATAN($B$76*B191)</f>
        <v>1.5565514129178151</v>
      </c>
      <c r="U191" s="8">
        <f t="shared" ref="U191:U221" si="88">ATAN($B$77*B191)</f>
        <v>0.53349346108487639</v>
      </c>
      <c r="V191" s="8">
        <f t="shared" ref="V191:V221" si="89">ATAN($B$78*B191)</f>
        <v>0</v>
      </c>
      <c r="W191" s="8">
        <f t="shared" ref="W191:W221" si="90">ATAN($B$79*B191)</f>
        <v>1.569124040883801</v>
      </c>
      <c r="X191" s="8">
        <f t="shared" ref="X191:X221" si="91">ATAN($B$80*B191)</f>
        <v>0</v>
      </c>
      <c r="Y191" s="8">
        <f t="shared" ref="Y191:Y221" si="92">ATAN2(L191,M191)</f>
        <v>1.3742485206064419</v>
      </c>
      <c r="Z191" s="8">
        <f t="shared" si="73"/>
        <v>0.17999178932247073</v>
      </c>
      <c r="AA191" s="8">
        <f t="shared" si="74"/>
        <v>0</v>
      </c>
      <c r="AB191" s="8">
        <f t="shared" si="75"/>
        <v>0</v>
      </c>
      <c r="AC191" s="8">
        <f t="shared" ref="AC191:AC221" si="93">IF(-S191&gt;0,-S191-2*PI(),-S191)</f>
        <v>-3.9077068707012383</v>
      </c>
      <c r="AD191" s="8">
        <f t="shared" si="76"/>
        <v>-283.09995617533565</v>
      </c>
      <c r="AF191" s="23">
        <f t="shared" si="77"/>
        <v>-41.204299316429768</v>
      </c>
      <c r="AG191" s="8">
        <f t="shared" si="78"/>
        <v>136.17392311022377</v>
      </c>
      <c r="AI191" s="12">
        <f t="shared" si="79"/>
        <v>-19.205695388568284</v>
      </c>
      <c r="AJ191" s="8">
        <f t="shared" si="80"/>
        <v>-48.196149908879548</v>
      </c>
      <c r="AL191" s="12">
        <f t="shared" si="81"/>
        <v>21.251838859643339</v>
      </c>
      <c r="AM191" s="8">
        <f t="shared" si="82"/>
        <v>168.961275442063</v>
      </c>
    </row>
    <row r="192" spans="1:39" x14ac:dyDescent="0.25">
      <c r="A192" s="22">
        <f t="shared" si="84"/>
        <v>450000</v>
      </c>
      <c r="B192" s="8">
        <f t="shared" si="57"/>
        <v>2827433.3882308137</v>
      </c>
      <c r="C192" s="9">
        <f t="shared" si="58"/>
        <v>40.320708229946462</v>
      </c>
      <c r="D192" s="9">
        <f t="shared" si="59"/>
        <v>-543.79857353931402</v>
      </c>
      <c r="E192" s="9">
        <f t="shared" si="60"/>
        <v>-630.50287367004398</v>
      </c>
      <c r="F192" s="9">
        <f t="shared" si="61"/>
        <v>58.408903557947596</v>
      </c>
      <c r="G192" s="9">
        <f t="shared" si="62"/>
        <v>37.949962699118217</v>
      </c>
      <c r="H192" s="9">
        <f t="shared" si="63"/>
        <v>1.5881151686141841</v>
      </c>
      <c r="I192" s="9">
        <f t="shared" si="64"/>
        <v>0</v>
      </c>
      <c r="J192" s="9">
        <f t="shared" si="65"/>
        <v>56.556841330845714</v>
      </c>
      <c r="K192" s="9">
        <f t="shared" si="66"/>
        <v>0</v>
      </c>
      <c r="L192" s="9">
        <f t="shared" si="67"/>
        <v>0.25829745272934257</v>
      </c>
      <c r="M192" s="9">
        <f t="shared" si="68"/>
        <v>2.3388528987445292</v>
      </c>
      <c r="N192" s="9">
        <f t="shared" si="69"/>
        <v>7.4327063751601044</v>
      </c>
      <c r="O192" s="9">
        <f t="shared" si="85"/>
        <v>0.17827963372524047</v>
      </c>
      <c r="P192" s="9">
        <f t="shared" si="70"/>
        <v>0</v>
      </c>
      <c r="Q192" s="9">
        <f t="shared" si="71"/>
        <v>0</v>
      </c>
      <c r="R192" s="23">
        <f t="shared" si="72"/>
        <v>-42.717944799999792</v>
      </c>
      <c r="S192" s="8">
        <f t="shared" si="86"/>
        <v>-2.2824934355454292</v>
      </c>
      <c r="T192" s="8">
        <f t="shared" si="87"/>
        <v>1.5581340013787877</v>
      </c>
      <c r="U192" s="8">
        <f t="shared" si="88"/>
        <v>0.58646422988515834</v>
      </c>
      <c r="V192" s="8">
        <f t="shared" si="89"/>
        <v>0</v>
      </c>
      <c r="W192" s="8">
        <f t="shared" si="90"/>
        <v>1.56930985013866</v>
      </c>
      <c r="X192" s="8">
        <f t="shared" si="91"/>
        <v>0</v>
      </c>
      <c r="Y192" s="8">
        <f t="shared" si="92"/>
        <v>1.460804388129517</v>
      </c>
      <c r="Z192" s="8">
        <f t="shared" si="73"/>
        <v>0.2019166078043528</v>
      </c>
      <c r="AA192" s="8">
        <f t="shared" si="74"/>
        <v>0</v>
      </c>
      <c r="AB192" s="8">
        <f t="shared" si="75"/>
        <v>0</v>
      </c>
      <c r="AC192" s="8">
        <f t="shared" si="93"/>
        <v>-4.0006918716341566</v>
      </c>
      <c r="AD192" s="8">
        <f t="shared" si="76"/>
        <v>-291.52805871033843</v>
      </c>
      <c r="AF192" s="23">
        <f t="shared" si="77"/>
        <v>-44.10879524128076</v>
      </c>
      <c r="AG192" s="8">
        <f t="shared" si="78"/>
        <v>130.843572738273</v>
      </c>
      <c r="AI192" s="12">
        <f t="shared" si="79"/>
        <v>-19.823991293266296</v>
      </c>
      <c r="AJ192" s="8">
        <f t="shared" si="80"/>
        <v>-50.12141034521801</v>
      </c>
      <c r="AL192" s="12">
        <f t="shared" si="81"/>
        <v>21.214841734547264</v>
      </c>
      <c r="AM192" s="8">
        <f t="shared" si="82"/>
        <v>167.78450885937562</v>
      </c>
    </row>
    <row r="193" spans="1:39" x14ac:dyDescent="0.25">
      <c r="A193" s="22">
        <f t="shared" si="84"/>
        <v>500000</v>
      </c>
      <c r="B193" s="8">
        <f t="shared" si="57"/>
        <v>3141592.653589793</v>
      </c>
      <c r="C193" s="9">
        <f t="shared" si="58"/>
        <v>40.320708229946462</v>
      </c>
      <c r="D193" s="9">
        <f t="shared" si="59"/>
        <v>-671.59083153001734</v>
      </c>
      <c r="E193" s="9">
        <f t="shared" si="60"/>
        <v>-906.26277297077297</v>
      </c>
      <c r="F193" s="9">
        <f t="shared" si="61"/>
        <v>61.046053853690395</v>
      </c>
      <c r="G193" s="9">
        <f t="shared" si="62"/>
        <v>38.864980213861458</v>
      </c>
      <c r="H193" s="9">
        <f t="shared" si="63"/>
        <v>1.8894223003186774</v>
      </c>
      <c r="I193" s="9">
        <f t="shared" si="64"/>
        <v>0</v>
      </c>
      <c r="J193" s="9">
        <f t="shared" si="65"/>
        <v>57.471989318777112</v>
      </c>
      <c r="K193" s="9">
        <f t="shared" si="66"/>
        <v>0</v>
      </c>
      <c r="L193" s="9">
        <f t="shared" si="67"/>
        <v>8.4317842875731408E-2</v>
      </c>
      <c r="M193" s="9">
        <f t="shared" si="68"/>
        <v>2.5987254430494766</v>
      </c>
      <c r="N193" s="9">
        <f t="shared" si="69"/>
        <v>8.2997775247463697</v>
      </c>
      <c r="O193" s="9">
        <f t="shared" si="85"/>
        <v>0.21905954117334911</v>
      </c>
      <c r="P193" s="9">
        <f t="shared" si="70"/>
        <v>0</v>
      </c>
      <c r="Q193" s="9">
        <f t="shared" si="71"/>
        <v>0</v>
      </c>
      <c r="R193" s="23">
        <f t="shared" si="72"/>
        <v>-45.961769494260629</v>
      </c>
      <c r="S193" s="8">
        <f t="shared" si="86"/>
        <v>-2.208548206904033</v>
      </c>
      <c r="T193" s="8">
        <f t="shared" si="87"/>
        <v>1.5594001182001711</v>
      </c>
      <c r="U193" s="8">
        <f t="shared" si="88"/>
        <v>0.63595431035089767</v>
      </c>
      <c r="V193" s="8">
        <f t="shared" si="89"/>
        <v>0</v>
      </c>
      <c r="W193" s="8">
        <f t="shared" si="90"/>
        <v>1.5694584976170649</v>
      </c>
      <c r="X193" s="8">
        <f t="shared" si="91"/>
        <v>0</v>
      </c>
      <c r="Y193" s="8">
        <f t="shared" si="92"/>
        <v>1.5383618602291478</v>
      </c>
      <c r="Z193" s="8">
        <f t="shared" si="73"/>
        <v>0.22364640427149121</v>
      </c>
      <c r="AA193" s="8">
        <f t="shared" si="74"/>
        <v>0</v>
      </c>
      <c r="AB193" s="8">
        <f t="shared" si="75"/>
        <v>0</v>
      </c>
      <c r="AC193" s="8">
        <f t="shared" si="93"/>
        <v>-4.0746371002755533</v>
      </c>
      <c r="AD193" s="8">
        <f t="shared" si="76"/>
        <v>-298.55395065934061</v>
      </c>
      <c r="AF193" s="23">
        <f t="shared" si="77"/>
        <v>-46.745945537023559</v>
      </c>
      <c r="AG193" s="8">
        <f t="shared" si="78"/>
        <v>126.60467428112291</v>
      </c>
      <c r="AI193" s="12">
        <f t="shared" si="79"/>
        <v>-20.389755311148065</v>
      </c>
      <c r="AJ193" s="8">
        <f t="shared" si="80"/>
        <v>-51.730369101300958</v>
      </c>
      <c r="AL193" s="12">
        <f t="shared" si="81"/>
        <v>21.173931353910998</v>
      </c>
      <c r="AM193" s="8">
        <f t="shared" si="82"/>
        <v>166.60291048920087</v>
      </c>
    </row>
    <row r="194" spans="1:39" x14ac:dyDescent="0.25">
      <c r="A194" s="22">
        <f t="shared" si="84"/>
        <v>550000</v>
      </c>
      <c r="B194" s="8">
        <f t="shared" si="57"/>
        <v>3455751.9189487724</v>
      </c>
      <c r="C194" s="9">
        <f t="shared" si="58"/>
        <v>40.320708229946462</v>
      </c>
      <c r="D194" s="9">
        <f t="shared" si="59"/>
        <v>-812.83490615132098</v>
      </c>
      <c r="E194" s="9">
        <f t="shared" si="60"/>
        <v>-1246.9818378868188</v>
      </c>
      <c r="F194" s="9">
        <f t="shared" si="61"/>
        <v>63.455039579428139</v>
      </c>
      <c r="G194" s="9">
        <f t="shared" si="62"/>
        <v>39.692736030005669</v>
      </c>
      <c r="H194" s="9">
        <f t="shared" si="63"/>
        <v>2.1997965724955968</v>
      </c>
      <c r="I194" s="9">
        <f t="shared" si="64"/>
        <v>0</v>
      </c>
      <c r="J194" s="9">
        <f t="shared" si="65"/>
        <v>58.299841672918554</v>
      </c>
      <c r="K194" s="9">
        <f t="shared" si="66"/>
        <v>0</v>
      </c>
      <c r="L194" s="9">
        <f t="shared" si="67"/>
        <v>-0.10797541012036493</v>
      </c>
      <c r="M194" s="9">
        <f t="shared" si="68"/>
        <v>2.8585979873544245</v>
      </c>
      <c r="N194" s="9">
        <f t="shared" si="69"/>
        <v>9.1292534908797922</v>
      </c>
      <c r="O194" s="9">
        <f t="shared" si="85"/>
        <v>0.26369099623719316</v>
      </c>
      <c r="P194" s="9">
        <f t="shared" si="70"/>
        <v>0</v>
      </c>
      <c r="Q194" s="9">
        <f t="shared" si="71"/>
        <v>0</v>
      </c>
      <c r="R194" s="23">
        <f t="shared" si="72"/>
        <v>-48.934584907015953</v>
      </c>
      <c r="S194" s="8">
        <f t="shared" si="86"/>
        <v>-2.1484652321230584</v>
      </c>
      <c r="T194" s="8">
        <f t="shared" si="87"/>
        <v>1.5604360593245972</v>
      </c>
      <c r="U194" s="8">
        <f t="shared" si="88"/>
        <v>0.68207659150030364</v>
      </c>
      <c r="V194" s="8">
        <f t="shared" si="89"/>
        <v>0</v>
      </c>
      <c r="W194" s="8">
        <f t="shared" si="90"/>
        <v>1.5695801183254854</v>
      </c>
      <c r="X194" s="8">
        <f t="shared" si="91"/>
        <v>0</v>
      </c>
      <c r="Y194" s="8">
        <f t="shared" si="92"/>
        <v>1.6085505348777533</v>
      </c>
      <c r="Z194" s="8">
        <f t="shared" si="73"/>
        <v>0.24516353828026058</v>
      </c>
      <c r="AA194" s="8">
        <f t="shared" si="74"/>
        <v>0</v>
      </c>
      <c r="AB194" s="8">
        <f t="shared" si="75"/>
        <v>0</v>
      </c>
      <c r="AC194" s="8">
        <f t="shared" si="93"/>
        <v>-4.1347200750565278</v>
      </c>
      <c r="AD194" s="8">
        <f t="shared" si="76"/>
        <v>-304.55580857544669</v>
      </c>
      <c r="AF194" s="23">
        <f t="shared" si="77"/>
        <v>-49.154931262761309</v>
      </c>
      <c r="AG194" s="8">
        <f t="shared" si="78"/>
        <v>123.16042731915621</v>
      </c>
      <c r="AI194" s="12">
        <f t="shared" si="79"/>
        <v>-20.908857005104569</v>
      </c>
      <c r="AJ194" s="8">
        <f t="shared" si="80"/>
        <v>-53.109971276414313</v>
      </c>
      <c r="AL194" s="12">
        <f t="shared" si="81"/>
        <v>21.129203360849921</v>
      </c>
      <c r="AM194" s="8">
        <f t="shared" si="82"/>
        <v>165.42185748069846</v>
      </c>
    </row>
    <row r="195" spans="1:39" x14ac:dyDescent="0.25">
      <c r="A195" s="22">
        <f t="shared" si="84"/>
        <v>600000</v>
      </c>
      <c r="B195" s="8">
        <f t="shared" si="57"/>
        <v>3769911.1843077517</v>
      </c>
      <c r="C195" s="9">
        <f t="shared" si="58"/>
        <v>40.320708229946462</v>
      </c>
      <c r="D195" s="9">
        <f t="shared" si="59"/>
        <v>-967.53079740322505</v>
      </c>
      <c r="E195" s="9">
        <f t="shared" si="60"/>
        <v>-1659.155984979712</v>
      </c>
      <c r="F195" s="9">
        <f t="shared" si="61"/>
        <v>65.668985807986019</v>
      </c>
      <c r="G195" s="9">
        <f t="shared" si="62"/>
        <v>40.44843279520974</v>
      </c>
      <c r="H195" s="9">
        <f t="shared" si="63"/>
        <v>2.5160669229619566</v>
      </c>
      <c r="I195" s="9">
        <f t="shared" si="64"/>
        <v>0</v>
      </c>
      <c r="J195" s="9">
        <f t="shared" si="65"/>
        <v>59.055611864663611</v>
      </c>
      <c r="K195" s="9">
        <f t="shared" si="66"/>
        <v>0</v>
      </c>
      <c r="L195" s="9">
        <f t="shared" si="67"/>
        <v>-0.31858230625894679</v>
      </c>
      <c r="M195" s="9">
        <f t="shared" si="68"/>
        <v>3.1184705316593724</v>
      </c>
      <c r="N195" s="9">
        <f t="shared" si="69"/>
        <v>9.9239236789622804</v>
      </c>
      <c r="O195" s="9">
        <f t="shared" si="85"/>
        <v>0.31205247895359106</v>
      </c>
      <c r="P195" s="9">
        <f t="shared" si="70"/>
        <v>0</v>
      </c>
      <c r="Q195" s="9">
        <f t="shared" si="71"/>
        <v>0</v>
      </c>
      <c r="R195" s="23">
        <f t="shared" si="72"/>
        <v>-51.675365882447338</v>
      </c>
      <c r="S195" s="8">
        <f t="shared" si="86"/>
        <v>-2.0987312712841337</v>
      </c>
      <c r="T195" s="8">
        <f t="shared" si="87"/>
        <v>1.561299360676653</v>
      </c>
      <c r="U195" s="8">
        <f t="shared" si="88"/>
        <v>0.72498652518893225</v>
      </c>
      <c r="V195" s="8">
        <f t="shared" si="89"/>
        <v>0</v>
      </c>
      <c r="W195" s="8">
        <f t="shared" si="90"/>
        <v>1.5696814689434728</v>
      </c>
      <c r="X195" s="8">
        <f t="shared" si="91"/>
        <v>0</v>
      </c>
      <c r="Y195" s="8">
        <f t="shared" si="92"/>
        <v>1.6726029284778212</v>
      </c>
      <c r="Z195" s="8">
        <f t="shared" si="73"/>
        <v>0.26645149936779799</v>
      </c>
      <c r="AA195" s="8">
        <f t="shared" si="74"/>
        <v>0</v>
      </c>
      <c r="AB195" s="8">
        <f t="shared" si="75"/>
        <v>0</v>
      </c>
      <c r="AC195" s="8">
        <f t="shared" si="93"/>
        <v>-4.1844540358954525</v>
      </c>
      <c r="AD195" s="8">
        <f t="shared" si="76"/>
        <v>-309.79278211493164</v>
      </c>
      <c r="AF195" s="23">
        <f t="shared" si="77"/>
        <v>-51.368877491319182</v>
      </c>
      <c r="AG195" s="8">
        <f t="shared" si="78"/>
        <v>120.30943593348537</v>
      </c>
      <c r="AI195" s="12">
        <f t="shared" si="79"/>
        <v>-21.387256842720699</v>
      </c>
      <c r="AJ195" s="8">
        <f t="shared" si="80"/>
        <v>-54.321959424203826</v>
      </c>
      <c r="AL195" s="12">
        <f t="shared" si="81"/>
        <v>21.080768451592537</v>
      </c>
      <c r="AM195" s="8">
        <f t="shared" si="82"/>
        <v>164.24520720565886</v>
      </c>
    </row>
    <row r="196" spans="1:39" x14ac:dyDescent="0.25">
      <c r="A196" s="22">
        <f t="shared" si="84"/>
        <v>650000</v>
      </c>
      <c r="B196" s="8">
        <f t="shared" si="57"/>
        <v>4084070.4496667311</v>
      </c>
      <c r="C196" s="9">
        <f t="shared" si="58"/>
        <v>40.320708229946462</v>
      </c>
      <c r="D196" s="9">
        <f t="shared" si="59"/>
        <v>-1135.6785052857294</v>
      </c>
      <c r="E196" s="9">
        <f t="shared" si="60"/>
        <v>-2149.2811308109858</v>
      </c>
      <c r="F196" s="9">
        <f t="shared" si="61"/>
        <v>67.715268552121415</v>
      </c>
      <c r="G196" s="9">
        <f t="shared" si="62"/>
        <v>41.143616977893501</v>
      </c>
      <c r="H196" s="9">
        <f t="shared" si="63"/>
        <v>2.8355735211012605</v>
      </c>
      <c r="I196" s="9">
        <f t="shared" si="64"/>
        <v>0</v>
      </c>
      <c r="J196" s="9">
        <f t="shared" si="65"/>
        <v>59.750853191345001</v>
      </c>
      <c r="K196" s="9">
        <f t="shared" si="66"/>
        <v>0</v>
      </c>
      <c r="L196" s="9">
        <f t="shared" si="67"/>
        <v>-0.54750284554001394</v>
      </c>
      <c r="M196" s="9">
        <f t="shared" si="68"/>
        <v>3.3783430759643198</v>
      </c>
      <c r="N196" s="9">
        <f t="shared" si="69"/>
        <v>10.686667085429873</v>
      </c>
      <c r="O196" s="9">
        <f t="shared" si="85"/>
        <v>0.36401559704450848</v>
      </c>
      <c r="P196" s="9">
        <f t="shared" si="70"/>
        <v>0</v>
      </c>
      <c r="Q196" s="9">
        <f t="shared" si="71"/>
        <v>0</v>
      </c>
      <c r="R196" s="23">
        <f t="shared" si="72"/>
        <v>-54.216905696999575</v>
      </c>
      <c r="S196" s="8">
        <f t="shared" si="86"/>
        <v>-2.0569043596904626</v>
      </c>
      <c r="T196" s="8">
        <f t="shared" si="87"/>
        <v>1.5620298575448635</v>
      </c>
      <c r="U196" s="8">
        <f t="shared" si="88"/>
        <v>0.76486612895439798</v>
      </c>
      <c r="V196" s="8">
        <f t="shared" si="89"/>
        <v>0</v>
      </c>
      <c r="W196" s="8">
        <f t="shared" si="90"/>
        <v>1.5697672271766654</v>
      </c>
      <c r="X196" s="8">
        <f t="shared" si="91"/>
        <v>0</v>
      </c>
      <c r="Y196" s="8">
        <f t="shared" si="92"/>
        <v>1.731461992190521</v>
      </c>
      <c r="Z196" s="8">
        <f t="shared" si="73"/>
        <v>0.28749495644591683</v>
      </c>
      <c r="AA196" s="8">
        <f t="shared" si="74"/>
        <v>0</v>
      </c>
      <c r="AB196" s="8">
        <f t="shared" si="75"/>
        <v>0</v>
      </c>
      <c r="AC196" s="8">
        <f t="shared" si="93"/>
        <v>-4.2262809474891236</v>
      </c>
      <c r="AD196" s="8">
        <f t="shared" si="76"/>
        <v>-314.44549104599531</v>
      </c>
      <c r="AF196" s="23">
        <f t="shared" si="77"/>
        <v>-53.415160235454579</v>
      </c>
      <c r="AG196" s="8">
        <f t="shared" si="78"/>
        <v>117.91171488671441</v>
      </c>
      <c r="AI196" s="12">
        <f t="shared" si="79"/>
        <v>-21.83049365104899</v>
      </c>
      <c r="AJ196" s="8">
        <f t="shared" si="80"/>
        <v>-55.409953943472019</v>
      </c>
      <c r="AL196" s="12">
        <f t="shared" si="81"/>
        <v>21.02874818950399</v>
      </c>
      <c r="AM196" s="8">
        <f t="shared" si="82"/>
        <v>163.07585391911167</v>
      </c>
    </row>
    <row r="197" spans="1:39" x14ac:dyDescent="0.25">
      <c r="A197" s="22">
        <f t="shared" si="84"/>
        <v>700000</v>
      </c>
      <c r="B197" s="8">
        <f t="shared" si="57"/>
        <v>4398229.7150257099</v>
      </c>
      <c r="C197" s="9">
        <f t="shared" si="58"/>
        <v>40.320708229946462</v>
      </c>
      <c r="D197" s="9">
        <f t="shared" si="59"/>
        <v>-1317.278029798834</v>
      </c>
      <c r="E197" s="9">
        <f t="shared" si="60"/>
        <v>-2723.8531919421689</v>
      </c>
      <c r="F197" s="9">
        <f t="shared" si="61"/>
        <v>69.616392600883785</v>
      </c>
      <c r="G197" s="9">
        <f t="shared" si="62"/>
        <v>41.787264669171094</v>
      </c>
      <c r="H197" s="9">
        <f t="shared" si="63"/>
        <v>3.156126605453407</v>
      </c>
      <c r="I197" s="9">
        <f t="shared" si="64"/>
        <v>0</v>
      </c>
      <c r="J197" s="9">
        <f t="shared" si="65"/>
        <v>60.394546225185351</v>
      </c>
      <c r="K197" s="9">
        <f t="shared" si="66"/>
        <v>0</v>
      </c>
      <c r="L197" s="9">
        <f t="shared" si="67"/>
        <v>-0.79473702796356593</v>
      </c>
      <c r="M197" s="9">
        <f t="shared" si="68"/>
        <v>3.6382156202692673</v>
      </c>
      <c r="N197" s="9">
        <f t="shared" si="69"/>
        <v>11.420207176055383</v>
      </c>
      <c r="O197" s="9">
        <f t="shared" si="85"/>
        <v>0.4194461128510989</v>
      </c>
      <c r="P197" s="9">
        <f t="shared" si="70"/>
        <v>0</v>
      </c>
      <c r="Q197" s="9">
        <f t="shared" si="71"/>
        <v>0</v>
      </c>
      <c r="R197" s="23">
        <f t="shared" si="72"/>
        <v>-56.586492610404655</v>
      </c>
      <c r="S197" s="8">
        <f t="shared" si="86"/>
        <v>-2.0212448001989589</v>
      </c>
      <c r="T197" s="8">
        <f t="shared" si="87"/>
        <v>1.5626560051940761</v>
      </c>
      <c r="U197" s="8">
        <f t="shared" si="88"/>
        <v>0.80191133946482573</v>
      </c>
      <c r="V197" s="8">
        <f t="shared" si="89"/>
        <v>0</v>
      </c>
      <c r="W197" s="8">
        <f t="shared" si="90"/>
        <v>1.5698407342457832</v>
      </c>
      <c r="X197" s="8">
        <f t="shared" si="91"/>
        <v>0</v>
      </c>
      <c r="Y197" s="8">
        <f t="shared" si="92"/>
        <v>1.7858595301682707</v>
      </c>
      <c r="Z197" s="8">
        <f t="shared" si="73"/>
        <v>0.30827979348067258</v>
      </c>
      <c r="AA197" s="8">
        <f t="shared" si="74"/>
        <v>0</v>
      </c>
      <c r="AB197" s="8">
        <f t="shared" si="75"/>
        <v>0</v>
      </c>
      <c r="AC197" s="8">
        <f t="shared" si="93"/>
        <v>-4.2619405069806273</v>
      </c>
      <c r="AD197" s="8">
        <f t="shared" si="76"/>
        <v>-318.64206789989225</v>
      </c>
      <c r="AF197" s="23">
        <f t="shared" si="77"/>
        <v>-55.316284284216948</v>
      </c>
      <c r="AG197" s="8">
        <f t="shared" si="78"/>
        <v>115.86753631713778</v>
      </c>
      <c r="AI197" s="12">
        <f t="shared" si="79"/>
        <v>-22.243480657322351</v>
      </c>
      <c r="AJ197" s="8">
        <f t="shared" si="80"/>
        <v>-56.404673352426776</v>
      </c>
      <c r="AL197" s="12">
        <f t="shared" si="81"/>
        <v>20.973272331134645</v>
      </c>
      <c r="AM197" s="8">
        <f t="shared" si="82"/>
        <v>161.91604647903557</v>
      </c>
    </row>
    <row r="198" spans="1:39" x14ac:dyDescent="0.25">
      <c r="A198" s="22">
        <f t="shared" si="84"/>
        <v>750000</v>
      </c>
      <c r="B198" s="8">
        <f t="shared" si="57"/>
        <v>4712388.9803846898</v>
      </c>
      <c r="C198" s="9">
        <f t="shared" si="58"/>
        <v>40.320708229946462</v>
      </c>
      <c r="D198" s="9">
        <f t="shared" si="59"/>
        <v>-1512.3293709425393</v>
      </c>
      <c r="E198" s="9">
        <f t="shared" si="60"/>
        <v>-3389.3680849347975</v>
      </c>
      <c r="F198" s="9">
        <f t="shared" si="61"/>
        <v>71.390902247592038</v>
      </c>
      <c r="G198" s="9">
        <f t="shared" si="62"/>
        <v>42.386492045153176</v>
      </c>
      <c r="H198" s="9">
        <f t="shared" si="63"/>
        <v>3.4759539683963276</v>
      </c>
      <c r="I198" s="9">
        <f t="shared" si="64"/>
        <v>0</v>
      </c>
      <c r="J198" s="9">
        <f t="shared" si="65"/>
        <v>60.993810181587953</v>
      </c>
      <c r="K198" s="9">
        <f t="shared" si="66"/>
        <v>0</v>
      </c>
      <c r="L198" s="9">
        <f t="shared" si="67"/>
        <v>-1.0602848535296041</v>
      </c>
      <c r="M198" s="9">
        <f t="shared" si="68"/>
        <v>3.8980881645742151</v>
      </c>
      <c r="N198" s="9">
        <f t="shared" si="69"/>
        <v>12.127014013639903</v>
      </c>
      <c r="O198" s="9">
        <f t="shared" si="85"/>
        <v>0.47820496733163631</v>
      </c>
      <c r="P198" s="9">
        <f t="shared" si="70"/>
        <v>0</v>
      </c>
      <c r="Q198" s="9">
        <f t="shared" si="71"/>
        <v>0</v>
      </c>
      <c r="R198" s="23">
        <f t="shared" si="72"/>
        <v>-58.806777166655564</v>
      </c>
      <c r="S198" s="8">
        <f t="shared" si="86"/>
        <v>-1.9904840393595167</v>
      </c>
      <c r="T198" s="8">
        <f t="shared" si="87"/>
        <v>1.5631986716710145</v>
      </c>
      <c r="U198" s="8">
        <f t="shared" si="88"/>
        <v>0.83632250792744689</v>
      </c>
      <c r="V198" s="8">
        <f t="shared" si="89"/>
        <v>0</v>
      </c>
      <c r="W198" s="8">
        <f t="shared" si="90"/>
        <v>1.5699044403807336</v>
      </c>
      <c r="X198" s="8">
        <f t="shared" si="91"/>
        <v>0</v>
      </c>
      <c r="Y198" s="8">
        <f t="shared" si="92"/>
        <v>1.8363724919062763</v>
      </c>
      <c r="Z198" s="8">
        <f t="shared" si="73"/>
        <v>0.32879313184079545</v>
      </c>
      <c r="AA198" s="8">
        <f t="shared" si="74"/>
        <v>0</v>
      </c>
      <c r="AB198" s="8">
        <f t="shared" si="75"/>
        <v>0</v>
      </c>
      <c r="AC198" s="8">
        <f t="shared" si="93"/>
        <v>-4.2927012678200693</v>
      </c>
      <c r="AD198" s="8">
        <f t="shared" si="76"/>
        <v>-322.47497977348399</v>
      </c>
      <c r="AF198" s="23">
        <f t="shared" si="77"/>
        <v>-57.090793930925201</v>
      </c>
      <c r="AG198" s="8">
        <f t="shared" si="78"/>
        <v>114.10418060022707</v>
      </c>
      <c r="AI198" s="12">
        <f t="shared" si="79"/>
        <v>-22.630460131963947</v>
      </c>
      <c r="AJ198" s="8">
        <f t="shared" si="80"/>
        <v>-57.327706087958369</v>
      </c>
      <c r="AL198" s="12">
        <f t="shared" si="81"/>
        <v>20.914476896233587</v>
      </c>
      <c r="AM198" s="8">
        <f t="shared" si="82"/>
        <v>160.76757894933357</v>
      </c>
    </row>
    <row r="199" spans="1:39" x14ac:dyDescent="0.25">
      <c r="A199" s="22">
        <f t="shared" si="84"/>
        <v>800000</v>
      </c>
      <c r="B199" s="8">
        <f t="shared" si="57"/>
        <v>5026548.2457436686</v>
      </c>
      <c r="C199" s="9">
        <f t="shared" si="58"/>
        <v>40.320708229946462</v>
      </c>
      <c r="D199" s="9">
        <f t="shared" si="59"/>
        <v>-1720.8325287168443</v>
      </c>
      <c r="E199" s="9">
        <f t="shared" si="60"/>
        <v>-4152.3217263503993</v>
      </c>
      <c r="F199" s="9">
        <f t="shared" si="61"/>
        <v>73.054167303842121</v>
      </c>
      <c r="G199" s="9">
        <f t="shared" si="62"/>
        <v>42.947036160192823</v>
      </c>
      <c r="H199" s="9">
        <f t="shared" si="63"/>
        <v>3.7936448201814805</v>
      </c>
      <c r="I199" s="9">
        <f t="shared" si="64"/>
        <v>0</v>
      </c>
      <c r="J199" s="9">
        <f t="shared" si="65"/>
        <v>61.554384235257011</v>
      </c>
      <c r="K199" s="9">
        <f t="shared" si="66"/>
        <v>0</v>
      </c>
      <c r="L199" s="9">
        <f t="shared" si="67"/>
        <v>-1.3441463222381276</v>
      </c>
      <c r="M199" s="9">
        <f t="shared" si="68"/>
        <v>4.1579607088791626</v>
      </c>
      <c r="N199" s="9">
        <f t="shared" si="69"/>
        <v>12.809280003593987</v>
      </c>
      <c r="O199" s="9">
        <f t="shared" si="85"/>
        <v>0.54014928719592847</v>
      </c>
      <c r="P199" s="9">
        <f t="shared" si="70"/>
        <v>0</v>
      </c>
      <c r="Q199" s="9">
        <f t="shared" si="71"/>
        <v>0</v>
      </c>
      <c r="R199" s="23">
        <f t="shared" si="72"/>
        <v>-60.896591619568284</v>
      </c>
      <c r="S199" s="8">
        <f t="shared" si="86"/>
        <v>-1.9636772242403402</v>
      </c>
      <c r="T199" s="8">
        <f t="shared" si="87"/>
        <v>1.5636735085201097</v>
      </c>
      <c r="U199" s="8">
        <f t="shared" si="88"/>
        <v>0.86829759989712341</v>
      </c>
      <c r="V199" s="8">
        <f t="shared" si="89"/>
        <v>0</v>
      </c>
      <c r="W199" s="8">
        <f t="shared" si="90"/>
        <v>1.5699601832547716</v>
      </c>
      <c r="X199" s="8">
        <f t="shared" si="91"/>
        <v>0</v>
      </c>
      <c r="Y199" s="8">
        <f t="shared" si="92"/>
        <v>1.8834632199281065</v>
      </c>
      <c r="Z199" s="8">
        <f t="shared" si="73"/>
        <v>0.34902333992612167</v>
      </c>
      <c r="AA199" s="8">
        <f t="shared" si="74"/>
        <v>0</v>
      </c>
      <c r="AB199" s="8">
        <f t="shared" si="75"/>
        <v>0</v>
      </c>
      <c r="AC199" s="8">
        <f t="shared" si="93"/>
        <v>-4.3195080829392456</v>
      </c>
      <c r="AD199" s="8">
        <f t="shared" si="76"/>
        <v>-326.01205251841492</v>
      </c>
      <c r="AF199" s="23">
        <f t="shared" si="77"/>
        <v>-58.754058987175284</v>
      </c>
      <c r="AG199" s="8">
        <f t="shared" si="78"/>
        <v>112.56748419212141</v>
      </c>
      <c r="AI199" s="12">
        <f t="shared" si="79"/>
        <v>-22.995035270132881</v>
      </c>
      <c r="AJ199" s="8">
        <f t="shared" si="80"/>
        <v>-58.194207517699667</v>
      </c>
      <c r="AL199" s="12">
        <f t="shared" si="81"/>
        <v>20.852502637739885</v>
      </c>
      <c r="AM199" s="8">
        <f t="shared" si="82"/>
        <v>159.63190998759839</v>
      </c>
    </row>
    <row r="200" spans="1:39" x14ac:dyDescent="0.25">
      <c r="A200" s="22">
        <f t="shared" si="84"/>
        <v>850000</v>
      </c>
      <c r="B200" s="8">
        <f t="shared" si="57"/>
        <v>5340707.5111026485</v>
      </c>
      <c r="C200" s="9">
        <f t="shared" si="58"/>
        <v>40.320708229946462</v>
      </c>
      <c r="D200" s="9">
        <f t="shared" si="59"/>
        <v>-1942.7875031217504</v>
      </c>
      <c r="E200" s="9">
        <f t="shared" si="60"/>
        <v>-5019.2100327505077</v>
      </c>
      <c r="F200" s="9">
        <f t="shared" si="61"/>
        <v>74.619019096397878</v>
      </c>
      <c r="G200" s="9">
        <f t="shared" si="62"/>
        <v>43.473589775368957</v>
      </c>
      <c r="H200" s="9">
        <f t="shared" si="63"/>
        <v>4.1080950149215116</v>
      </c>
      <c r="I200" s="9">
        <f t="shared" si="64"/>
        <v>0</v>
      </c>
      <c r="J200" s="9">
        <f t="shared" si="65"/>
        <v>62.080962662997479</v>
      </c>
      <c r="K200" s="9">
        <f t="shared" si="66"/>
        <v>0</v>
      </c>
      <c r="L200" s="9">
        <f t="shared" si="67"/>
        <v>-1.6463214340891366</v>
      </c>
      <c r="M200" s="9">
        <f t="shared" si="68"/>
        <v>4.4178332531841109</v>
      </c>
      <c r="N200" s="9">
        <f t="shared" si="69"/>
        <v>13.468930596209137</v>
      </c>
      <c r="O200" s="9">
        <f t="shared" si="85"/>
        <v>0.60513336271831752</v>
      </c>
      <c r="P200" s="9">
        <f t="shared" si="70"/>
        <v>0</v>
      </c>
      <c r="Q200" s="9">
        <f t="shared" si="71"/>
        <v>0</v>
      </c>
      <c r="R200" s="23">
        <f t="shared" si="72"/>
        <v>-62.871652698085882</v>
      </c>
      <c r="S200" s="8">
        <f t="shared" si="86"/>
        <v>-1.9401070242086953</v>
      </c>
      <c r="T200" s="8">
        <f t="shared" si="87"/>
        <v>1.564092484884898</v>
      </c>
      <c r="U200" s="8">
        <f t="shared" si="88"/>
        <v>0.89802758707462405</v>
      </c>
      <c r="V200" s="8">
        <f t="shared" si="89"/>
        <v>0</v>
      </c>
      <c r="W200" s="8">
        <f t="shared" si="90"/>
        <v>1.570009368147955</v>
      </c>
      <c r="X200" s="8">
        <f t="shared" si="91"/>
        <v>0</v>
      </c>
      <c r="Y200" s="8">
        <f t="shared" si="92"/>
        <v>1.9275082876982808</v>
      </c>
      <c r="Z200" s="8">
        <f t="shared" si="73"/>
        <v>0.36896003087891033</v>
      </c>
      <c r="AA200" s="8">
        <f t="shared" si="74"/>
        <v>0</v>
      </c>
      <c r="AB200" s="8">
        <f t="shared" si="75"/>
        <v>0</v>
      </c>
      <c r="AC200" s="8">
        <f t="shared" si="93"/>
        <v>-4.3430782829708914</v>
      </c>
      <c r="AD200" s="8">
        <f t="shared" si="76"/>
        <v>-329.30381996228579</v>
      </c>
      <c r="AF200" s="23">
        <f t="shared" si="77"/>
        <v>-60.318910779731041</v>
      </c>
      <c r="AG200" s="8">
        <f t="shared" si="78"/>
        <v>111.21632622852394</v>
      </c>
      <c r="AI200" s="12">
        <f t="shared" si="79"/>
        <v>-23.340235668007999</v>
      </c>
      <c r="AJ200" s="8">
        <f t="shared" si="80"/>
        <v>-59.01481723320326</v>
      </c>
      <c r="AL200" s="12">
        <f t="shared" si="81"/>
        <v>20.787493749653162</v>
      </c>
      <c r="AM200" s="8">
        <f t="shared" si="82"/>
        <v>158.51024059058787</v>
      </c>
    </row>
    <row r="201" spans="1:39" x14ac:dyDescent="0.25">
      <c r="A201" s="22">
        <f t="shared" si="84"/>
        <v>900000</v>
      </c>
      <c r="B201" s="8">
        <f t="shared" si="57"/>
        <v>5654866.7764616273</v>
      </c>
      <c r="C201" s="9">
        <f t="shared" si="58"/>
        <v>40.320708229946462</v>
      </c>
      <c r="D201" s="9">
        <f t="shared" si="59"/>
        <v>-2178.1942941572561</v>
      </c>
      <c r="E201" s="9">
        <f t="shared" si="60"/>
        <v>-5996.5289206966536</v>
      </c>
      <c r="F201" s="9">
        <f t="shared" si="61"/>
        <v>76.096252406898827</v>
      </c>
      <c r="G201" s="9">
        <f t="shared" si="62"/>
        <v>43.970040366043662</v>
      </c>
      <c r="H201" s="9">
        <f t="shared" si="63"/>
        <v>4.4184565123985582</v>
      </c>
      <c r="I201" s="9">
        <f t="shared" si="64"/>
        <v>0</v>
      </c>
      <c r="J201" s="9">
        <f t="shared" si="65"/>
        <v>62.577434046954671</v>
      </c>
      <c r="K201" s="9">
        <f t="shared" si="66"/>
        <v>0</v>
      </c>
      <c r="L201" s="9">
        <f t="shared" si="67"/>
        <v>-1.9668101890826297</v>
      </c>
      <c r="M201" s="9">
        <f t="shared" si="68"/>
        <v>4.6777057974890583</v>
      </c>
      <c r="N201" s="9">
        <f t="shared" si="69"/>
        <v>14.107649860620485</v>
      </c>
      <c r="O201" s="9">
        <f t="shared" si="85"/>
        <v>0.67300958541082778</v>
      </c>
      <c r="P201" s="9">
        <f t="shared" si="70"/>
        <v>0</v>
      </c>
      <c r="Q201" s="9">
        <f t="shared" si="71"/>
        <v>0</v>
      </c>
      <c r="R201" s="23">
        <f t="shared" si="72"/>
        <v>-64.745140791496127</v>
      </c>
      <c r="S201" s="8">
        <f t="shared" si="86"/>
        <v>-1.9192194417039079</v>
      </c>
      <c r="T201" s="8">
        <f t="shared" si="87"/>
        <v>1.5644649103007418</v>
      </c>
      <c r="U201" s="8">
        <f t="shared" si="88"/>
        <v>0.92569353542719701</v>
      </c>
      <c r="V201" s="8">
        <f t="shared" si="89"/>
        <v>0</v>
      </c>
      <c r="W201" s="8">
        <f t="shared" si="90"/>
        <v>1.5700530880562109</v>
      </c>
      <c r="X201" s="8">
        <f t="shared" si="91"/>
        <v>0</v>
      </c>
      <c r="Y201" s="8">
        <f t="shared" si="92"/>
        <v>1.9688192758776892</v>
      </c>
      <c r="Z201" s="8">
        <f t="shared" si="73"/>
        <v>0.38859404933413039</v>
      </c>
      <c r="AA201" s="8">
        <f t="shared" si="74"/>
        <v>0</v>
      </c>
      <c r="AB201" s="8">
        <f t="shared" si="75"/>
        <v>0</v>
      </c>
      <c r="AC201" s="8">
        <f t="shared" si="93"/>
        <v>-4.3639658654756781</v>
      </c>
      <c r="AD201" s="8">
        <f t="shared" si="76"/>
        <v>-332.3885064314855</v>
      </c>
      <c r="AF201" s="23">
        <f t="shared" si="77"/>
        <v>-61.796144090231991</v>
      </c>
      <c r="AG201" s="8">
        <f t="shared" si="78"/>
        <v>110.01894888748517</v>
      </c>
      <c r="AI201" s="12">
        <f t="shared" si="79"/>
        <v>-23.668593434942302</v>
      </c>
      <c r="AJ201" s="8">
        <f t="shared" si="80"/>
        <v>-59.797016968499562</v>
      </c>
      <c r="AL201" s="12">
        <f t="shared" si="81"/>
        <v>20.719596733678163</v>
      </c>
      <c r="AM201" s="8">
        <f t="shared" si="82"/>
        <v>157.40356659995928</v>
      </c>
    </row>
    <row r="202" spans="1:39" x14ac:dyDescent="0.25">
      <c r="A202" s="22">
        <f t="shared" si="84"/>
        <v>950000</v>
      </c>
      <c r="B202" s="8">
        <f t="shared" si="57"/>
        <v>5969026.0418206071</v>
      </c>
      <c r="C202" s="9">
        <f t="shared" si="58"/>
        <v>40.320708229946462</v>
      </c>
      <c r="D202" s="9">
        <f t="shared" si="59"/>
        <v>-2427.0529018233628</v>
      </c>
      <c r="E202" s="9">
        <f t="shared" si="60"/>
        <v>-7090.7743067503707</v>
      </c>
      <c r="F202" s="9">
        <f t="shared" si="61"/>
        <v>77.495018418963085</v>
      </c>
      <c r="G202" s="9">
        <f t="shared" si="62"/>
        <v>44.439644439713106</v>
      </c>
      <c r="H202" s="9">
        <f t="shared" si="63"/>
        <v>4.7240924639895434</v>
      </c>
      <c r="I202" s="9">
        <f t="shared" si="64"/>
        <v>0</v>
      </c>
      <c r="J202" s="9">
        <f t="shared" si="65"/>
        <v>63.047055718058196</v>
      </c>
      <c r="K202" s="9">
        <f t="shared" si="66"/>
        <v>0</v>
      </c>
      <c r="L202" s="9">
        <f t="shared" si="67"/>
        <v>-2.3056125872186102</v>
      </c>
      <c r="M202" s="9">
        <f t="shared" si="68"/>
        <v>4.9375783417940058</v>
      </c>
      <c r="N202" s="9">
        <f t="shared" si="69"/>
        <v>14.726910704091068</v>
      </c>
      <c r="O202" s="9">
        <f t="shared" si="85"/>
        <v>0.74362933647643581</v>
      </c>
      <c r="P202" s="9">
        <f t="shared" si="70"/>
        <v>0</v>
      </c>
      <c r="Q202" s="9">
        <f t="shared" si="71"/>
        <v>0</v>
      </c>
      <c r="R202" s="23">
        <f t="shared" si="72"/>
        <v>-66.52816904393967</v>
      </c>
      <c r="S202" s="8">
        <f t="shared" si="86"/>
        <v>-1.9005800169535256</v>
      </c>
      <c r="T202" s="8">
        <f t="shared" si="87"/>
        <v>1.5647981345330892</v>
      </c>
      <c r="U202" s="8">
        <f t="shared" si="88"/>
        <v>0.95146495616363724</v>
      </c>
      <c r="V202" s="8">
        <f t="shared" si="89"/>
        <v>0</v>
      </c>
      <c r="W202" s="8">
        <f t="shared" si="90"/>
        <v>1.5700922058712741</v>
      </c>
      <c r="X202" s="8">
        <f t="shared" si="91"/>
        <v>0</v>
      </c>
      <c r="Y202" s="8">
        <f t="shared" si="92"/>
        <v>2.007657851584657</v>
      </c>
      <c r="Z202" s="8">
        <f t="shared" si="73"/>
        <v>0.40791744827888249</v>
      </c>
      <c r="AA202" s="8">
        <f t="shared" si="74"/>
        <v>0</v>
      </c>
      <c r="AB202" s="8">
        <f t="shared" si="75"/>
        <v>0</v>
      </c>
      <c r="AC202" s="8">
        <f t="shared" si="93"/>
        <v>-4.3826052902260608</v>
      </c>
      <c r="AD202" s="8">
        <f t="shared" si="76"/>
        <v>-335.29545778123253</v>
      </c>
      <c r="AF202" s="23">
        <f t="shared" si="77"/>
        <v>-63.194910102296248</v>
      </c>
      <c r="AG202" s="8">
        <f t="shared" si="78"/>
        <v>108.95044683173077</v>
      </c>
      <c r="AI202" s="12">
        <f t="shared" si="79"/>
        <v>-23.982218326821901</v>
      </c>
      <c r="AJ202" s="8">
        <f t="shared" si="80"/>
        <v>-60.546089546427879</v>
      </c>
      <c r="AL202" s="12">
        <f t="shared" si="81"/>
        <v>20.648959385178475</v>
      </c>
      <c r="AM202" s="8">
        <f t="shared" si="82"/>
        <v>156.31271543596429</v>
      </c>
    </row>
    <row r="203" spans="1:39" x14ac:dyDescent="0.25">
      <c r="A203" s="22">
        <f t="shared" si="84"/>
        <v>1000000</v>
      </c>
      <c r="B203" s="8">
        <f t="shared" si="57"/>
        <v>6283185.307179586</v>
      </c>
      <c r="C203" s="9">
        <f t="shared" si="58"/>
        <v>40.320708229946462</v>
      </c>
      <c r="D203" s="9">
        <f t="shared" si="59"/>
        <v>-2689.3633261200694</v>
      </c>
      <c r="E203" s="9">
        <f t="shared" si="60"/>
        <v>-8308.4421074731854</v>
      </c>
      <c r="F203" s="9">
        <f t="shared" si="61"/>
        <v>78.823132324775173</v>
      </c>
      <c r="G203" s="9">
        <f t="shared" si="62"/>
        <v>44.885157099539995</v>
      </c>
      <c r="H203" s="9">
        <f t="shared" si="63"/>
        <v>5.0245383403680997</v>
      </c>
      <c r="I203" s="9">
        <f t="shared" si="64"/>
        <v>0</v>
      </c>
      <c r="J203" s="9">
        <f t="shared" si="65"/>
        <v>63.492583402346966</v>
      </c>
      <c r="K203" s="9">
        <f t="shared" si="66"/>
        <v>0</v>
      </c>
      <c r="L203" s="9">
        <f t="shared" si="67"/>
        <v>-2.6627286284970744</v>
      </c>
      <c r="M203" s="9">
        <f t="shared" si="68"/>
        <v>5.1974508860989532</v>
      </c>
      <c r="N203" s="9">
        <f t="shared" si="69"/>
        <v>15.328004736887648</v>
      </c>
      <c r="O203" s="9">
        <f t="shared" si="85"/>
        <v>0.816843818734455</v>
      </c>
      <c r="P203" s="9">
        <f t="shared" si="70"/>
        <v>0</v>
      </c>
      <c r="Q203" s="9">
        <f t="shared" si="71"/>
        <v>0</v>
      </c>
      <c r="R203" s="23">
        <f t="shared" si="72"/>
        <v>-68.230160612889691</v>
      </c>
      <c r="S203" s="8">
        <f t="shared" si="86"/>
        <v>-1.883843322937012</v>
      </c>
      <c r="T203" s="8">
        <f t="shared" si="87"/>
        <v>1.5650980374832395</v>
      </c>
      <c r="U203" s="8">
        <f t="shared" si="88"/>
        <v>0.97549906405395614</v>
      </c>
      <c r="V203" s="8">
        <f t="shared" si="89"/>
        <v>0</v>
      </c>
      <c r="W203" s="8">
        <f t="shared" si="90"/>
        <v>1.570127411906677</v>
      </c>
      <c r="X203" s="8">
        <f t="shared" si="91"/>
        <v>0</v>
      </c>
      <c r="Y203" s="8">
        <f t="shared" si="92"/>
        <v>2.0442468071152824</v>
      </c>
      <c r="Z203" s="8">
        <f t="shared" si="73"/>
        <v>0.42692345716706931</v>
      </c>
      <c r="AA203" s="8">
        <f t="shared" si="74"/>
        <v>0</v>
      </c>
      <c r="AB203" s="8">
        <f t="shared" si="75"/>
        <v>0</v>
      </c>
      <c r="AC203" s="8">
        <f t="shared" si="93"/>
        <v>-4.3993419842425743</v>
      </c>
      <c r="AD203" s="8">
        <f t="shared" si="76"/>
        <v>-338.04753757221596</v>
      </c>
      <c r="AF203" s="23">
        <f t="shared" si="77"/>
        <v>-64.523024008108337</v>
      </c>
      <c r="AG203" s="8">
        <f t="shared" si="78"/>
        <v>107.99101851231279</v>
      </c>
      <c r="AI203" s="12">
        <f t="shared" si="79"/>
        <v>-24.282866483239925</v>
      </c>
      <c r="AJ203" s="8">
        <f t="shared" si="80"/>
        <v>-61.265794188228895</v>
      </c>
      <c r="AL203" s="12">
        <f t="shared" si="81"/>
        <v>20.575729878458574</v>
      </c>
      <c r="AM203" s="8">
        <f t="shared" si="82"/>
        <v>155.23837271137222</v>
      </c>
    </row>
    <row r="204" spans="1:39" x14ac:dyDescent="0.25">
      <c r="A204" s="22">
        <f>A203+500000</f>
        <v>1500000</v>
      </c>
      <c r="B204" s="8">
        <f t="shared" si="57"/>
        <v>9424777.9607693795</v>
      </c>
      <c r="C204" s="9">
        <f t="shared" si="58"/>
        <v>40.320708229946462</v>
      </c>
      <c r="D204" s="9">
        <f t="shared" si="59"/>
        <v>-6052.3174837701572</v>
      </c>
      <c r="E204" s="9">
        <f t="shared" si="60"/>
        <v>-28702.454565038883</v>
      </c>
      <c r="F204" s="9">
        <f t="shared" si="61"/>
        <v>89.347314155043819</v>
      </c>
      <c r="G204" s="9">
        <f t="shared" si="62"/>
        <v>48.406903937686927</v>
      </c>
      <c r="H204" s="9">
        <f t="shared" si="63"/>
        <v>7.7125227075569489</v>
      </c>
      <c r="I204" s="9">
        <f t="shared" si="64"/>
        <v>0</v>
      </c>
      <c r="J204" s="9">
        <f t="shared" si="65"/>
        <v>67.014407503883845</v>
      </c>
      <c r="K204" s="9">
        <f t="shared" si="66"/>
        <v>0</v>
      </c>
      <c r="L204" s="9">
        <f t="shared" si="67"/>
        <v>-7.2411394141184164</v>
      </c>
      <c r="M204" s="9">
        <f t="shared" si="68"/>
        <v>7.7961763291484303</v>
      </c>
      <c r="N204" s="9">
        <f t="shared" si="69"/>
        <v>20.539019200409324</v>
      </c>
      <c r="O204" s="9">
        <f t="shared" si="85"/>
        <v>1.6601749447137848</v>
      </c>
      <c r="P204" s="9">
        <f t="shared" si="70"/>
        <v>0</v>
      </c>
      <c r="Q204" s="9">
        <f t="shared" si="71"/>
        <v>0</v>
      </c>
      <c r="R204" s="23">
        <f t="shared" si="72"/>
        <v>-82.120780928860441</v>
      </c>
      <c r="S204" s="8">
        <f t="shared" si="86"/>
        <v>-1.7786159875460221</v>
      </c>
      <c r="T204" s="8">
        <f t="shared" si="87"/>
        <v>1.5669974444109387</v>
      </c>
      <c r="U204" s="8">
        <f t="shared" si="88"/>
        <v>1.1466928883529985</v>
      </c>
      <c r="V204" s="8">
        <f t="shared" si="89"/>
        <v>0</v>
      </c>
      <c r="W204" s="8">
        <f t="shared" si="90"/>
        <v>1.5703503834991324</v>
      </c>
      <c r="X204" s="8">
        <f t="shared" si="91"/>
        <v>0</v>
      </c>
      <c r="Y204" s="8">
        <f t="shared" si="92"/>
        <v>2.319300600985557</v>
      </c>
      <c r="Z204" s="8">
        <f t="shared" si="73"/>
        <v>0.59878452780322922</v>
      </c>
      <c r="AA204" s="8">
        <f t="shared" si="74"/>
        <v>0</v>
      </c>
      <c r="AB204" s="8">
        <f t="shared" si="75"/>
        <v>0</v>
      </c>
      <c r="AC204" s="8">
        <f t="shared" si="93"/>
        <v>-4.5045693196335641</v>
      </c>
      <c r="AD204" s="8">
        <f t="shared" si="76"/>
        <v>-359.77821903703165</v>
      </c>
      <c r="AF204" s="23">
        <f t="shared" si="77"/>
        <v>-75.047205838376982</v>
      </c>
      <c r="AG204" s="8">
        <f t="shared" si="78"/>
        <v>101.95887826696941</v>
      </c>
      <c r="AI204" s="12">
        <f t="shared" si="79"/>
        <v>-26.805896579572753</v>
      </c>
      <c r="AJ204" s="8">
        <f t="shared" si="80"/>
        <v>-67.219550405688054</v>
      </c>
      <c r="AL204" s="12">
        <f t="shared" si="81"/>
        <v>19.732321489089298</v>
      </c>
      <c r="AM204" s="8">
        <f t="shared" si="82"/>
        <v>145.48256559221142</v>
      </c>
    </row>
    <row r="205" spans="1:39" x14ac:dyDescent="0.25">
      <c r="A205" s="22">
        <f t="shared" ref="A205:A221" si="94">A204+500000</f>
        <v>2000000</v>
      </c>
      <c r="B205" s="8">
        <f t="shared" si="57"/>
        <v>12566370.614359172</v>
      </c>
      <c r="C205" s="9">
        <f t="shared" si="58"/>
        <v>40.320708229946462</v>
      </c>
      <c r="D205" s="9">
        <f t="shared" si="59"/>
        <v>-10760.453304480277</v>
      </c>
      <c r="E205" s="9">
        <f t="shared" si="60"/>
        <v>-68584.216707199492</v>
      </c>
      <c r="F205" s="9">
        <f t="shared" si="61"/>
        <v>96.830093860375086</v>
      </c>
      <c r="G205" s="9">
        <f t="shared" si="62"/>
        <v>50.905651249480705</v>
      </c>
      <c r="H205" s="9">
        <f t="shared" si="63"/>
        <v>9.8770122372470777</v>
      </c>
      <c r="I205" s="9">
        <f t="shared" si="64"/>
        <v>0</v>
      </c>
      <c r="J205" s="9">
        <f t="shared" si="65"/>
        <v>69.513181858197925</v>
      </c>
      <c r="K205" s="9">
        <f t="shared" si="66"/>
        <v>0</v>
      </c>
      <c r="L205" s="9">
        <f t="shared" si="67"/>
        <v>-13.650914513988297</v>
      </c>
      <c r="M205" s="9">
        <f t="shared" si="68"/>
        <v>10.394901772197906</v>
      </c>
      <c r="N205" s="9">
        <f t="shared" si="69"/>
        <v>24.689399445632606</v>
      </c>
      <c r="O205" s="9">
        <f t="shared" si="85"/>
        <v>2.6191573782877366</v>
      </c>
      <c r="P205" s="9">
        <f t="shared" si="70"/>
        <v>0</v>
      </c>
      <c r="Q205" s="9">
        <f t="shared" si="71"/>
        <v>0</v>
      </c>
      <c r="R205" s="23">
        <f t="shared" si="72"/>
        <v>-92.548460825819106</v>
      </c>
      <c r="S205" s="8">
        <f t="shared" si="86"/>
        <v>-1.7264216761373732</v>
      </c>
      <c r="T205" s="8">
        <f t="shared" si="87"/>
        <v>1.5679471590105916</v>
      </c>
      <c r="U205" s="8">
        <f t="shared" si="88"/>
        <v>1.2442885793647906</v>
      </c>
      <c r="V205" s="8">
        <f t="shared" si="89"/>
        <v>0</v>
      </c>
      <c r="W205" s="8">
        <f t="shared" si="90"/>
        <v>1.5704618693133738</v>
      </c>
      <c r="X205" s="8">
        <f t="shared" si="91"/>
        <v>0</v>
      </c>
      <c r="Y205" s="8">
        <f t="shared" si="92"/>
        <v>2.4907845818739673</v>
      </c>
      <c r="Z205" s="8">
        <f t="shared" si="73"/>
        <v>0.73820602123193568</v>
      </c>
      <c r="AA205" s="8">
        <f t="shared" si="74"/>
        <v>0</v>
      </c>
      <c r="AB205" s="8">
        <f t="shared" si="75"/>
        <v>0</v>
      </c>
      <c r="AC205" s="8">
        <f t="shared" si="93"/>
        <v>-4.5567636310422133</v>
      </c>
      <c r="AD205" s="8">
        <f t="shared" si="76"/>
        <v>-374.94245613591363</v>
      </c>
      <c r="AF205" s="23">
        <f t="shared" si="77"/>
        <v>-82.52998554370825</v>
      </c>
      <c r="AG205" s="8">
        <f t="shared" si="78"/>
        <v>98.966847676664713</v>
      </c>
      <c r="AI205" s="12">
        <f t="shared" si="79"/>
        <v>-28.791787295105898</v>
      </c>
      <c r="AJ205" s="8">
        <f t="shared" si="80"/>
        <v>-71.455184857213951</v>
      </c>
      <c r="AL205" s="12">
        <f t="shared" si="81"/>
        <v>18.773312012995042</v>
      </c>
      <c r="AM205" s="8">
        <f t="shared" si="82"/>
        <v>137.53830201393336</v>
      </c>
    </row>
    <row r="206" spans="1:39" x14ac:dyDescent="0.25">
      <c r="A206" s="22">
        <f t="shared" si="94"/>
        <v>2500000</v>
      </c>
      <c r="B206" s="8">
        <f t="shared" si="57"/>
        <v>15707963.267948966</v>
      </c>
      <c r="C206" s="9">
        <f t="shared" si="58"/>
        <v>40.320708229946462</v>
      </c>
      <c r="D206" s="9">
        <f t="shared" si="59"/>
        <v>-16813.770788250436</v>
      </c>
      <c r="E206" s="9">
        <f t="shared" si="60"/>
        <v>-134449.64509548672</v>
      </c>
      <c r="F206" s="9">
        <f t="shared" si="61"/>
        <v>102.63858719476536</v>
      </c>
      <c r="G206" s="9">
        <f t="shared" si="62"/>
        <v>52.843838817868082</v>
      </c>
      <c r="H206" s="9">
        <f t="shared" si="63"/>
        <v>11.651321780656261</v>
      </c>
      <c r="I206" s="9">
        <f t="shared" si="64"/>
        <v>0</v>
      </c>
      <c r="J206" s="9">
        <f t="shared" si="65"/>
        <v>71.451381943467581</v>
      </c>
      <c r="K206" s="9">
        <f t="shared" si="66"/>
        <v>0</v>
      </c>
      <c r="L206" s="9">
        <f t="shared" si="67"/>
        <v>-21.892053928106716</v>
      </c>
      <c r="M206" s="9">
        <f t="shared" si="68"/>
        <v>12.993627215247384</v>
      </c>
      <c r="N206" s="9">
        <f t="shared" si="69"/>
        <v>28.11639591246707</v>
      </c>
      <c r="O206" s="9">
        <f t="shared" si="85"/>
        <v>3.6047080161625331</v>
      </c>
      <c r="P206" s="9">
        <f t="shared" si="70"/>
        <v>0</v>
      </c>
      <c r="Q206" s="9">
        <f t="shared" si="71"/>
        <v>0</v>
      </c>
      <c r="R206" s="23">
        <f t="shared" si="72"/>
        <v>-100.99520423839174</v>
      </c>
      <c r="S206" s="8">
        <f t="shared" si="86"/>
        <v>-1.6952067228473613</v>
      </c>
      <c r="T206" s="8">
        <f t="shared" si="87"/>
        <v>1.5685169903470826</v>
      </c>
      <c r="U206" s="8">
        <f t="shared" si="88"/>
        <v>1.306243942544397</v>
      </c>
      <c r="V206" s="8">
        <f t="shared" si="89"/>
        <v>0</v>
      </c>
      <c r="W206" s="8">
        <f t="shared" si="90"/>
        <v>1.5705287608060867</v>
      </c>
      <c r="X206" s="8">
        <f t="shared" si="91"/>
        <v>0</v>
      </c>
      <c r="Y206" s="8">
        <f t="shared" si="92"/>
        <v>2.6059428572235994</v>
      </c>
      <c r="Z206" s="8">
        <f t="shared" si="73"/>
        <v>0.84953099291620593</v>
      </c>
      <c r="AA206" s="8">
        <f t="shared" si="74"/>
        <v>0</v>
      </c>
      <c r="AB206" s="8">
        <f t="shared" si="75"/>
        <v>0</v>
      </c>
      <c r="AC206" s="8">
        <f t="shared" si="93"/>
        <v>-4.5879785843322249</v>
      </c>
      <c r="AD206" s="8">
        <f t="shared" si="76"/>
        <v>-386.12887824380158</v>
      </c>
      <c r="AF206" s="23">
        <f t="shared" si="77"/>
        <v>-88.338478878098528</v>
      </c>
      <c r="AG206" s="8">
        <f t="shared" si="78"/>
        <v>97.177455449848736</v>
      </c>
      <c r="AI206" s="12">
        <f t="shared" si="79"/>
        <v>-30.444474218531184</v>
      </c>
      <c r="AJ206" s="8">
        <f t="shared" si="80"/>
        <v>-74.505033325559367</v>
      </c>
      <c r="AL206" s="12">
        <f t="shared" si="81"/>
        <v>17.787748858237968</v>
      </c>
      <c r="AM206" s="8">
        <f t="shared" si="82"/>
        <v>131.18544668549751</v>
      </c>
    </row>
    <row r="207" spans="1:39" x14ac:dyDescent="0.25">
      <c r="A207" s="22">
        <f t="shared" si="94"/>
        <v>3000000</v>
      </c>
      <c r="B207" s="8">
        <f t="shared" si="57"/>
        <v>18849555.921538759</v>
      </c>
      <c r="C207" s="9">
        <f t="shared" si="58"/>
        <v>40.320708229946462</v>
      </c>
      <c r="D207" s="9">
        <f t="shared" si="59"/>
        <v>-24212.269935080629</v>
      </c>
      <c r="E207" s="9">
        <f t="shared" si="60"/>
        <v>-232794.65629143207</v>
      </c>
      <c r="F207" s="9">
        <f t="shared" si="61"/>
        <v>107.3861874582889</v>
      </c>
      <c r="G207" s="9">
        <f t="shared" si="62"/>
        <v>54.427456844508171</v>
      </c>
      <c r="H207" s="9">
        <f t="shared" si="63"/>
        <v>13.143257388842777</v>
      </c>
      <c r="I207" s="9">
        <f t="shared" si="64"/>
        <v>0</v>
      </c>
      <c r="J207" s="9">
        <f t="shared" si="65"/>
        <v>73.035006769417294</v>
      </c>
      <c r="K207" s="9">
        <f t="shared" si="66"/>
        <v>0</v>
      </c>
      <c r="L207" s="9">
        <f t="shared" si="67"/>
        <v>-31.964557656473666</v>
      </c>
      <c r="M207" s="9">
        <f t="shared" si="68"/>
        <v>15.592352658296861</v>
      </c>
      <c r="N207" s="9">
        <f t="shared" si="69"/>
        <v>31.020405384627029</v>
      </c>
      <c r="O207" s="9">
        <f t="shared" si="85"/>
        <v>4.5673449748514976</v>
      </c>
      <c r="P207" s="9">
        <f t="shared" si="70"/>
        <v>0</v>
      </c>
      <c r="Q207" s="9">
        <f t="shared" si="71"/>
        <v>0</v>
      </c>
      <c r="R207" s="23">
        <f t="shared" si="72"/>
        <v>-108.11752212388731</v>
      </c>
      <c r="S207" s="8">
        <f t="shared" si="86"/>
        <v>-1.6744306953884911</v>
      </c>
      <c r="T207" s="8">
        <f t="shared" si="87"/>
        <v>1.5688968787499431</v>
      </c>
      <c r="U207" s="8">
        <f t="shared" si="88"/>
        <v>1.3487665281478143</v>
      </c>
      <c r="V207" s="8">
        <f t="shared" si="89"/>
        <v>0</v>
      </c>
      <c r="W207" s="8">
        <f t="shared" si="90"/>
        <v>1.5705733551359291</v>
      </c>
      <c r="X207" s="8">
        <f t="shared" si="91"/>
        <v>0</v>
      </c>
      <c r="Y207" s="8">
        <f t="shared" si="92"/>
        <v>2.6877515454095686</v>
      </c>
      <c r="Z207" s="8">
        <f t="shared" si="73"/>
        <v>0.93842201050928986</v>
      </c>
      <c r="AA207" s="8">
        <f t="shared" si="74"/>
        <v>0</v>
      </c>
      <c r="AB207" s="8">
        <f t="shared" si="75"/>
        <v>0</v>
      </c>
      <c r="AC207" s="8">
        <f t="shared" si="93"/>
        <v>-4.6087546117910954</v>
      </c>
      <c r="AD207" s="8">
        <f t="shared" si="76"/>
        <v>-394.64405401316816</v>
      </c>
      <c r="AF207" s="23">
        <f t="shared" si="77"/>
        <v>-93.086079141622065</v>
      </c>
      <c r="AG207" s="8">
        <f t="shared" si="78"/>
        <v>95.98647298405362</v>
      </c>
      <c r="AI207" s="12">
        <f t="shared" si="79"/>
        <v>-31.856548082504624</v>
      </c>
      <c r="AJ207" s="8">
        <f t="shared" si="80"/>
        <v>-76.757102900355349</v>
      </c>
      <c r="AL207" s="12">
        <f t="shared" si="81"/>
        <v>16.82510510023938</v>
      </c>
      <c r="AM207" s="8">
        <f t="shared" si="82"/>
        <v>126.1090039359396</v>
      </c>
    </row>
    <row r="208" spans="1:39" x14ac:dyDescent="0.25">
      <c r="A208" s="22">
        <f t="shared" si="94"/>
        <v>3500000</v>
      </c>
      <c r="B208" s="8">
        <f t="shared" si="57"/>
        <v>21991148.575128552</v>
      </c>
      <c r="C208" s="9">
        <f t="shared" si="58"/>
        <v>40.320708229946462</v>
      </c>
      <c r="D208" s="9">
        <f t="shared" si="59"/>
        <v>-32955.950744970854</v>
      </c>
      <c r="E208" s="9">
        <f t="shared" si="60"/>
        <v>-370115.16685656726</v>
      </c>
      <c r="F208" s="9">
        <f t="shared" si="61"/>
        <v>111.40103512788153</v>
      </c>
      <c r="G208" s="9">
        <f t="shared" si="62"/>
        <v>55.766388480062218</v>
      </c>
      <c r="H208" s="9">
        <f t="shared" si="63"/>
        <v>14.425957156911744</v>
      </c>
      <c r="I208" s="9">
        <f t="shared" si="64"/>
        <v>0</v>
      </c>
      <c r="J208" s="9">
        <f t="shared" si="65"/>
        <v>74.373942504745884</v>
      </c>
      <c r="K208" s="9">
        <f t="shared" si="66"/>
        <v>0</v>
      </c>
      <c r="L208" s="9">
        <f t="shared" si="67"/>
        <v>-43.868425699089158</v>
      </c>
      <c r="M208" s="9">
        <f t="shared" si="68"/>
        <v>18.191078101346339</v>
      </c>
      <c r="N208" s="9">
        <f t="shared" si="69"/>
        <v>33.532147368045933</v>
      </c>
      <c r="O208" s="9">
        <f t="shared" si="85"/>
        <v>5.4838582836487006</v>
      </c>
      <c r="P208" s="9">
        <f t="shared" si="70"/>
        <v>0</v>
      </c>
      <c r="Q208" s="9">
        <f t="shared" si="71"/>
        <v>0</v>
      </c>
      <c r="R208" s="23">
        <f t="shared" si="72"/>
        <v>-114.27792941740161</v>
      </c>
      <c r="S208" s="8">
        <f t="shared" si="86"/>
        <v>-1.6596045357676075</v>
      </c>
      <c r="T208" s="8">
        <f t="shared" si="87"/>
        <v>1.5691682279511796</v>
      </c>
      <c r="U208" s="8">
        <f t="shared" si="88"/>
        <v>1.379657109323686</v>
      </c>
      <c r="V208" s="8">
        <f t="shared" si="89"/>
        <v>0</v>
      </c>
      <c r="W208" s="8">
        <f t="shared" si="90"/>
        <v>1.570605208229227</v>
      </c>
      <c r="X208" s="8">
        <f t="shared" si="91"/>
        <v>0</v>
      </c>
      <c r="Y208" s="8">
        <f t="shared" si="92"/>
        <v>2.7485009673331877</v>
      </c>
      <c r="Z208" s="8">
        <f t="shared" si="73"/>
        <v>1.0099867420711919</v>
      </c>
      <c r="AA208" s="8">
        <f t="shared" si="74"/>
        <v>0</v>
      </c>
      <c r="AB208" s="8">
        <f t="shared" si="75"/>
        <v>0</v>
      </c>
      <c r="AC208" s="8">
        <f t="shared" si="93"/>
        <v>-4.6235807714119783</v>
      </c>
      <c r="AD208" s="8">
        <f t="shared" si="76"/>
        <v>-401.29095090612014</v>
      </c>
      <c r="AF208" s="23">
        <f t="shared" si="77"/>
        <v>-97.100926811214691</v>
      </c>
      <c r="AG208" s="8">
        <f t="shared" si="78"/>
        <v>95.136565744639924</v>
      </c>
      <c r="AI208" s="12">
        <f t="shared" si="79"/>
        <v>-33.085590297854566</v>
      </c>
      <c r="AJ208" s="8">
        <f t="shared" si="80"/>
        <v>-78.468756191627477</v>
      </c>
      <c r="AL208" s="12">
        <f t="shared" si="81"/>
        <v>15.908587691667634</v>
      </c>
      <c r="AM208" s="8">
        <f t="shared" si="82"/>
        <v>122.02029617106272</v>
      </c>
    </row>
    <row r="209" spans="1:39" x14ac:dyDescent="0.25">
      <c r="A209" s="22">
        <f t="shared" si="94"/>
        <v>4000000</v>
      </c>
      <c r="B209" s="8">
        <f t="shared" si="57"/>
        <v>25132741.228718344</v>
      </c>
      <c r="C209" s="9">
        <f t="shared" si="58"/>
        <v>40.320708229946462</v>
      </c>
      <c r="D209" s="9">
        <f t="shared" si="59"/>
        <v>-43044.81321792111</v>
      </c>
      <c r="E209" s="9">
        <f t="shared" si="60"/>
        <v>-552907.09335242386</v>
      </c>
      <c r="F209" s="9">
        <f t="shared" si="61"/>
        <v>114.87928595244894</v>
      </c>
      <c r="G209" s="9">
        <f t="shared" si="62"/>
        <v>56.926224721523148</v>
      </c>
      <c r="H209" s="9">
        <f t="shared" si="63"/>
        <v>15.548903160194696</v>
      </c>
      <c r="I209" s="9">
        <f t="shared" si="64"/>
        <v>0</v>
      </c>
      <c r="J209" s="9">
        <f t="shared" si="65"/>
        <v>75.533781407120301</v>
      </c>
      <c r="K209" s="9">
        <f t="shared" si="66"/>
        <v>0</v>
      </c>
      <c r="L209" s="9">
        <f t="shared" si="67"/>
        <v>-57.60365805595319</v>
      </c>
      <c r="M209" s="9">
        <f t="shared" si="68"/>
        <v>20.789803544395813</v>
      </c>
      <c r="N209" s="9">
        <f t="shared" si="69"/>
        <v>35.740772834622419</v>
      </c>
      <c r="O209" s="9">
        <f t="shared" si="85"/>
        <v>6.3457623411192792</v>
      </c>
      <c r="P209" s="9">
        <f t="shared" si="70"/>
        <v>0</v>
      </c>
      <c r="Q209" s="9">
        <f t="shared" si="71"/>
        <v>0</v>
      </c>
      <c r="R209" s="23">
        <f t="shared" si="72"/>
        <v>-119.70376642364664</v>
      </c>
      <c r="S209" s="8">
        <f t="shared" si="86"/>
        <v>-1.6484914136171851</v>
      </c>
      <c r="T209" s="8">
        <f t="shared" si="87"/>
        <v>1.5693717400116318</v>
      </c>
      <c r="U209" s="8">
        <f t="shared" si="88"/>
        <v>1.4030732009107354</v>
      </c>
      <c r="V209" s="8">
        <f t="shared" si="89"/>
        <v>0</v>
      </c>
      <c r="W209" s="8">
        <f t="shared" si="90"/>
        <v>1.5706290980494586</v>
      </c>
      <c r="X209" s="8">
        <f t="shared" si="91"/>
        <v>0</v>
      </c>
      <c r="Y209" s="8">
        <f t="shared" si="92"/>
        <v>2.7952306779261726</v>
      </c>
      <c r="Z209" s="8">
        <f t="shared" si="73"/>
        <v>1.068284712857505</v>
      </c>
      <c r="AA209" s="8">
        <f t="shared" si="74"/>
        <v>0</v>
      </c>
      <c r="AB209" s="8">
        <f t="shared" si="75"/>
        <v>0</v>
      </c>
      <c r="AC209" s="8">
        <f t="shared" si="93"/>
        <v>-4.6346938935624014</v>
      </c>
      <c r="AD209" s="8">
        <f t="shared" si="76"/>
        <v>-406.59339396073022</v>
      </c>
      <c r="AF209" s="23">
        <f t="shared" si="77"/>
        <v>-100.5791776357821</v>
      </c>
      <c r="AG209" s="8">
        <f t="shared" si="78"/>
        <v>94.499507786972401</v>
      </c>
      <c r="AI209" s="12">
        <f t="shared" si="79"/>
        <v>-34.171269761148096</v>
      </c>
      <c r="AJ209" s="8">
        <f t="shared" si="80"/>
        <v>-79.805205688783019</v>
      </c>
      <c r="AL209" s="12">
        <f t="shared" si="81"/>
        <v>15.046680973283568</v>
      </c>
      <c r="AM209" s="8">
        <f t="shared" si="82"/>
        <v>118.68867109517205</v>
      </c>
    </row>
    <row r="210" spans="1:39" x14ac:dyDescent="0.25">
      <c r="A210" s="22">
        <f t="shared" si="94"/>
        <v>4500000</v>
      </c>
      <c r="B210" s="8">
        <f t="shared" si="57"/>
        <v>28274333.882308137</v>
      </c>
      <c r="C210" s="9">
        <f t="shared" si="58"/>
        <v>40.320708229946462</v>
      </c>
      <c r="D210" s="9">
        <f t="shared" si="59"/>
        <v>-54478.857353931402</v>
      </c>
      <c r="E210" s="9">
        <f t="shared" si="60"/>
        <v>-787666.35234053375</v>
      </c>
      <c r="F210" s="9">
        <f t="shared" si="61"/>
        <v>117.94757203861528</v>
      </c>
      <c r="G210" s="9">
        <f t="shared" si="62"/>
        <v>57.949273320666265</v>
      </c>
      <c r="H210" s="9">
        <f t="shared" si="63"/>
        <v>16.546477618856574</v>
      </c>
      <c r="I210" s="9">
        <f t="shared" si="64"/>
        <v>0</v>
      </c>
      <c r="J210" s="9">
        <f t="shared" si="65"/>
        <v>76.556831830577906</v>
      </c>
      <c r="K210" s="9">
        <f t="shared" si="66"/>
        <v>0</v>
      </c>
      <c r="L210" s="9">
        <f t="shared" si="67"/>
        <v>-73.170254727065753</v>
      </c>
      <c r="M210" s="9">
        <f t="shared" si="68"/>
        <v>23.388528987445291</v>
      </c>
      <c r="N210" s="9">
        <f t="shared" si="69"/>
        <v>37.709189515066917</v>
      </c>
      <c r="O210" s="9">
        <f t="shared" si="85"/>
        <v>7.1520600773513952</v>
      </c>
      <c r="P210" s="9">
        <f t="shared" si="70"/>
        <v>0</v>
      </c>
      <c r="Q210" s="9">
        <f t="shared" si="71"/>
        <v>0</v>
      </c>
      <c r="R210" s="23">
        <f t="shared" si="72"/>
        <v>-124.5491942921422</v>
      </c>
      <c r="S210" s="8">
        <f t="shared" si="86"/>
        <v>-1.6398512432921453</v>
      </c>
      <c r="T210" s="8">
        <f t="shared" si="87"/>
        <v>1.5695300272522081</v>
      </c>
      <c r="U210" s="8">
        <f t="shared" si="88"/>
        <v>1.4214163143038663</v>
      </c>
      <c r="V210" s="8">
        <f t="shared" si="89"/>
        <v>0</v>
      </c>
      <c r="W210" s="8">
        <f t="shared" si="90"/>
        <v>1.5706476790208832</v>
      </c>
      <c r="X210" s="8">
        <f t="shared" si="91"/>
        <v>0</v>
      </c>
      <c r="Y210" s="8">
        <f t="shared" si="92"/>
        <v>2.832211482752339</v>
      </c>
      <c r="Z210" s="8">
        <f t="shared" si="73"/>
        <v>1.1163868985786751</v>
      </c>
      <c r="AA210" s="8">
        <f t="shared" si="74"/>
        <v>0</v>
      </c>
      <c r="AB210" s="8">
        <f t="shared" si="75"/>
        <v>0</v>
      </c>
      <c r="AC210" s="8">
        <f t="shared" si="93"/>
        <v>-4.6433340638874405</v>
      </c>
      <c r="AD210" s="8">
        <f t="shared" si="76"/>
        <v>-410.90434796119285</v>
      </c>
      <c r="AF210" s="23">
        <f t="shared" si="77"/>
        <v>-103.64746372194844</v>
      </c>
      <c r="AG210" s="8">
        <f t="shared" si="78"/>
        <v>94.004211398912787</v>
      </c>
      <c r="AI210" s="12">
        <f t="shared" si="79"/>
        <v>-35.142111982930714</v>
      </c>
      <c r="AJ210" s="8">
        <f t="shared" si="80"/>
        <v>-80.873608382396526</v>
      </c>
      <c r="AL210" s="12">
        <f t="shared" si="81"/>
        <v>14.240381412736964</v>
      </c>
      <c r="AM210" s="8">
        <f t="shared" si="82"/>
        <v>115.9392295979226</v>
      </c>
    </row>
    <row r="211" spans="1:39" x14ac:dyDescent="0.25">
      <c r="A211" s="22">
        <f t="shared" si="94"/>
        <v>5000000</v>
      </c>
      <c r="B211" s="8">
        <f t="shared" si="57"/>
        <v>31415926.535897933</v>
      </c>
      <c r="C211" s="9">
        <f t="shared" si="58"/>
        <v>40.320708229946462</v>
      </c>
      <c r="D211" s="9">
        <f t="shared" si="59"/>
        <v>-67258.083153001746</v>
      </c>
      <c r="E211" s="9">
        <f t="shared" si="60"/>
        <v>-1080888.8603824286</v>
      </c>
      <c r="F211" s="9">
        <f t="shared" si="61"/>
        <v>120.69240390502792</v>
      </c>
      <c r="G211" s="9">
        <f t="shared" si="62"/>
        <v>58.864421808724998</v>
      </c>
      <c r="H211" s="9">
        <f t="shared" si="63"/>
        <v>17.443312486887933</v>
      </c>
      <c r="I211" s="9">
        <f t="shared" si="64"/>
        <v>0</v>
      </c>
      <c r="J211" s="9">
        <f t="shared" si="65"/>
        <v>77.471981623558563</v>
      </c>
      <c r="K211" s="9">
        <f t="shared" si="66"/>
        <v>0</v>
      </c>
      <c r="L211" s="9">
        <f t="shared" si="67"/>
        <v>-90.568215712426863</v>
      </c>
      <c r="M211" s="9">
        <f t="shared" si="68"/>
        <v>25.987254430494769</v>
      </c>
      <c r="N211" s="9">
        <f t="shared" si="69"/>
        <v>39.48312161088684</v>
      </c>
      <c r="O211" s="9">
        <f t="shared" si="85"/>
        <v>7.905251039719106</v>
      </c>
      <c r="P211" s="9">
        <f t="shared" si="70"/>
        <v>0</v>
      </c>
      <c r="Q211" s="9">
        <f t="shared" si="71"/>
        <v>0</v>
      </c>
      <c r="R211" s="23">
        <f t="shared" si="72"/>
        <v>-128.92431565363304</v>
      </c>
      <c r="S211" s="8">
        <f t="shared" si="86"/>
        <v>-1.6329409936961126</v>
      </c>
      <c r="T211" s="8">
        <f t="shared" si="87"/>
        <v>1.5696566570907369</v>
      </c>
      <c r="U211" s="8">
        <f t="shared" si="88"/>
        <v>1.4361646825911676</v>
      </c>
      <c r="V211" s="8">
        <f t="shared" si="89"/>
        <v>0</v>
      </c>
      <c r="W211" s="8">
        <f t="shared" si="90"/>
        <v>1.5706625437980972</v>
      </c>
      <c r="X211" s="8">
        <f t="shared" si="91"/>
        <v>0</v>
      </c>
      <c r="Y211" s="8">
        <f t="shared" si="92"/>
        <v>2.8621641266195708</v>
      </c>
      <c r="Z211" s="8">
        <f t="shared" si="73"/>
        <v>1.1565789169067668</v>
      </c>
      <c r="AA211" s="8">
        <f t="shared" si="74"/>
        <v>0</v>
      </c>
      <c r="AB211" s="8">
        <f t="shared" si="75"/>
        <v>0</v>
      </c>
      <c r="AC211" s="8">
        <f t="shared" si="93"/>
        <v>-4.6502443134834737</v>
      </c>
      <c r="AD211" s="8">
        <f t="shared" si="76"/>
        <v>-414.46784627371306</v>
      </c>
      <c r="AF211" s="23">
        <f t="shared" si="77"/>
        <v>-106.39229558836108</v>
      </c>
      <c r="AG211" s="8">
        <f t="shared" si="78"/>
        <v>93.608082441178411</v>
      </c>
      <c r="AI211" s="12">
        <f t="shared" si="79"/>
        <v>-36.019209210719282</v>
      </c>
      <c r="AJ211" s="8">
        <f t="shared" si="80"/>
        <v>-81.745191058953054</v>
      </c>
      <c r="AL211" s="12">
        <f t="shared" si="81"/>
        <v>13.48718914544733</v>
      </c>
      <c r="AM211" s="8">
        <f t="shared" si="82"/>
        <v>113.64163546161055</v>
      </c>
    </row>
    <row r="212" spans="1:39" x14ac:dyDescent="0.25">
      <c r="A212" s="22">
        <f t="shared" si="94"/>
        <v>5500000</v>
      </c>
      <c r="B212" s="8">
        <f t="shared" si="57"/>
        <v>34557519.189487725</v>
      </c>
      <c r="C212" s="9">
        <f t="shared" si="58"/>
        <v>40.320708229946462</v>
      </c>
      <c r="D212" s="9">
        <f t="shared" si="59"/>
        <v>-81382.490615132105</v>
      </c>
      <c r="E212" s="9">
        <f t="shared" si="60"/>
        <v>-1439070.5340396396</v>
      </c>
      <c r="F212" s="9">
        <f t="shared" si="61"/>
        <v>123.17550880893202</v>
      </c>
      <c r="G212" s="9">
        <f t="shared" si="62"/>
        <v>59.692274532904349</v>
      </c>
      <c r="H212" s="9">
        <f t="shared" si="63"/>
        <v>18.257565314924086</v>
      </c>
      <c r="I212" s="9">
        <f t="shared" si="64"/>
        <v>0</v>
      </c>
      <c r="J212" s="9">
        <f t="shared" si="65"/>
        <v>78.299835313232805</v>
      </c>
      <c r="K212" s="9">
        <f t="shared" si="66"/>
        <v>0</v>
      </c>
      <c r="L212" s="9">
        <f t="shared" si="67"/>
        <v>-109.79754101203652</v>
      </c>
      <c r="M212" s="9">
        <f t="shared" si="68"/>
        <v>28.585979873544247</v>
      </c>
      <c r="N212" s="9">
        <f t="shared" si="69"/>
        <v>41.096682397875867</v>
      </c>
      <c r="O212" s="9">
        <f t="shared" si="85"/>
        <v>8.6092620022454405</v>
      </c>
      <c r="P212" s="9">
        <f t="shared" si="70"/>
        <v>0</v>
      </c>
      <c r="Q212" s="9">
        <f t="shared" si="71"/>
        <v>0</v>
      </c>
      <c r="R212" s="23">
        <f t="shared" si="72"/>
        <v>-132.91074044451122</v>
      </c>
      <c r="S212" s="8">
        <f t="shared" si="86"/>
        <v>-1.6272882757256695</v>
      </c>
      <c r="T212" s="8">
        <f t="shared" si="87"/>
        <v>1.569760263349629</v>
      </c>
      <c r="U212" s="8">
        <f t="shared" si="88"/>
        <v>1.4482758069047632</v>
      </c>
      <c r="V212" s="8">
        <f t="shared" si="89"/>
        <v>0</v>
      </c>
      <c r="W212" s="8">
        <f t="shared" si="90"/>
        <v>1.5706747058885895</v>
      </c>
      <c r="X212" s="8">
        <f t="shared" si="91"/>
        <v>0</v>
      </c>
      <c r="Y212" s="8">
        <f t="shared" si="92"/>
        <v>2.8868951636337181</v>
      </c>
      <c r="Z212" s="8">
        <f t="shared" si="73"/>
        <v>1.1905607165159409</v>
      </c>
      <c r="AA212" s="8">
        <f t="shared" si="74"/>
        <v>0</v>
      </c>
      <c r="AB212" s="8">
        <f t="shared" si="75"/>
        <v>0</v>
      </c>
      <c r="AC212" s="8">
        <f t="shared" si="93"/>
        <v>-4.6558970314539163</v>
      </c>
      <c r="AD212" s="8">
        <f t="shared" si="76"/>
        <v>-417.45656522471694</v>
      </c>
      <c r="AF212" s="23">
        <f t="shared" si="77"/>
        <v>-108.87540049226519</v>
      </c>
      <c r="AG212" s="8">
        <f t="shared" si="78"/>
        <v>93.284041283637109</v>
      </c>
      <c r="AI212" s="12">
        <f t="shared" si="79"/>
        <v>-36.818517169672155</v>
      </c>
      <c r="AJ212" s="8">
        <f t="shared" si="80"/>
        <v>-82.468625544971943</v>
      </c>
      <c r="AL212" s="12">
        <f t="shared" si="81"/>
        <v>12.783177217426104</v>
      </c>
      <c r="AM212" s="8">
        <f t="shared" si="82"/>
        <v>111.69887623252158</v>
      </c>
    </row>
    <row r="213" spans="1:39" x14ac:dyDescent="0.25">
      <c r="A213" s="22">
        <f t="shared" si="94"/>
        <v>6000000</v>
      </c>
      <c r="B213" s="8">
        <f t="shared" si="57"/>
        <v>37699111.843077518</v>
      </c>
      <c r="C213" s="9">
        <f t="shared" si="58"/>
        <v>40.320708229946462</v>
      </c>
      <c r="D213" s="9">
        <f t="shared" si="59"/>
        <v>-96852.079740322515</v>
      </c>
      <c r="E213" s="9">
        <f t="shared" si="60"/>
        <v>-1868707.2898736987</v>
      </c>
      <c r="F213" s="9">
        <f t="shared" si="61"/>
        <v>125.44247589312363</v>
      </c>
      <c r="G213" s="9">
        <f t="shared" si="62"/>
        <v>60.448045006093707</v>
      </c>
      <c r="H213" s="9">
        <f t="shared" si="63"/>
        <v>19.002963358320685</v>
      </c>
      <c r="I213" s="9">
        <f t="shared" si="64"/>
        <v>0</v>
      </c>
      <c r="J213" s="9">
        <f t="shared" si="65"/>
        <v>79.055606520760364</v>
      </c>
      <c r="K213" s="9">
        <f t="shared" si="66"/>
        <v>0</v>
      </c>
      <c r="L213" s="9">
        <f t="shared" si="67"/>
        <v>-130.85823062589466</v>
      </c>
      <c r="M213" s="9">
        <f t="shared" si="68"/>
        <v>31.184705316593721</v>
      </c>
      <c r="N213" s="9">
        <f t="shared" si="69"/>
        <v>42.575912841410528</v>
      </c>
      <c r="O213" s="9">
        <f t="shared" si="85"/>
        <v>9.2684180645323302</v>
      </c>
      <c r="P213" s="9">
        <f t="shared" si="70"/>
        <v>0</v>
      </c>
      <c r="Q213" s="9">
        <f t="shared" si="71"/>
        <v>0</v>
      </c>
      <c r="R213" s="23">
        <f t="shared" si="72"/>
        <v>-136.57069672546601</v>
      </c>
      <c r="S213" s="8">
        <f t="shared" si="86"/>
        <v>-1.6225783790258812</v>
      </c>
      <c r="T213" s="8">
        <f t="shared" si="87"/>
        <v>1.5698466019157911</v>
      </c>
      <c r="U213" s="8">
        <f t="shared" si="88"/>
        <v>1.4583962310700298</v>
      </c>
      <c r="V213" s="8">
        <f t="shared" si="89"/>
        <v>0</v>
      </c>
      <c r="W213" s="8">
        <f t="shared" si="90"/>
        <v>1.5706848409640273</v>
      </c>
      <c r="X213" s="8">
        <f t="shared" si="91"/>
        <v>0</v>
      </c>
      <c r="Y213" s="8">
        <f t="shared" si="92"/>
        <v>2.9076471072374588</v>
      </c>
      <c r="Z213" s="8">
        <f t="shared" si="73"/>
        <v>1.2196053231038393</v>
      </c>
      <c r="AA213" s="8">
        <f t="shared" si="74"/>
        <v>0</v>
      </c>
      <c r="AB213" s="8">
        <f t="shared" si="75"/>
        <v>0</v>
      </c>
      <c r="AC213" s="8">
        <f t="shared" si="93"/>
        <v>-4.6606069281537046</v>
      </c>
      <c r="AD213" s="8">
        <f t="shared" si="76"/>
        <v>-419.995330857895</v>
      </c>
      <c r="AF213" s="23">
        <f t="shared" si="77"/>
        <v>-111.14236757645679</v>
      </c>
      <c r="AG213" s="8">
        <f t="shared" si="78"/>
        <v>93.014047205305289</v>
      </c>
      <c r="AI213" s="12">
        <f t="shared" si="79"/>
        <v>-37.552349569810218</v>
      </c>
      <c r="AJ213" s="8">
        <f t="shared" si="80"/>
        <v>-83.078075703865352</v>
      </c>
      <c r="AL213" s="12">
        <f t="shared" si="81"/>
        <v>12.124020420801013</v>
      </c>
      <c r="AM213" s="8">
        <f t="shared" si="82"/>
        <v>110.03826713777912</v>
      </c>
    </row>
    <row r="214" spans="1:39" x14ac:dyDescent="0.25">
      <c r="A214" s="22">
        <f t="shared" si="94"/>
        <v>6500000</v>
      </c>
      <c r="B214" s="8">
        <f t="shared" si="57"/>
        <v>40840704.496667311</v>
      </c>
      <c r="C214" s="9">
        <f t="shared" si="58"/>
        <v>40.320708229946462</v>
      </c>
      <c r="D214" s="9">
        <f t="shared" si="59"/>
        <v>-113666.85052857295</v>
      </c>
      <c r="E214" s="9">
        <f t="shared" si="60"/>
        <v>-2376295.0444461373</v>
      </c>
      <c r="F214" s="9">
        <f t="shared" si="61"/>
        <v>127.52793280309619</v>
      </c>
      <c r="G214" s="9">
        <f t="shared" si="62"/>
        <v>61.143286551805019</v>
      </c>
      <c r="H214" s="9">
        <f t="shared" si="63"/>
        <v>19.690115535802455</v>
      </c>
      <c r="I214" s="9">
        <f t="shared" si="64"/>
        <v>0</v>
      </c>
      <c r="J214" s="9">
        <f t="shared" si="65"/>
        <v>79.750848637959564</v>
      </c>
      <c r="K214" s="9">
        <f t="shared" si="66"/>
        <v>0</v>
      </c>
      <c r="L214" s="9">
        <f t="shared" si="67"/>
        <v>-153.75028455400138</v>
      </c>
      <c r="M214" s="9">
        <f t="shared" si="68"/>
        <v>33.783430759643203</v>
      </c>
      <c r="N214" s="9">
        <f t="shared" si="69"/>
        <v>43.941095425914874</v>
      </c>
      <c r="O214" s="9">
        <f t="shared" si="85"/>
        <v>9.8869548797017224</v>
      </c>
      <c r="P214" s="9">
        <f t="shared" si="70"/>
        <v>0</v>
      </c>
      <c r="Q214" s="9">
        <f t="shared" si="71"/>
        <v>0</v>
      </c>
      <c r="R214" s="23">
        <f t="shared" si="72"/>
        <v>-139.95272142911844</v>
      </c>
      <c r="S214" s="8">
        <f t="shared" si="86"/>
        <v>-1.6185935384745787</v>
      </c>
      <c r="T214" s="8">
        <f t="shared" si="87"/>
        <v>1.5699196576367314</v>
      </c>
      <c r="U214" s="8">
        <f t="shared" si="88"/>
        <v>1.4669778479291551</v>
      </c>
      <c r="V214" s="8">
        <f t="shared" si="89"/>
        <v>0</v>
      </c>
      <c r="W214" s="8">
        <f t="shared" si="90"/>
        <v>1.5706934167971081</v>
      </c>
      <c r="X214" s="8">
        <f t="shared" si="91"/>
        <v>0</v>
      </c>
      <c r="Y214" s="8">
        <f t="shared" si="92"/>
        <v>2.9253006384734968</v>
      </c>
      <c r="Z214" s="8">
        <f t="shared" si="73"/>
        <v>1.2446759554213311</v>
      </c>
      <c r="AA214" s="8">
        <f t="shared" si="74"/>
        <v>0</v>
      </c>
      <c r="AB214" s="8">
        <f t="shared" si="75"/>
        <v>0</v>
      </c>
      <c r="AC214" s="8">
        <f t="shared" si="93"/>
        <v>-4.6645917687050078</v>
      </c>
      <c r="AD214" s="8">
        <f t="shared" si="76"/>
        <v>-422.17617480549723</v>
      </c>
      <c r="AF214" s="23">
        <f t="shared" si="77"/>
        <v>-113.22782448642936</v>
      </c>
      <c r="AG214" s="8">
        <f t="shared" si="78"/>
        <v>92.785616855230614</v>
      </c>
      <c r="AI214" s="12">
        <f t="shared" si="79"/>
        <v>-38.230379976832793</v>
      </c>
      <c r="AJ214" s="8">
        <f t="shared" si="80"/>
        <v>-83.598121750949531</v>
      </c>
      <c r="AL214" s="12">
        <f t="shared" si="81"/>
        <v>11.505483034143733</v>
      </c>
      <c r="AM214" s="8">
        <f t="shared" si="82"/>
        <v>108.60479343162184</v>
      </c>
    </row>
    <row r="215" spans="1:39" x14ac:dyDescent="0.25">
      <c r="A215" s="22">
        <f t="shared" si="94"/>
        <v>7000000</v>
      </c>
      <c r="B215" s="8">
        <f t="shared" si="57"/>
        <v>43982297.150257103</v>
      </c>
      <c r="C215" s="9">
        <f t="shared" si="58"/>
        <v>40.320708229946462</v>
      </c>
      <c r="D215" s="9">
        <f t="shared" si="59"/>
        <v>-131826.80297988342</v>
      </c>
      <c r="E215" s="9">
        <f t="shared" si="60"/>
        <v>-2968329.7143184873</v>
      </c>
      <c r="F215" s="9">
        <f t="shared" si="61"/>
        <v>129.45880014638342</v>
      </c>
      <c r="G215" s="9">
        <f t="shared" si="62"/>
        <v>61.786979759438978</v>
      </c>
      <c r="H215" s="9">
        <f t="shared" si="63"/>
        <v>20.327379337498005</v>
      </c>
      <c r="I215" s="9">
        <f t="shared" si="64"/>
        <v>0</v>
      </c>
      <c r="J215" s="9">
        <f t="shared" si="65"/>
        <v>80.394542299051693</v>
      </c>
      <c r="K215" s="9">
        <f t="shared" si="66"/>
        <v>0</v>
      </c>
      <c r="L215" s="9">
        <f t="shared" si="67"/>
        <v>-178.47370279635663</v>
      </c>
      <c r="M215" s="9">
        <f t="shared" si="68"/>
        <v>36.382156202692677</v>
      </c>
      <c r="N215" s="9">
        <f t="shared" si="69"/>
        <v>45.208308802143442</v>
      </c>
      <c r="O215" s="9">
        <f t="shared" si="85"/>
        <v>10.468806343406998</v>
      </c>
      <c r="P215" s="9">
        <f t="shared" si="70"/>
        <v>0</v>
      </c>
      <c r="Q215" s="9">
        <f t="shared" si="71"/>
        <v>0</v>
      </c>
      <c r="R215" s="23">
        <f t="shared" si="72"/>
        <v>-143.09539026410212</v>
      </c>
      <c r="S215" s="8">
        <f t="shared" si="86"/>
        <v>-1.6151782683959703</v>
      </c>
      <c r="T215" s="8">
        <f t="shared" si="87"/>
        <v>1.5699822768335863</v>
      </c>
      <c r="U215" s="8">
        <f t="shared" si="88"/>
        <v>1.4743458021823961</v>
      </c>
      <c r="V215" s="8">
        <f t="shared" si="89"/>
        <v>0</v>
      </c>
      <c r="W215" s="8">
        <f t="shared" si="90"/>
        <v>1.5707007675111893</v>
      </c>
      <c r="X215" s="8">
        <f t="shared" si="91"/>
        <v>0</v>
      </c>
      <c r="Y215" s="8">
        <f t="shared" si="92"/>
        <v>2.9404963561397746</v>
      </c>
      <c r="Z215" s="8">
        <f t="shared" si="73"/>
        <v>1.2665100348034706</v>
      </c>
      <c r="AA215" s="8">
        <f t="shared" si="74"/>
        <v>0</v>
      </c>
      <c r="AB215" s="8">
        <f t="shared" si="75"/>
        <v>0</v>
      </c>
      <c r="AC215" s="8">
        <f t="shared" si="93"/>
        <v>-4.6680070387836157</v>
      </c>
      <c r="AD215" s="8">
        <f t="shared" si="76"/>
        <v>-424.06818712083981</v>
      </c>
      <c r="AF215" s="23">
        <f t="shared" si="77"/>
        <v>-115.15869182971659</v>
      </c>
      <c r="AG215" s="8">
        <f t="shared" si="78"/>
        <v>92.589837041807215</v>
      </c>
      <c r="AI215" s="12">
        <f t="shared" si="79"/>
        <v>-38.860329551365808</v>
      </c>
      <c r="AJ215" s="8">
        <f t="shared" si="80"/>
        <v>-84.046847042142716</v>
      </c>
      <c r="AL215" s="12">
        <f t="shared" si="81"/>
        <v>10.923631116980287</v>
      </c>
      <c r="AM215" s="8">
        <f t="shared" si="82"/>
        <v>107.35632656477922</v>
      </c>
    </row>
    <row r="216" spans="1:39" x14ac:dyDescent="0.25">
      <c r="A216" s="22">
        <f t="shared" si="94"/>
        <v>7500000</v>
      </c>
      <c r="B216" s="8">
        <f t="shared" si="57"/>
        <v>47123889.803846896</v>
      </c>
      <c r="C216" s="9">
        <f t="shared" si="58"/>
        <v>40.320708229946462</v>
      </c>
      <c r="D216" s="9">
        <f t="shared" si="59"/>
        <v>-151331.93709425392</v>
      </c>
      <c r="E216" s="9">
        <f t="shared" si="60"/>
        <v>-3651307.2160522807</v>
      </c>
      <c r="F216" s="9">
        <f t="shared" si="61"/>
        <v>131.25642127898092</v>
      </c>
      <c r="G216" s="9">
        <f t="shared" si="62"/>
        <v>62.386243856049404</v>
      </c>
      <c r="H216" s="9">
        <f t="shared" si="63"/>
        <v>20.921449570658254</v>
      </c>
      <c r="I216" s="9">
        <f t="shared" si="64"/>
        <v>0</v>
      </c>
      <c r="J216" s="9">
        <f t="shared" si="65"/>
        <v>80.993806761489097</v>
      </c>
      <c r="K216" s="9">
        <f t="shared" si="66"/>
        <v>0</v>
      </c>
      <c r="L216" s="9">
        <f t="shared" si="67"/>
        <v>-205.02848535296044</v>
      </c>
      <c r="M216" s="9">
        <f t="shared" si="68"/>
        <v>38.980881645742151</v>
      </c>
      <c r="N216" s="9">
        <f t="shared" si="69"/>
        <v>46.390498730412219</v>
      </c>
      <c r="O216" s="9">
        <f t="shared" si="85"/>
        <v>11.017529819681597</v>
      </c>
      <c r="P216" s="9">
        <f t="shared" si="70"/>
        <v>0</v>
      </c>
      <c r="Q216" s="9">
        <f t="shared" si="71"/>
        <v>0</v>
      </c>
      <c r="R216" s="23">
        <f t="shared" si="72"/>
        <v>-146.02985493390972</v>
      </c>
      <c r="S216" s="8">
        <f t="shared" si="86"/>
        <v>-1.6122185808824219</v>
      </c>
      <c r="T216" s="8">
        <f t="shared" si="87"/>
        <v>1.5700365468093758</v>
      </c>
      <c r="U216" s="8">
        <f t="shared" si="88"/>
        <v>1.4807398996026104</v>
      </c>
      <c r="V216" s="8">
        <f t="shared" si="89"/>
        <v>0</v>
      </c>
      <c r="W216" s="8">
        <f t="shared" si="90"/>
        <v>1.5707071381300681</v>
      </c>
      <c r="X216" s="8">
        <f t="shared" si="91"/>
        <v>0</v>
      </c>
      <c r="Y216" s="8">
        <f t="shared" si="92"/>
        <v>2.953710814185678</v>
      </c>
      <c r="Z216" s="8">
        <f t="shared" si="73"/>
        <v>1.2856789805349438</v>
      </c>
      <c r="AA216" s="8">
        <f t="shared" si="74"/>
        <v>0</v>
      </c>
      <c r="AB216" s="8">
        <f t="shared" si="75"/>
        <v>0</v>
      </c>
      <c r="AC216" s="8">
        <f t="shared" si="93"/>
        <v>-4.6709667262971646</v>
      </c>
      <c r="AD216" s="8">
        <f t="shared" si="76"/>
        <v>-425.72409785978937</v>
      </c>
      <c r="AF216" s="23">
        <f t="shared" si="77"/>
        <v>-116.95631296231409</v>
      </c>
      <c r="AG216" s="8">
        <f t="shared" si="78"/>
        <v>92.42017342638087</v>
      </c>
      <c r="AI216" s="12">
        <f t="shared" si="79"/>
        <v>-39.44844924647434</v>
      </c>
      <c r="AJ216" s="8">
        <f t="shared" si="80"/>
        <v>-84.437823128965661</v>
      </c>
      <c r="AL216" s="12">
        <f t="shared" si="81"/>
        <v>10.37490727487871</v>
      </c>
      <c r="AM216" s="8">
        <f t="shared" si="82"/>
        <v>106.26021562611002</v>
      </c>
    </row>
    <row r="217" spans="1:39" x14ac:dyDescent="0.25">
      <c r="A217" s="22">
        <f t="shared" si="94"/>
        <v>8000000</v>
      </c>
      <c r="B217" s="8">
        <f t="shared" si="57"/>
        <v>50265482.457436688</v>
      </c>
      <c r="C217" s="9">
        <f t="shared" si="58"/>
        <v>40.320708229946462</v>
      </c>
      <c r="D217" s="9">
        <f t="shared" si="59"/>
        <v>-172182.25287168444</v>
      </c>
      <c r="E217" s="9">
        <f t="shared" si="60"/>
        <v>-4431723.4662090475</v>
      </c>
      <c r="F217" s="9">
        <f t="shared" si="61"/>
        <v>132.93800377046477</v>
      </c>
      <c r="G217" s="9">
        <f t="shared" si="62"/>
        <v>62.946818024468321</v>
      </c>
      <c r="H217" s="9">
        <f t="shared" si="63"/>
        <v>21.477768314770543</v>
      </c>
      <c r="I217" s="9">
        <f t="shared" si="64"/>
        <v>0</v>
      </c>
      <c r="J217" s="9">
        <f t="shared" si="65"/>
        <v>81.554381229310607</v>
      </c>
      <c r="K217" s="9">
        <f t="shared" si="66"/>
        <v>0</v>
      </c>
      <c r="L217" s="9">
        <f t="shared" si="67"/>
        <v>-233.41463222381276</v>
      </c>
      <c r="M217" s="9">
        <f t="shared" si="68"/>
        <v>41.579607088791626</v>
      </c>
      <c r="N217" s="9">
        <f t="shared" si="69"/>
        <v>47.498232759692762</v>
      </c>
      <c r="O217" s="9">
        <f t="shared" si="85"/>
        <v>11.536297995234362</v>
      </c>
      <c r="P217" s="9">
        <f t="shared" si="70"/>
        <v>0</v>
      </c>
      <c r="Q217" s="9">
        <f t="shared" si="71"/>
        <v>0</v>
      </c>
      <c r="R217" s="23">
        <f t="shared" si="72"/>
        <v>-148.78162118551717</v>
      </c>
      <c r="S217" s="8">
        <f t="shared" si="86"/>
        <v>-1.6096290058924567</v>
      </c>
      <c r="T217" s="8">
        <f t="shared" si="87"/>
        <v>1.5700840330418735</v>
      </c>
      <c r="U217" s="8">
        <f t="shared" si="88"/>
        <v>1.486340816273062</v>
      </c>
      <c r="V217" s="8">
        <f t="shared" si="89"/>
        <v>0</v>
      </c>
      <c r="W217" s="8">
        <f t="shared" si="90"/>
        <v>1.5707127124215929</v>
      </c>
      <c r="X217" s="8">
        <f t="shared" si="91"/>
        <v>0</v>
      </c>
      <c r="Y217" s="8">
        <f t="shared" si="92"/>
        <v>2.9653055605805965</v>
      </c>
      <c r="Z217" s="8">
        <f t="shared" si="73"/>
        <v>1.3026308597230958</v>
      </c>
      <c r="AA217" s="8">
        <f t="shared" si="74"/>
        <v>0</v>
      </c>
      <c r="AB217" s="8">
        <f t="shared" si="75"/>
        <v>0</v>
      </c>
      <c r="AC217" s="8">
        <f t="shared" si="93"/>
        <v>-4.67355630128713</v>
      </c>
      <c r="AD217" s="8">
        <f t="shared" si="76"/>
        <v>-427.1847604787468</v>
      </c>
      <c r="AF217" s="23">
        <f t="shared" si="77"/>
        <v>-118.63789545379794</v>
      </c>
      <c r="AG217" s="8">
        <f t="shared" si="78"/>
        <v>92.271726452433825</v>
      </c>
      <c r="AI217" s="12">
        <f t="shared" si="79"/>
        <v>-39.999864531642594</v>
      </c>
      <c r="AJ217" s="8">
        <f t="shared" si="80"/>
        <v>-84.781418463489231</v>
      </c>
      <c r="AL217" s="12">
        <f t="shared" si="81"/>
        <v>9.8561387999233521</v>
      </c>
      <c r="AM217" s="8">
        <f t="shared" si="82"/>
        <v>105.29085444633543</v>
      </c>
    </row>
    <row r="218" spans="1:39" x14ac:dyDescent="0.25">
      <c r="A218" s="22">
        <f t="shared" si="94"/>
        <v>8500000</v>
      </c>
      <c r="B218" s="8">
        <f t="shared" si="57"/>
        <v>53407075.111026481</v>
      </c>
      <c r="C218" s="9">
        <f t="shared" si="58"/>
        <v>40.320708229946462</v>
      </c>
      <c r="D218" s="9">
        <f t="shared" si="59"/>
        <v>-194377.75031217502</v>
      </c>
      <c r="E218" s="9">
        <f t="shared" si="60"/>
        <v>-5316074.3813503217</v>
      </c>
      <c r="F218" s="9">
        <f t="shared" si="61"/>
        <v>134.51762334394817</v>
      </c>
      <c r="G218" s="9">
        <f t="shared" si="62"/>
        <v>63.473396547310685</v>
      </c>
      <c r="H218" s="9">
        <f t="shared" si="63"/>
        <v>22.000816883001683</v>
      </c>
      <c r="I218" s="9">
        <f t="shared" si="64"/>
        <v>0</v>
      </c>
      <c r="J218" s="9">
        <f t="shared" si="65"/>
        <v>82.080960000290517</v>
      </c>
      <c r="K218" s="9">
        <f t="shared" si="66"/>
        <v>0</v>
      </c>
      <c r="L218" s="9">
        <f t="shared" si="67"/>
        <v>-263.63214340891358</v>
      </c>
      <c r="M218" s="9">
        <f t="shared" si="68"/>
        <v>44.178332531841107</v>
      </c>
      <c r="N218" s="9">
        <f t="shared" si="69"/>
        <v>48.540243095789243</v>
      </c>
      <c r="O218" s="9">
        <f t="shared" si="85"/>
        <v>12.027921132865542</v>
      </c>
      <c r="P218" s="9">
        <f t="shared" si="70"/>
        <v>0</v>
      </c>
      <c r="Q218" s="9">
        <f t="shared" si="71"/>
        <v>0</v>
      </c>
      <c r="R218" s="23">
        <f t="shared" si="72"/>
        <v>-151.37182591263465</v>
      </c>
      <c r="S218" s="8">
        <f t="shared" si="86"/>
        <v>-1.6073441969298827</v>
      </c>
      <c r="T218" s="8">
        <f t="shared" si="87"/>
        <v>1.5701259326614581</v>
      </c>
      <c r="U218" s="8">
        <f t="shared" si="88"/>
        <v>1.4912872278057194</v>
      </c>
      <c r="V218" s="8">
        <f t="shared" si="89"/>
        <v>0</v>
      </c>
      <c r="W218" s="8">
        <f t="shared" si="90"/>
        <v>1.5707176309141193</v>
      </c>
      <c r="X218" s="8">
        <f t="shared" si="91"/>
        <v>0</v>
      </c>
      <c r="Y218" s="8">
        <f t="shared" si="92"/>
        <v>2.9755596730500309</v>
      </c>
      <c r="Z218" s="8">
        <f t="shared" si="73"/>
        <v>1.317721023907789</v>
      </c>
      <c r="AA218" s="8">
        <f t="shared" si="74"/>
        <v>0</v>
      </c>
      <c r="AB218" s="8">
        <f t="shared" si="75"/>
        <v>0</v>
      </c>
      <c r="AC218" s="8">
        <f t="shared" si="93"/>
        <v>-4.6758411102497037</v>
      </c>
      <c r="AD218" s="8">
        <f t="shared" si="76"/>
        <v>-428.4822631093312</v>
      </c>
      <c r="AF218" s="23">
        <f t="shared" si="77"/>
        <v>-120.21751502728134</v>
      </c>
      <c r="AG218" s="8">
        <f t="shared" si="78"/>
        <v>92.140750142477359</v>
      </c>
      <c r="AI218" s="12">
        <f t="shared" si="79"/>
        <v>-40.518826299507936</v>
      </c>
      <c r="AJ218" s="8">
        <f t="shared" si="80"/>
        <v>-85.085681574514666</v>
      </c>
      <c r="AL218" s="12">
        <f t="shared" si="81"/>
        <v>9.3645154141546261</v>
      </c>
      <c r="AM218" s="8">
        <f t="shared" si="82"/>
        <v>104.42793312456017</v>
      </c>
    </row>
    <row r="219" spans="1:39" x14ac:dyDescent="0.25">
      <c r="A219" s="22">
        <f t="shared" si="94"/>
        <v>9000000</v>
      </c>
      <c r="B219" s="8">
        <f t="shared" si="57"/>
        <v>56548667.764616273</v>
      </c>
      <c r="C219" s="9">
        <f t="shared" si="58"/>
        <v>40.320708229946462</v>
      </c>
      <c r="D219" s="9">
        <f t="shared" si="59"/>
        <v>-217918.42941572561</v>
      </c>
      <c r="E219" s="9">
        <f t="shared" si="60"/>
        <v>-6310855.8780376324</v>
      </c>
      <c r="F219" s="9">
        <f t="shared" si="61"/>
        <v>136.00694056130976</v>
      </c>
      <c r="G219" s="9">
        <f t="shared" si="62"/>
        <v>63.969868010964191</v>
      </c>
      <c r="H219" s="9">
        <f t="shared" si="63"/>
        <v>22.494327998800536</v>
      </c>
      <c r="I219" s="9">
        <f t="shared" si="64"/>
        <v>0</v>
      </c>
      <c r="J219" s="9">
        <f t="shared" si="65"/>
        <v>82.577431671885734</v>
      </c>
      <c r="K219" s="9">
        <f t="shared" si="66"/>
        <v>0</v>
      </c>
      <c r="L219" s="9">
        <f t="shared" si="67"/>
        <v>-295.68101890826301</v>
      </c>
      <c r="M219" s="9">
        <f t="shared" si="68"/>
        <v>46.777057974890582</v>
      </c>
      <c r="N219" s="9">
        <f t="shared" si="69"/>
        <v>49.523824445339848</v>
      </c>
      <c r="O219" s="9">
        <f t="shared" si="85"/>
        <v>12.494881396867699</v>
      </c>
      <c r="P219" s="9">
        <f t="shared" si="70"/>
        <v>0</v>
      </c>
      <c r="Q219" s="9">
        <f t="shared" si="71"/>
        <v>0</v>
      </c>
      <c r="R219" s="23">
        <f t="shared" si="72"/>
        <v>-153.81817383569185</v>
      </c>
      <c r="S219" s="8">
        <f t="shared" si="86"/>
        <v>-1.6053133372185868</v>
      </c>
      <c r="T219" s="8">
        <f t="shared" si="87"/>
        <v>1.5701631767697362</v>
      </c>
      <c r="U219" s="8">
        <f t="shared" si="88"/>
        <v>1.4956873211751618</v>
      </c>
      <c r="V219" s="8">
        <f t="shared" si="89"/>
        <v>0</v>
      </c>
      <c r="W219" s="8">
        <f t="shared" si="90"/>
        <v>1.5707220029074793</v>
      </c>
      <c r="X219" s="8">
        <f t="shared" si="91"/>
        <v>0</v>
      </c>
      <c r="Y219" s="8">
        <f t="shared" si="92"/>
        <v>2.9846918943762177</v>
      </c>
      <c r="Z219" s="8">
        <f t="shared" si="73"/>
        <v>1.3312343273874414</v>
      </c>
      <c r="AA219" s="8">
        <f t="shared" si="74"/>
        <v>0</v>
      </c>
      <c r="AB219" s="8">
        <f t="shared" si="75"/>
        <v>0</v>
      </c>
      <c r="AC219" s="8">
        <f t="shared" si="93"/>
        <v>-4.6778719699609992</v>
      </c>
      <c r="AD219" s="8">
        <f t="shared" si="76"/>
        <v>-429.64212558282406</v>
      </c>
      <c r="AF219" s="23">
        <f t="shared" si="77"/>
        <v>-121.70683224464292</v>
      </c>
      <c r="AG219" s="8">
        <f t="shared" si="78"/>
        <v>92.024331432912618</v>
      </c>
      <c r="AI219" s="12">
        <f t="shared" si="79"/>
        <v>-41.008896533259687</v>
      </c>
      <c r="AJ219" s="8">
        <f t="shared" si="80"/>
        <v>-85.356950056111472</v>
      </c>
      <c r="AL219" s="12">
        <f t="shared" si="81"/>
        <v>8.8975549422107587</v>
      </c>
      <c r="AM219" s="8">
        <f t="shared" si="82"/>
        <v>103.65516954314229</v>
      </c>
    </row>
    <row r="220" spans="1:39" x14ac:dyDescent="0.25">
      <c r="A220" s="22">
        <f t="shared" si="94"/>
        <v>9500000</v>
      </c>
      <c r="B220" s="8">
        <f t="shared" si="57"/>
        <v>59690260.418206066</v>
      </c>
      <c r="C220" s="9">
        <f t="shared" si="58"/>
        <v>40.320708229946462</v>
      </c>
      <c r="D220" s="9">
        <f t="shared" si="59"/>
        <v>-242804.29018233626</v>
      </c>
      <c r="E220" s="9">
        <f t="shared" si="60"/>
        <v>-7422563.8728325143</v>
      </c>
      <c r="F220" s="9">
        <f t="shared" si="61"/>
        <v>137.4157235613024</v>
      </c>
      <c r="G220" s="9">
        <f t="shared" si="62"/>
        <v>64.439489749514721</v>
      </c>
      <c r="H220" s="9">
        <f t="shared" si="63"/>
        <v>22.961442817375133</v>
      </c>
      <c r="I220" s="9">
        <f t="shared" si="64"/>
        <v>0</v>
      </c>
      <c r="J220" s="9">
        <f t="shared" si="65"/>
        <v>83.04705358641732</v>
      </c>
      <c r="K220" s="9">
        <f t="shared" si="66"/>
        <v>0</v>
      </c>
      <c r="L220" s="9">
        <f t="shared" si="67"/>
        <v>-329.56125872186095</v>
      </c>
      <c r="M220" s="9">
        <f t="shared" si="68"/>
        <v>49.375783417940056</v>
      </c>
      <c r="N220" s="9">
        <f t="shared" si="69"/>
        <v>50.455130534631664</v>
      </c>
      <c r="O220" s="9">
        <f t="shared" si="85"/>
        <v>12.939370174187271</v>
      </c>
      <c r="P220" s="9">
        <f t="shared" si="70"/>
        <v>0</v>
      </c>
      <c r="Q220" s="9">
        <f t="shared" si="71"/>
        <v>0</v>
      </c>
      <c r="R220" s="23">
        <f t="shared" si="72"/>
        <v>-156.13563705970233</v>
      </c>
      <c r="S220" s="8">
        <f t="shared" si="86"/>
        <v>-1.6034963136871669</v>
      </c>
      <c r="T220" s="8">
        <f t="shared" si="87"/>
        <v>1.5701965004470557</v>
      </c>
      <c r="U220" s="8">
        <f t="shared" si="88"/>
        <v>1.4996267233238409</v>
      </c>
      <c r="V220" s="8">
        <f t="shared" si="89"/>
        <v>0</v>
      </c>
      <c r="W220" s="8">
        <f t="shared" si="90"/>
        <v>1.5707259146910142</v>
      </c>
      <c r="X220" s="8">
        <f t="shared" si="91"/>
        <v>0</v>
      </c>
      <c r="Y220" s="8">
        <f t="shared" si="92"/>
        <v>2.9928760323927079</v>
      </c>
      <c r="Z220" s="8">
        <f t="shared" si="73"/>
        <v>1.3434014133306351</v>
      </c>
      <c r="AA220" s="8">
        <f t="shared" si="74"/>
        <v>0</v>
      </c>
      <c r="AB220" s="8">
        <f t="shared" si="75"/>
        <v>0</v>
      </c>
      <c r="AC220" s="8">
        <f t="shared" si="93"/>
        <v>-4.6796889934924195</v>
      </c>
      <c r="AD220" s="8">
        <f t="shared" si="76"/>
        <v>-430.68487630896033</v>
      </c>
      <c r="AF220" s="23">
        <f t="shared" si="77"/>
        <v>-123.11561524463556</v>
      </c>
      <c r="AG220" s="8">
        <f t="shared" si="78"/>
        <v>91.920170848308928</v>
      </c>
      <c r="AI220" s="12">
        <f t="shared" si="79"/>
        <v>-41.47308780397691</v>
      </c>
      <c r="AJ220" s="8">
        <f t="shared" si="80"/>
        <v>-85.600278863820392</v>
      </c>
      <c r="AL220" s="12">
        <f t="shared" si="81"/>
        <v>8.4530659889101294</v>
      </c>
      <c r="AM220" s="8">
        <f t="shared" si="82"/>
        <v>102.95937931101057</v>
      </c>
    </row>
    <row r="221" spans="1:39" x14ac:dyDescent="0.25">
      <c r="A221" s="22">
        <f t="shared" si="94"/>
        <v>10000000</v>
      </c>
      <c r="B221" s="8">
        <f t="shared" si="57"/>
        <v>62831853.071795866</v>
      </c>
      <c r="C221" s="9">
        <f t="shared" si="58"/>
        <v>40.320708229946462</v>
      </c>
      <c r="D221" s="9">
        <f t="shared" si="59"/>
        <v>-269035.33261200698</v>
      </c>
      <c r="E221" s="9">
        <f t="shared" si="60"/>
        <v>-8657694.2822964992</v>
      </c>
      <c r="F221" s="9">
        <f t="shared" si="61"/>
        <v>138.7522366087463</v>
      </c>
      <c r="G221" s="9">
        <f t="shared" si="62"/>
        <v>64.885017491388638</v>
      </c>
      <c r="H221" s="9">
        <f t="shared" si="63"/>
        <v>23.40482904568664</v>
      </c>
      <c r="I221" s="9">
        <f t="shared" si="64"/>
        <v>0</v>
      </c>
      <c r="J221" s="9">
        <f t="shared" si="65"/>
        <v>83.492581478541013</v>
      </c>
      <c r="K221" s="9">
        <f t="shared" si="66"/>
        <v>0</v>
      </c>
      <c r="L221" s="9">
        <f t="shared" si="67"/>
        <v>-365.27286284970745</v>
      </c>
      <c r="M221" s="9">
        <f t="shared" si="68"/>
        <v>51.974508860989538</v>
      </c>
      <c r="N221" s="9">
        <f t="shared" si="69"/>
        <v>51.339398513701404</v>
      </c>
      <c r="O221" s="9">
        <f t="shared" si="85"/>
        <v>13.363324093875894</v>
      </c>
      <c r="P221" s="9">
        <f t="shared" si="70"/>
        <v>0</v>
      </c>
      <c r="Q221" s="9">
        <f t="shared" si="71"/>
        <v>0</v>
      </c>
      <c r="R221" s="23">
        <f t="shared" si="72"/>
        <v>-158.33698592784287</v>
      </c>
      <c r="S221" s="8">
        <f t="shared" si="86"/>
        <v>-1.6018610395356192</v>
      </c>
      <c r="T221" s="8">
        <f t="shared" si="87"/>
        <v>1.5702264917577846</v>
      </c>
      <c r="U221" s="8">
        <f t="shared" si="88"/>
        <v>1.5031740815925336</v>
      </c>
      <c r="V221" s="8">
        <f t="shared" si="89"/>
        <v>0</v>
      </c>
      <c r="W221" s="8">
        <f t="shared" si="90"/>
        <v>1.5707294352961976</v>
      </c>
      <c r="X221" s="8">
        <f t="shared" si="91"/>
        <v>0</v>
      </c>
      <c r="Y221" s="8">
        <f t="shared" si="92"/>
        <v>3.0002518906290199</v>
      </c>
      <c r="Z221" s="8">
        <f t="shared" si="73"/>
        <v>1.3544107841190542</v>
      </c>
      <c r="AA221" s="8">
        <f t="shared" si="74"/>
        <v>0</v>
      </c>
      <c r="AB221" s="8">
        <f t="shared" si="75"/>
        <v>0</v>
      </c>
      <c r="AC221" s="8">
        <f t="shared" si="93"/>
        <v>-4.6813242676439675</v>
      </c>
      <c r="AD221" s="8">
        <f t="shared" si="76"/>
        <v>-431.62720132776394</v>
      </c>
      <c r="AF221" s="23">
        <f t="shared" si="77"/>
        <v>-124.45212829207946</v>
      </c>
      <c r="AG221" s="8">
        <f t="shared" si="78"/>
        <v>91.826429017965438</v>
      </c>
      <c r="AI221" s="12">
        <f t="shared" si="79"/>
        <v>-41.913969554735147</v>
      </c>
      <c r="AJ221" s="8">
        <f t="shared" si="80"/>
        <v>-85.819747014830426</v>
      </c>
      <c r="AL221" s="12">
        <f t="shared" si="81"/>
        <v>8.029111918971731</v>
      </c>
      <c r="AM221" s="8">
        <f t="shared" si="82"/>
        <v>102.32978631262927</v>
      </c>
    </row>
    <row r="228" spans="1:2" x14ac:dyDescent="0.25">
      <c r="A228" s="8" t="s">
        <v>53</v>
      </c>
    </row>
    <row r="229" spans="1:2" x14ac:dyDescent="0.25">
      <c r="A229" s="8" t="s">
        <v>71</v>
      </c>
    </row>
    <row r="230" spans="1:2" x14ac:dyDescent="0.25">
      <c r="A230" s="8" t="s">
        <v>72</v>
      </c>
    </row>
    <row r="232" spans="1:2" x14ac:dyDescent="0.25">
      <c r="A232" s="8" t="s">
        <v>73</v>
      </c>
      <c r="B232" s="8">
        <f>INDEX(A95:A221,MATCH(0,R95:R221,-1))</f>
        <v>35000</v>
      </c>
    </row>
    <row r="233" spans="1:2" x14ac:dyDescent="0.25">
      <c r="A233" s="8" t="s">
        <v>74</v>
      </c>
      <c r="B233" s="8">
        <f>INDEX(A95:A221,MATCH(0,R95:R221,-1)+1)</f>
        <v>40000</v>
      </c>
    </row>
    <row r="234" spans="1:2" x14ac:dyDescent="0.25">
      <c r="A234" s="8" t="s">
        <v>75</v>
      </c>
      <c r="B234" s="8">
        <f>INDEX(R95:R221,MATCH(0,R95:R221,-1))</f>
        <v>9.1522901035454018E-3</v>
      </c>
    </row>
    <row r="235" spans="1:2" x14ac:dyDescent="0.25">
      <c r="A235" s="8" t="s">
        <v>34</v>
      </c>
      <c r="B235" s="8">
        <f>INDEX(R95:R221,MATCH(0,R95:R221,-1)+1)</f>
        <v>-1.2158374699270285</v>
      </c>
    </row>
    <row r="236" spans="1:2" x14ac:dyDescent="0.25">
      <c r="A236" s="8" t="s">
        <v>15</v>
      </c>
      <c r="B236" s="8">
        <f>(B235-B234)/(B233-B232)</f>
        <v>-2.4499795200611478E-4</v>
      </c>
    </row>
    <row r="237" spans="1:2" x14ac:dyDescent="0.25">
      <c r="A237" s="8" t="s">
        <v>18</v>
      </c>
      <c r="B237" s="8">
        <f>B233-(B235/B236)</f>
        <v>35037.356598406652</v>
      </c>
    </row>
    <row r="238" spans="1:2" x14ac:dyDescent="0.25">
      <c r="A238" s="8" t="s">
        <v>76</v>
      </c>
      <c r="B238" s="8">
        <f>INDEX(AD95:AD221,MATCH(0,R95:R221,-1))</f>
        <v>-117.31304897309469</v>
      </c>
    </row>
    <row r="239" spans="1:2" x14ac:dyDescent="0.25">
      <c r="A239" s="8" t="s">
        <v>77</v>
      </c>
      <c r="B239" s="8">
        <f>INDEX(AD95:AD221,MATCH(0,R95:R221,-1)+1)</f>
        <v>-120.32280230149799</v>
      </c>
    </row>
    <row r="240" spans="1:2" x14ac:dyDescent="0.25">
      <c r="A240" s="8" t="s">
        <v>78</v>
      </c>
      <c r="B240" s="8">
        <f>(B239-B238)/(B233-B232)</f>
        <v>-6.0195066568065835E-4</v>
      </c>
    </row>
    <row r="241" spans="1:2" x14ac:dyDescent="0.25">
      <c r="A241" s="8" t="s">
        <v>55</v>
      </c>
      <c r="B241" s="8">
        <f>B240*B237+B239-(B240*B233)</f>
        <v>-117.33553580237313</v>
      </c>
    </row>
    <row r="242" spans="1:2" x14ac:dyDescent="0.25">
      <c r="A242" s="8" t="s">
        <v>19</v>
      </c>
      <c r="B242" s="8">
        <f>180+B241</f>
        <v>62.66446419762687</v>
      </c>
    </row>
  </sheetData>
  <mergeCells count="3">
    <mergeCell ref="AF93:AG93"/>
    <mergeCell ref="AI93:AJ93"/>
    <mergeCell ref="AL93:AM9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Helper_calcs!$A$3:$A$4</xm:f>
          </x14:formula1>
          <xm:sqref>C55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07"/>
  <sheetViews>
    <sheetView topLeftCell="A49" zoomScaleNormal="100" workbookViewId="0">
      <selection activeCell="B68" sqref="B68"/>
    </sheetView>
  </sheetViews>
  <sheetFormatPr defaultColWidth="9" defaultRowHeight="15.75" x14ac:dyDescent="0.25"/>
  <cols>
    <col min="1" max="1" width="35.5" style="5" customWidth="1"/>
    <col min="2" max="2" width="34" style="5" customWidth="1"/>
    <col min="3" max="3" width="28.5" style="5" customWidth="1"/>
    <col min="4" max="4" width="22.125" style="5" customWidth="1"/>
    <col min="5" max="5" width="30.75" style="5" customWidth="1"/>
    <col min="6" max="7" width="9" style="5"/>
    <col min="8" max="8" width="10.25" style="5" bestFit="1" customWidth="1"/>
    <col min="9" max="16384" width="9" style="5"/>
  </cols>
  <sheetData>
    <row r="3" spans="1:9" x14ac:dyDescent="0.25">
      <c r="A3" s="119">
        <v>43934</v>
      </c>
    </row>
    <row r="7" spans="1:9" x14ac:dyDescent="0.25">
      <c r="I7"/>
    </row>
    <row r="16" spans="1:9" x14ac:dyDescent="0.25">
      <c r="G16"/>
    </row>
    <row r="35" spans="1:4" x14ac:dyDescent="0.25">
      <c r="D35"/>
    </row>
    <row r="42" spans="1:4" x14ac:dyDescent="0.25">
      <c r="C42"/>
    </row>
    <row r="45" spans="1:4" x14ac:dyDescent="0.25">
      <c r="A45" s="30"/>
    </row>
    <row r="46" spans="1:4" x14ac:dyDescent="0.25">
      <c r="A46" s="30"/>
    </row>
    <row r="50" spans="1:8" x14ac:dyDescent="0.25">
      <c r="B50" s="7" t="s">
        <v>79</v>
      </c>
      <c r="C50" s="7" t="s">
        <v>160</v>
      </c>
    </row>
    <row r="51" spans="1:8" x14ac:dyDescent="0.25">
      <c r="A51" s="30" t="s">
        <v>121</v>
      </c>
      <c r="B51" s="24">
        <v>400000</v>
      </c>
      <c r="C51" s="24">
        <v>400000</v>
      </c>
    </row>
    <row r="52" spans="1:8" x14ac:dyDescent="0.25">
      <c r="A52" s="30" t="s">
        <v>122</v>
      </c>
      <c r="B52" s="24">
        <v>500000</v>
      </c>
      <c r="C52" s="24">
        <v>500000</v>
      </c>
      <c r="H52" s="25"/>
    </row>
    <row r="53" spans="1:8" x14ac:dyDescent="0.25">
      <c r="A53" s="30" t="s">
        <v>174</v>
      </c>
      <c r="B53" s="24">
        <v>9.4000000000000003E-13</v>
      </c>
      <c r="C53" s="24">
        <v>9.4000000000000003E-13</v>
      </c>
      <c r="H53" s="25"/>
    </row>
    <row r="54" spans="1:8" x14ac:dyDescent="0.25">
      <c r="A54" s="30" t="s">
        <v>90</v>
      </c>
      <c r="B54" s="24">
        <v>4.7000000000000002E-13</v>
      </c>
      <c r="C54" s="24">
        <v>4.7000000000000002E-13</v>
      </c>
      <c r="H54" s="25"/>
    </row>
    <row r="55" spans="1:8" x14ac:dyDescent="0.25">
      <c r="B55"/>
      <c r="C55"/>
      <c r="H55" s="25"/>
    </row>
    <row r="56" spans="1:8" x14ac:dyDescent="0.25">
      <c r="A56" s="30" t="s">
        <v>83</v>
      </c>
      <c r="B56" s="31">
        <f>Main!C45*1000</f>
        <v>100000</v>
      </c>
      <c r="C56" s="87">
        <v>0</v>
      </c>
      <c r="H56" s="25"/>
    </row>
    <row r="57" spans="1:8" x14ac:dyDescent="0.25">
      <c r="A57" s="30" t="s">
        <v>84</v>
      </c>
      <c r="B57" s="31">
        <f>Main!B46*1000</f>
        <v>25000</v>
      </c>
      <c r="C57" s="88">
        <v>10000000000</v>
      </c>
      <c r="H57" s="25"/>
    </row>
    <row r="58" spans="1:8" x14ac:dyDescent="0.25">
      <c r="A58" s="30" t="s">
        <v>113</v>
      </c>
      <c r="B58" s="31">
        <f>loop_gain!B23</f>
        <v>0</v>
      </c>
      <c r="C58" s="87">
        <v>0</v>
      </c>
      <c r="H58" s="25"/>
    </row>
    <row r="59" spans="1:8" x14ac:dyDescent="0.25">
      <c r="A59" s="30" t="s">
        <v>175</v>
      </c>
      <c r="B59" s="75">
        <f>(B56*B57)/(B56+B57)</f>
        <v>20000</v>
      </c>
      <c r="C59" s="75">
        <f>(C56*C57)/(C56+C57)</f>
        <v>0</v>
      </c>
      <c r="H59" s="25"/>
    </row>
    <row r="60" spans="1:8" x14ac:dyDescent="0.25">
      <c r="A60" s="30" t="s">
        <v>176</v>
      </c>
      <c r="B60" s="89">
        <f>(B53*B54)/(B53+B54)</f>
        <v>3.1333333333333333E-13</v>
      </c>
      <c r="C60" s="89">
        <f>(C53*C54)/(C53+C54)</f>
        <v>3.1333333333333333E-13</v>
      </c>
      <c r="H60" s="25"/>
    </row>
    <row r="61" spans="1:8" x14ac:dyDescent="0.25">
      <c r="A61" s="30"/>
      <c r="H61" s="25"/>
    </row>
    <row r="62" spans="1:8" x14ac:dyDescent="0.25">
      <c r="A62" s="30"/>
      <c r="H62" s="25"/>
    </row>
    <row r="63" spans="1:8" x14ac:dyDescent="0.25">
      <c r="B63" s="7" t="s">
        <v>79</v>
      </c>
      <c r="C63" s="7" t="s">
        <v>160</v>
      </c>
      <c r="H63" s="25"/>
    </row>
    <row r="64" spans="1:8" x14ac:dyDescent="0.25">
      <c r="A64" s="30" t="s">
        <v>35</v>
      </c>
      <c r="B64" s="89">
        <f>B51*(B53+B54)*B52*B60*B59*B58</f>
        <v>0</v>
      </c>
      <c r="C64" s="89">
        <f>C51*(C53+C54)*C52*C60*C59*C58</f>
        <v>0</v>
      </c>
      <c r="H64" s="26"/>
    </row>
    <row r="65" spans="1:8" x14ac:dyDescent="0.25">
      <c r="A65" s="30" t="s">
        <v>36</v>
      </c>
      <c r="B65" s="89">
        <f>B51*(B53+B54)*B59*B58+(B51+B59)*B52*B53*B54+B59*B58*B52*B54</f>
        <v>9.2778000000000016E-14</v>
      </c>
      <c r="C65" s="89">
        <f>C51*(C53+C54)*C59*C58+(C51+C59)*C52*C53*C54+C59*C58*C52*C54</f>
        <v>8.8360000000000002E-14</v>
      </c>
    </row>
    <row r="66" spans="1:8" x14ac:dyDescent="0.25">
      <c r="A66" s="30" t="s">
        <v>90</v>
      </c>
      <c r="B66" s="89">
        <f>(B51+B59)*(B53+B54)+B52*B54+B59*B58</f>
        <v>8.272E-7</v>
      </c>
      <c r="C66" s="89">
        <f>(C51+C59)*(C53+C54)+C52*C54+C59*C58</f>
        <v>7.9899999999999999E-7</v>
      </c>
      <c r="H66" s="25"/>
    </row>
    <row r="67" spans="1:8" x14ac:dyDescent="0.25">
      <c r="A67" s="30" t="s">
        <v>97</v>
      </c>
      <c r="B67" s="89">
        <f>B56*B58</f>
        <v>0</v>
      </c>
      <c r="C67" s="89">
        <f>C56*C58</f>
        <v>0</v>
      </c>
      <c r="D67" s="27"/>
      <c r="H67" s="26"/>
    </row>
    <row r="68" spans="1:8" x14ac:dyDescent="0.25">
      <c r="A68" s="30" t="s">
        <v>180</v>
      </c>
      <c r="B68" s="89">
        <f>B52*B54</f>
        <v>2.35E-7</v>
      </c>
      <c r="C68" s="89">
        <f>C52*C54</f>
        <v>2.35E-7</v>
      </c>
      <c r="D68" s="27"/>
      <c r="H68" s="26"/>
    </row>
    <row r="69" spans="1:8" x14ac:dyDescent="0.25">
      <c r="A69" s="30"/>
      <c r="B69"/>
      <c r="C69"/>
      <c r="D69" s="27"/>
      <c r="H69" s="26"/>
    </row>
    <row r="70" spans="1:8" x14ac:dyDescent="0.25">
      <c r="A70"/>
      <c r="B70"/>
      <c r="C70"/>
    </row>
    <row r="71" spans="1:8" x14ac:dyDescent="0.25">
      <c r="A71" s="30" t="s">
        <v>177</v>
      </c>
      <c r="B71" s="112">
        <v>181000</v>
      </c>
      <c r="C71" s="112">
        <v>181000</v>
      </c>
    </row>
    <row r="72" spans="1:8" x14ac:dyDescent="0.25">
      <c r="A72" s="30" t="s">
        <v>178</v>
      </c>
      <c r="B72" s="112">
        <v>4.0000000000000001E-13</v>
      </c>
      <c r="C72" s="112">
        <v>4.0000000000000001E-13</v>
      </c>
    </row>
    <row r="73" spans="1:8" x14ac:dyDescent="0.25">
      <c r="A73" s="30" t="s">
        <v>37</v>
      </c>
      <c r="B73" s="88">
        <f>B71*B72</f>
        <v>7.24E-8</v>
      </c>
      <c r="C73" s="88">
        <f>C71*C72</f>
        <v>7.24E-8</v>
      </c>
    </row>
    <row r="75" spans="1:8" x14ac:dyDescent="0.25">
      <c r="H75" s="26"/>
    </row>
    <row r="76" spans="1:8" x14ac:dyDescent="0.25">
      <c r="H76" s="25"/>
    </row>
    <row r="82" spans="1:5" x14ac:dyDescent="0.25">
      <c r="B82" s="25"/>
      <c r="C82" s="25"/>
    </row>
    <row r="83" spans="1:5" x14ac:dyDescent="0.25">
      <c r="B83" s="25"/>
      <c r="C83" s="25"/>
    </row>
    <row r="84" spans="1:5" x14ac:dyDescent="0.25">
      <c r="A84"/>
      <c r="B84" s="25"/>
      <c r="C84" s="25"/>
      <c r="D84"/>
      <c r="E84"/>
    </row>
    <row r="85" spans="1:5" x14ac:dyDescent="0.25">
      <c r="A85"/>
      <c r="D85"/>
      <c r="E85"/>
    </row>
    <row r="86" spans="1:5" x14ac:dyDescent="0.25">
      <c r="A86"/>
      <c r="D86"/>
      <c r="E86"/>
    </row>
    <row r="87" spans="1:5" x14ac:dyDescent="0.25">
      <c r="A87"/>
      <c r="B87" s="25"/>
      <c r="C87" s="25"/>
      <c r="D87"/>
      <c r="E87"/>
    </row>
    <row r="88" spans="1:5" x14ac:dyDescent="0.25">
      <c r="A88"/>
      <c r="B88" s="25"/>
      <c r="C88" s="25"/>
      <c r="D88"/>
      <c r="E88"/>
    </row>
    <row r="89" spans="1:5" x14ac:dyDescent="0.25">
      <c r="A89"/>
      <c r="B89" s="25"/>
      <c r="C89" s="25"/>
      <c r="D89"/>
      <c r="E89"/>
    </row>
    <row r="90" spans="1:5" x14ac:dyDescent="0.25">
      <c r="A90"/>
      <c r="B90" s="25"/>
      <c r="C90" s="25"/>
      <c r="D90"/>
      <c r="E90"/>
    </row>
    <row r="91" spans="1:5" x14ac:dyDescent="0.25">
      <c r="A91"/>
      <c r="B91"/>
      <c r="C91"/>
      <c r="D91"/>
      <c r="E91"/>
    </row>
    <row r="92" spans="1:5" x14ac:dyDescent="0.25">
      <c r="A92"/>
      <c r="B92"/>
      <c r="C92"/>
      <c r="D92"/>
      <c r="E92"/>
    </row>
    <row r="93" spans="1:5" x14ac:dyDescent="0.25">
      <c r="A93"/>
      <c r="B93"/>
      <c r="C93"/>
      <c r="D93"/>
      <c r="E93"/>
    </row>
    <row r="94" spans="1:5" x14ac:dyDescent="0.25">
      <c r="A94"/>
      <c r="B94"/>
      <c r="C94"/>
      <c r="D94"/>
      <c r="E94"/>
    </row>
    <row r="95" spans="1:5" x14ac:dyDescent="0.25">
      <c r="A95"/>
      <c r="B95"/>
      <c r="C95"/>
      <c r="D95"/>
      <c r="E95"/>
    </row>
    <row r="104" spans="1:4" x14ac:dyDescent="0.25">
      <c r="B104" s="7"/>
      <c r="C104" s="7"/>
      <c r="D104" s="7"/>
    </row>
    <row r="105" spans="1:4" x14ac:dyDescent="0.25">
      <c r="A105"/>
      <c r="B105"/>
      <c r="C105"/>
      <c r="D105"/>
    </row>
    <row r="106" spans="1:4" x14ac:dyDescent="0.25">
      <c r="A106"/>
      <c r="B106"/>
      <c r="C106"/>
      <c r="D106"/>
    </row>
    <row r="107" spans="1:4" x14ac:dyDescent="0.25">
      <c r="A107"/>
      <c r="B107"/>
      <c r="C107"/>
      <c r="D107"/>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4100" r:id="rId4">
          <objectPr defaultSize="0" autoPict="0" r:id="rId5">
            <anchor moveWithCells="1" sizeWithCells="1">
              <from>
                <xdr:col>2</xdr:col>
                <xdr:colOff>1409700</xdr:colOff>
                <xdr:row>6</xdr:row>
                <xdr:rowOff>19050</xdr:rowOff>
              </from>
              <to>
                <xdr:col>7</xdr:col>
                <xdr:colOff>66675</xdr:colOff>
                <xdr:row>31</xdr:row>
                <xdr:rowOff>161925</xdr:rowOff>
              </to>
            </anchor>
          </objectPr>
        </oleObject>
      </mc:Choice>
      <mc:Fallback>
        <oleObject progId="Equation.DSMT4" shapeId="4100"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64"/>
  <sheetViews>
    <sheetView topLeftCell="A46" zoomScale="115" zoomScaleNormal="115" workbookViewId="0">
      <selection activeCell="G26" sqref="G26"/>
    </sheetView>
  </sheetViews>
  <sheetFormatPr defaultRowHeight="15.75" x14ac:dyDescent="0.25"/>
  <cols>
    <col min="1" max="1" width="25.75" customWidth="1"/>
    <col min="2" max="2" width="18.5" customWidth="1"/>
    <col min="3" max="3" width="15.125" customWidth="1"/>
  </cols>
  <sheetData>
    <row r="3" spans="1:2" x14ac:dyDescent="0.25">
      <c r="A3" s="106" t="s">
        <v>128</v>
      </c>
      <c r="B3" s="148" t="s">
        <v>126</v>
      </c>
    </row>
    <row r="4" spans="1:2" x14ac:dyDescent="0.25">
      <c r="A4" s="107" t="s">
        <v>127</v>
      </c>
      <c r="B4" s="149"/>
    </row>
    <row r="5" spans="1:2" x14ac:dyDescent="0.25">
      <c r="A5" s="42"/>
      <c r="B5" s="150"/>
    </row>
    <row r="6" spans="1:2" x14ac:dyDescent="0.25">
      <c r="A6" s="40" t="s">
        <v>169</v>
      </c>
      <c r="B6" s="148" t="s">
        <v>126</v>
      </c>
    </row>
    <row r="7" spans="1:2" x14ac:dyDescent="0.25">
      <c r="A7" s="41" t="s">
        <v>170</v>
      </c>
      <c r="B7" s="149"/>
    </row>
    <row r="8" spans="1:2" x14ac:dyDescent="0.25">
      <c r="A8" s="42" t="s">
        <v>171</v>
      </c>
      <c r="B8" s="150"/>
    </row>
    <row r="9" spans="1:2" x14ac:dyDescent="0.25">
      <c r="A9" s="104"/>
      <c r="B9" s="105"/>
    </row>
    <row r="10" spans="1:2" x14ac:dyDescent="0.25">
      <c r="A10" s="104"/>
      <c r="B10" s="105"/>
    </row>
    <row r="11" spans="1:2" x14ac:dyDescent="0.25">
      <c r="A11" s="128">
        <f>IF(B22=4,"",2100)</f>
        <v>2100</v>
      </c>
      <c r="B11" s="151" t="s">
        <v>126</v>
      </c>
    </row>
    <row r="12" spans="1:2" x14ac:dyDescent="0.25">
      <c r="A12" s="128">
        <v>400</v>
      </c>
      <c r="B12" s="152"/>
    </row>
    <row r="13" spans="1:2" x14ac:dyDescent="0.25">
      <c r="A13" s="128" t="str">
        <f>IF(OR(B22=2,B22=3),"",1000)</f>
        <v/>
      </c>
      <c r="B13" s="152"/>
    </row>
    <row r="14" spans="1:2" x14ac:dyDescent="0.25">
      <c r="A14" s="128">
        <f>IF(OR(B22=2,B22=3),1400,"")</f>
        <v>1400</v>
      </c>
      <c r="B14" s="153"/>
    </row>
    <row r="15" spans="1:2" x14ac:dyDescent="0.25">
      <c r="A15" s="104"/>
      <c r="B15" s="105"/>
    </row>
    <row r="16" spans="1:2" x14ac:dyDescent="0.25">
      <c r="A16" s="40" t="str">
        <f>IF(B22=4,"","RNX")</f>
        <v>RNX</v>
      </c>
      <c r="B16" s="148" t="s">
        <v>126</v>
      </c>
    </row>
    <row r="17" spans="1:2" x14ac:dyDescent="0.25">
      <c r="A17" s="42" t="s">
        <v>173</v>
      </c>
      <c r="B17" s="149"/>
    </row>
    <row r="18" spans="1:2" x14ac:dyDescent="0.25">
      <c r="A18" s="104"/>
      <c r="B18" s="150"/>
    </row>
    <row r="19" spans="1:2" x14ac:dyDescent="0.25">
      <c r="A19" s="104"/>
      <c r="B19" s="105"/>
    </row>
    <row r="20" spans="1:2" x14ac:dyDescent="0.25">
      <c r="A20" s="104"/>
      <c r="B20" s="105"/>
    </row>
    <row r="22" spans="1:2" x14ac:dyDescent="0.25">
      <c r="A22" t="s">
        <v>119</v>
      </c>
      <c r="B22" s="39">
        <f>IF(Main!B16="lmr33630",3,IF(Main!B16="lmr33620",2,IF(Main!B16="lmr33640",4,"")))</f>
        <v>3</v>
      </c>
    </row>
    <row r="26" spans="1:2" x14ac:dyDescent="0.25">
      <c r="A26" t="s">
        <v>22</v>
      </c>
      <c r="B26" s="39">
        <f>IF(B22=3,3.85,IF(B22=2,2.9,IF(B22=4,4.8,"")))</f>
        <v>3.85</v>
      </c>
    </row>
    <row r="27" spans="1:2" x14ac:dyDescent="0.25">
      <c r="A27" t="s">
        <v>23</v>
      </c>
      <c r="B27" s="39">
        <f>IF(B22=3,2.9,IF(B22=2,1.95,IF(B22=4,3.9,"")))</f>
        <v>2.9</v>
      </c>
    </row>
    <row r="30" spans="1:2" x14ac:dyDescent="0.25">
      <c r="A30" t="s">
        <v>25</v>
      </c>
      <c r="B30" s="76">
        <f>(Main!B19-Main!B20)*(Main!B20/Main!B19)/(Main!B31*0.000001*Main!B22*1000)</f>
        <v>1.0723039215686276</v>
      </c>
    </row>
    <row r="31" spans="1:2" x14ac:dyDescent="0.25">
      <c r="A31" t="s">
        <v>24</v>
      </c>
      <c r="B31" s="76">
        <f>Main!B21+0.5*Helper_calcs!B30</f>
        <v>3.5361519607843137</v>
      </c>
    </row>
    <row r="32" spans="1:2" x14ac:dyDescent="0.25">
      <c r="A32" t="s">
        <v>26</v>
      </c>
      <c r="B32" s="76">
        <f>Main!B21-0.5*Helper_calcs!B30</f>
        <v>2.4638480392156863</v>
      </c>
    </row>
    <row r="35" spans="1:2" x14ac:dyDescent="0.25">
      <c r="A35" t="s">
        <v>29</v>
      </c>
      <c r="B35" s="39">
        <f>IF(B22=3,4.05*loop_gain!B13,IF(Helper_calcs!B22=2,3.15*loop_gain!B13,IF(Helper_calcs!B22=4,4.98*loop_gain!B13,"")))</f>
        <v>4.05</v>
      </c>
    </row>
    <row r="36" spans="1:2" x14ac:dyDescent="0.25">
      <c r="A36" t="s">
        <v>30</v>
      </c>
      <c r="B36" s="110">
        <f>IF(B22=3,1.8*loop_gain!B13*loop_gain!B18,IF(Helper_calcs!B22=2,1.4*loop_gain!B13*loop_gain!B18,IF(Helper_calcs!B22=4,2.2*loop_gain!B13*loop_gain!B18,"")))</f>
        <v>720000</v>
      </c>
    </row>
    <row r="39" spans="1:2" x14ac:dyDescent="0.25">
      <c r="A39" t="s">
        <v>138</v>
      </c>
      <c r="B39" s="73">
        <v>3.8</v>
      </c>
    </row>
    <row r="40" spans="1:2" x14ac:dyDescent="0.25">
      <c r="A40" t="s">
        <v>139</v>
      </c>
      <c r="B40" s="73">
        <v>36</v>
      </c>
    </row>
    <row r="42" spans="1:2" x14ac:dyDescent="0.25">
      <c r="A42" t="s">
        <v>147</v>
      </c>
      <c r="B42" s="39">
        <f>IF(Main!B17="DDA",0.16,IF(Main!B17="RNX",0.145,""))</f>
        <v>0.16</v>
      </c>
    </row>
    <row r="43" spans="1:2" x14ac:dyDescent="0.25">
      <c r="A43" t="s">
        <v>148</v>
      </c>
      <c r="B43" s="39">
        <f>IF(Main!B17="DDA",0.11,IF(Main!B17="RNX",0.095,""))</f>
        <v>0.11</v>
      </c>
    </row>
    <row r="46" spans="1:2" x14ac:dyDescent="0.25">
      <c r="A46" t="s">
        <v>140</v>
      </c>
      <c r="B46" s="111">
        <f>IF(Main!B17="DDA",0.000000108,IF(Main!B17="RNX",0.00000008,""))</f>
        <v>1.08E-7</v>
      </c>
    </row>
    <row r="47" spans="1:2" x14ac:dyDescent="0.25">
      <c r="A47" t="s">
        <v>141</v>
      </c>
      <c r="B47" s="111">
        <f>IF(Main!B17="DDA",0.000000085,IF(Main!B17="RNX",0.00000007,""))</f>
        <v>8.4999999999999994E-8</v>
      </c>
    </row>
    <row r="48" spans="1:2" x14ac:dyDescent="0.25">
      <c r="A48" t="s">
        <v>142</v>
      </c>
      <c r="B48" s="74">
        <v>9.0000000000000002E-6</v>
      </c>
    </row>
    <row r="50" spans="1:3" x14ac:dyDescent="0.25">
      <c r="A50" t="s">
        <v>143</v>
      </c>
      <c r="B50" s="75">
        <f>B46*loop_gain!B18</f>
        <v>4.3200000000000002E-2</v>
      </c>
    </row>
    <row r="51" spans="1:3" x14ac:dyDescent="0.25">
      <c r="A51" t="s">
        <v>144</v>
      </c>
      <c r="B51" s="75">
        <f>1-B47*loop_gain!B18</f>
        <v>0.96599999999999997</v>
      </c>
    </row>
    <row r="52" spans="1:3" x14ac:dyDescent="0.25">
      <c r="A52" t="s">
        <v>145</v>
      </c>
      <c r="B52" s="75">
        <f>B48/(B48+B47)</f>
        <v>0.99064391854705558</v>
      </c>
    </row>
    <row r="55" spans="1:3" x14ac:dyDescent="0.25">
      <c r="A55" t="s">
        <v>146</v>
      </c>
      <c r="B55" s="76">
        <f>((Main!B20+Main!B21*(Main!B56/1000+Helper_calcs!B43))/Helper_calcs!B50)+Main!B21*(Helper_calcs!B42-Helper_calcs!B43)</f>
        <v>126.30740740740741</v>
      </c>
      <c r="C55" s="39">
        <f>IF(B55&gt;B40,B40,B55)</f>
        <v>36</v>
      </c>
    </row>
    <row r="56" spans="1:3" x14ac:dyDescent="0.25">
      <c r="A56" t="s">
        <v>149</v>
      </c>
      <c r="B56" s="76">
        <f>((Main!B20+Main!B21*(Main!B56/1000+Helper_calcs!B43))/B51)+Main!B21*(Helper_calcs!B42-Helper_calcs!B43)</f>
        <v>5.7918219461697733</v>
      </c>
      <c r="C56" s="39">
        <f>IF(B56&lt;B39,B39,B56)</f>
        <v>5.7918219461697733</v>
      </c>
    </row>
    <row r="57" spans="1:3" x14ac:dyDescent="0.25">
      <c r="A57" t="s">
        <v>150</v>
      </c>
      <c r="B57" s="76">
        <f>((Main!B20+Main!B21*(Main!B56/1000+Helper_calcs!B43))/B52)+Main!B21*(Helper_calcs!B42-Helper_calcs!B43)</f>
        <v>5.6514722222222229</v>
      </c>
      <c r="C57" s="39">
        <f>IF(B57&lt;B39,B39,B57)</f>
        <v>5.6514722222222229</v>
      </c>
    </row>
    <row r="61" spans="1:3" x14ac:dyDescent="0.25">
      <c r="A61" t="s">
        <v>165</v>
      </c>
      <c r="B61" s="101">
        <f>(Main!B19-Main!B20)*(Main!B20/Main!B19)/(Main!B22*1000*Main!B24*Helper_calcs!B22)</f>
        <v>8.101851851851852E-6</v>
      </c>
    </row>
    <row r="62" spans="1:3" x14ac:dyDescent="0.25">
      <c r="A62" t="s">
        <v>166</v>
      </c>
      <c r="B62" s="101">
        <f>Main!B20/(2*Helper_calcs!B36)</f>
        <v>3.4722222222222224E-6</v>
      </c>
    </row>
    <row r="64" spans="1:3" x14ac:dyDescent="0.25">
      <c r="A64" t="s">
        <v>167</v>
      </c>
      <c r="B64" s="101">
        <f>IF(B61&lt;B62,B62,B61)</f>
        <v>8.101851851851852E-6</v>
      </c>
    </row>
  </sheetData>
  <mergeCells count="4">
    <mergeCell ref="B6:B8"/>
    <mergeCell ref="B3:B5"/>
    <mergeCell ref="B16:B18"/>
    <mergeCell ref="B11:B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F13" sqref="F13"/>
    </sheetView>
  </sheetViews>
  <sheetFormatPr defaultRowHeight="15.75" x14ac:dyDescent="0.25"/>
  <sheetData/>
  <pageMargins left="0.7" right="0.7" top="0.75" bottom="0.75" header="0.3" footer="0.3"/>
  <drawing r:id="rId1"/>
  <legacyDrawing r:id="rId2"/>
  <oleObjects>
    <mc:AlternateContent xmlns:mc="http://schemas.openxmlformats.org/markup-compatibility/2006">
      <mc:Choice Requires="x14">
        <oleObject progId="Document" dvAspect="DVASPECT_ICON" shapeId="9218" r:id="rId3">
          <objectPr defaultSize="0" r:id="rId4">
            <anchor moveWithCells="1">
              <from>
                <xdr:col>5</xdr:col>
                <xdr:colOff>0</xdr:colOff>
                <xdr:row>12</xdr:row>
                <xdr:rowOff>0</xdr:rowOff>
              </from>
              <to>
                <xdr:col>6</xdr:col>
                <xdr:colOff>228600</xdr:colOff>
                <xdr:row>15</xdr:row>
                <xdr:rowOff>85725</xdr:rowOff>
              </to>
            </anchor>
          </objectPr>
        </oleObject>
      </mc:Choice>
      <mc:Fallback>
        <oleObject progId="Document" dvAspect="DVASPECT_ICON" shapeId="9218" r:id="rId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4:C27"/>
  <sheetViews>
    <sheetView workbookViewId="0">
      <selection activeCell="B16" sqref="B16"/>
    </sheetView>
  </sheetViews>
  <sheetFormatPr defaultRowHeight="15.75" x14ac:dyDescent="0.25"/>
  <cols>
    <col min="1" max="1" width="12" customWidth="1"/>
    <col min="2" max="2" width="18.125" customWidth="1"/>
    <col min="3" max="3" width="20.375" customWidth="1"/>
  </cols>
  <sheetData>
    <row r="14" spans="1:2" x14ac:dyDescent="0.25">
      <c r="A14" t="s">
        <v>184</v>
      </c>
      <c r="B14" s="74">
        <v>1E-4</v>
      </c>
    </row>
    <row r="15" spans="1:2" x14ac:dyDescent="0.25">
      <c r="A15" t="s">
        <v>185</v>
      </c>
      <c r="B15" s="74">
        <v>1000000</v>
      </c>
    </row>
    <row r="16" spans="1:2" x14ac:dyDescent="0.25">
      <c r="A16" t="s">
        <v>186</v>
      </c>
      <c r="B16" s="74">
        <v>133000</v>
      </c>
    </row>
    <row r="17" spans="1:3" x14ac:dyDescent="0.25">
      <c r="A17" t="s">
        <v>187</v>
      </c>
      <c r="B17" s="74">
        <v>2.1E-10</v>
      </c>
    </row>
    <row r="18" spans="1:3" x14ac:dyDescent="0.25">
      <c r="A18" t="s">
        <v>189</v>
      </c>
      <c r="B18" s="74">
        <v>0</v>
      </c>
    </row>
    <row r="20" spans="1:3" x14ac:dyDescent="0.25">
      <c r="A20" t="s">
        <v>31</v>
      </c>
      <c r="B20" s="110">
        <f>B14*B15</f>
        <v>100</v>
      </c>
      <c r="C20">
        <f>20*LOG10(B20)</f>
        <v>40</v>
      </c>
    </row>
    <row r="21" spans="1:3" x14ac:dyDescent="0.25">
      <c r="A21" t="s">
        <v>188</v>
      </c>
      <c r="B21" s="75">
        <f>B15*B16*B17*B18</f>
        <v>0</v>
      </c>
    </row>
    <row r="22" spans="1:3" x14ac:dyDescent="0.25">
      <c r="A22" t="s">
        <v>190</v>
      </c>
      <c r="B22" s="75">
        <f>B16*B17+B18*B15+B17*B15</f>
        <v>2.3793000000000002E-4</v>
      </c>
    </row>
    <row r="23" spans="1:3" x14ac:dyDescent="0.25">
      <c r="A23" t="s">
        <v>33</v>
      </c>
      <c r="B23" s="75">
        <f>B16*B17</f>
        <v>2.7929999999999999E-5</v>
      </c>
    </row>
    <row r="24" spans="1:3" x14ac:dyDescent="0.25">
      <c r="B24" s="124"/>
    </row>
    <row r="25" spans="1:3" x14ac:dyDescent="0.25">
      <c r="B25" s="124"/>
    </row>
    <row r="26" spans="1:3" x14ac:dyDescent="0.25">
      <c r="A26" t="s">
        <v>32</v>
      </c>
      <c r="B26" s="75">
        <f>B22</f>
        <v>2.3793000000000002E-4</v>
      </c>
      <c r="C26" s="123" t="s">
        <v>191</v>
      </c>
    </row>
    <row r="27" spans="1:3" x14ac:dyDescent="0.25">
      <c r="A27" t="s">
        <v>197</v>
      </c>
      <c r="B27" s="75">
        <f>B21/B22</f>
        <v>0</v>
      </c>
      <c r="C27" s="123" t="s">
        <v>192</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6145" r:id="rId4">
          <objectPr defaultSize="0" autoPict="0" r:id="rId5">
            <anchor moveWithCells="1" sizeWithCells="1">
              <from>
                <xdr:col>4</xdr:col>
                <xdr:colOff>590550</xdr:colOff>
                <xdr:row>2</xdr:row>
                <xdr:rowOff>9525</xdr:rowOff>
              </from>
              <to>
                <xdr:col>9</xdr:col>
                <xdr:colOff>180975</xdr:colOff>
                <xdr:row>25</xdr:row>
                <xdr:rowOff>47625</xdr:rowOff>
              </to>
            </anchor>
          </objectPr>
        </oleObject>
      </mc:Choice>
      <mc:Fallback>
        <oleObject progId="Equation.DSMT4" shapeId="6145"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D32"/>
  <sheetViews>
    <sheetView topLeftCell="A4" zoomScale="115" zoomScaleNormal="115" workbookViewId="0">
      <selection activeCell="H31" sqref="H31"/>
    </sheetView>
  </sheetViews>
  <sheetFormatPr defaultRowHeight="15.75" x14ac:dyDescent="0.25"/>
  <cols>
    <col min="1" max="1" width="16.25" customWidth="1"/>
    <col min="2" max="2" width="11.5" customWidth="1"/>
    <col min="3" max="3" width="12.75" customWidth="1"/>
  </cols>
  <sheetData>
    <row r="9" spans="1:4" x14ac:dyDescent="0.25">
      <c r="A9" s="119">
        <v>43938</v>
      </c>
      <c r="B9" s="5"/>
    </row>
    <row r="10" spans="1:4" x14ac:dyDescent="0.25">
      <c r="A10" s="5"/>
      <c r="B10" s="5"/>
    </row>
    <row r="11" spans="1:4" x14ac:dyDescent="0.25">
      <c r="A11" s="6" t="s">
        <v>205</v>
      </c>
      <c r="B11" s="5"/>
    </row>
    <row r="14" spans="1:4" x14ac:dyDescent="0.25">
      <c r="B14" s="126">
        <v>2</v>
      </c>
      <c r="C14" s="126">
        <v>3</v>
      </c>
      <c r="D14" s="126">
        <v>4</v>
      </c>
    </row>
    <row r="15" spans="1:4" x14ac:dyDescent="0.25">
      <c r="A15" s="126">
        <v>400</v>
      </c>
      <c r="B15" s="73">
        <v>55</v>
      </c>
      <c r="C15" s="73">
        <v>55</v>
      </c>
      <c r="D15" s="73">
        <v>55</v>
      </c>
    </row>
    <row r="16" spans="1:4" x14ac:dyDescent="0.25">
      <c r="A16" s="126">
        <v>1000</v>
      </c>
      <c r="B16" s="73"/>
      <c r="C16" s="73"/>
      <c r="D16" s="73">
        <v>45</v>
      </c>
    </row>
    <row r="17" spans="1:4" x14ac:dyDescent="0.25">
      <c r="A17" s="126">
        <v>1400</v>
      </c>
      <c r="B17" s="73">
        <v>26</v>
      </c>
      <c r="C17" s="73">
        <v>26</v>
      </c>
      <c r="D17" s="73"/>
    </row>
    <row r="18" spans="1:4" x14ac:dyDescent="0.25">
      <c r="A18" s="126">
        <v>2100</v>
      </c>
      <c r="B18" s="73">
        <v>26</v>
      </c>
      <c r="C18" s="73">
        <v>26</v>
      </c>
      <c r="D18" s="73"/>
    </row>
    <row r="20" spans="1:4" x14ac:dyDescent="0.25">
      <c r="A20" s="5"/>
      <c r="B20" s="7" t="s">
        <v>20</v>
      </c>
      <c r="C20" s="7" t="s">
        <v>21</v>
      </c>
    </row>
    <row r="21" spans="1:4" x14ac:dyDescent="0.25">
      <c r="A21" s="5" t="s">
        <v>16</v>
      </c>
      <c r="B21" s="127">
        <v>3.3</v>
      </c>
      <c r="C21" s="127">
        <v>5</v>
      </c>
    </row>
    <row r="22" spans="1:4" x14ac:dyDescent="0.25">
      <c r="A22" s="126"/>
    </row>
    <row r="23" spans="1:4" x14ac:dyDescent="0.25">
      <c r="A23" t="s">
        <v>198</v>
      </c>
      <c r="B23" s="39">
        <f>INDEX(A14:D18,MATCH(loop_gain!B18/1000,cout_min_calc2!A14:A18,0),MATCH(Helper_calcs!B22,cout_min_calc2!A14:D14,0))</f>
        <v>55</v>
      </c>
    </row>
    <row r="25" spans="1:4" x14ac:dyDescent="0.25">
      <c r="A25" s="126" t="s">
        <v>199</v>
      </c>
      <c r="B25" s="129">
        <f>($C$21/Main!B20)*cout_min_calc2!B23</f>
        <v>55</v>
      </c>
      <c r="C25" s="131" t="s">
        <v>204</v>
      </c>
    </row>
    <row r="26" spans="1:4" x14ac:dyDescent="0.25">
      <c r="A26" s="126" t="s">
        <v>200</v>
      </c>
      <c r="B26" s="129">
        <f>($B$21/Main!B20)*cout_min_calc2!B23</f>
        <v>36.299999999999997</v>
      </c>
      <c r="C26" s="131" t="s">
        <v>204</v>
      </c>
    </row>
    <row r="27" spans="1:4" x14ac:dyDescent="0.25">
      <c r="A27" s="126"/>
      <c r="C27" s="131"/>
    </row>
    <row r="28" spans="1:4" x14ac:dyDescent="0.25">
      <c r="A28" s="126" t="s">
        <v>202</v>
      </c>
      <c r="B28" s="129">
        <f>IF(Main!B20&gt;=4.2,cout_min_calc2!B25,cout_min_calc2!B26)</f>
        <v>55</v>
      </c>
      <c r="C28" s="131" t="s">
        <v>204</v>
      </c>
    </row>
    <row r="29" spans="1:4" x14ac:dyDescent="0.25">
      <c r="A29" s="126"/>
      <c r="B29" s="132"/>
    </row>
    <row r="30" spans="1:4" x14ac:dyDescent="0.25">
      <c r="A30" s="126" t="s">
        <v>203</v>
      </c>
      <c r="B30" s="129">
        <f>IF(B28&lt;=8,8,B28)</f>
        <v>55</v>
      </c>
      <c r="C30" s="131" t="s">
        <v>204</v>
      </c>
    </row>
    <row r="31" spans="1:4" x14ac:dyDescent="0.25">
      <c r="A31" s="126"/>
    </row>
    <row r="32" spans="1:4" x14ac:dyDescent="0.25">
      <c r="A32" s="12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D32"/>
  <sheetViews>
    <sheetView topLeftCell="A4" zoomScale="115" zoomScaleNormal="115" workbookViewId="0">
      <selection activeCell="G31" sqref="G31"/>
    </sheetView>
  </sheetViews>
  <sheetFormatPr defaultRowHeight="15.75" x14ac:dyDescent="0.25"/>
  <cols>
    <col min="1" max="1" width="16.25" customWidth="1"/>
    <col min="2" max="2" width="11.5" customWidth="1"/>
    <col min="3" max="3" width="12.75" customWidth="1"/>
  </cols>
  <sheetData>
    <row r="9" spans="1:4" x14ac:dyDescent="0.25">
      <c r="A9" s="119">
        <v>43938</v>
      </c>
      <c r="B9" s="5"/>
    </row>
    <row r="10" spans="1:4" x14ac:dyDescent="0.25">
      <c r="A10" s="5"/>
      <c r="B10" s="5"/>
    </row>
    <row r="11" spans="1:4" x14ac:dyDescent="0.25">
      <c r="A11" s="6" t="s">
        <v>205</v>
      </c>
      <c r="B11" s="5"/>
    </row>
    <row r="14" spans="1:4" x14ac:dyDescent="0.25">
      <c r="B14" s="126">
        <v>2</v>
      </c>
      <c r="C14" s="126">
        <v>3</v>
      </c>
      <c r="D14" s="126">
        <v>4</v>
      </c>
    </row>
    <row r="15" spans="1:4" x14ac:dyDescent="0.25">
      <c r="A15" s="126">
        <v>400</v>
      </c>
      <c r="B15" s="73">
        <v>72</v>
      </c>
      <c r="C15" s="73">
        <v>72</v>
      </c>
      <c r="D15" s="73">
        <v>72</v>
      </c>
    </row>
    <row r="16" spans="1:4" x14ac:dyDescent="0.25">
      <c r="A16" s="126">
        <v>1000</v>
      </c>
      <c r="B16" s="73"/>
      <c r="C16" s="73"/>
      <c r="D16" s="73">
        <v>55</v>
      </c>
    </row>
    <row r="17" spans="1:4" x14ac:dyDescent="0.25">
      <c r="A17" s="126">
        <v>1400</v>
      </c>
      <c r="B17" s="73">
        <v>36</v>
      </c>
      <c r="C17" s="73">
        <v>36</v>
      </c>
      <c r="D17" s="73"/>
    </row>
    <row r="18" spans="1:4" x14ac:dyDescent="0.25">
      <c r="A18" s="126">
        <v>2100</v>
      </c>
      <c r="B18" s="73">
        <v>36</v>
      </c>
      <c r="C18" s="73">
        <v>36</v>
      </c>
      <c r="D18" s="73"/>
    </row>
    <row r="20" spans="1:4" x14ac:dyDescent="0.25">
      <c r="A20" s="5"/>
      <c r="B20" s="7" t="s">
        <v>20</v>
      </c>
      <c r="C20" s="7" t="s">
        <v>21</v>
      </c>
    </row>
    <row r="21" spans="1:4" x14ac:dyDescent="0.25">
      <c r="A21" s="5" t="s">
        <v>16</v>
      </c>
      <c r="B21" s="127">
        <v>3.3</v>
      </c>
      <c r="C21" s="127">
        <v>5</v>
      </c>
    </row>
    <row r="22" spans="1:4" x14ac:dyDescent="0.25">
      <c r="A22" s="126"/>
    </row>
    <row r="23" spans="1:4" x14ac:dyDescent="0.25">
      <c r="A23" t="s">
        <v>198</v>
      </c>
      <c r="B23" s="39">
        <f>INDEX(A14:D18,MATCH(loop_gain!B18/1000,cout_calc2!A14:A18,0),MATCH(Helper_calcs!B22,cout_calc2!A14:D14,0))</f>
        <v>72</v>
      </c>
    </row>
    <row r="25" spans="1:4" x14ac:dyDescent="0.25">
      <c r="A25" s="126" t="s">
        <v>199</v>
      </c>
      <c r="B25" s="129">
        <f>($C$21/Main!B20)*cout_calc2!B23</f>
        <v>72</v>
      </c>
      <c r="C25" s="131" t="s">
        <v>204</v>
      </c>
    </row>
    <row r="26" spans="1:4" x14ac:dyDescent="0.25">
      <c r="A26" s="126" t="s">
        <v>200</v>
      </c>
      <c r="B26" s="129">
        <f>($B$21/Main!B20)*cout_calc2!B23</f>
        <v>47.519999999999996</v>
      </c>
      <c r="C26" s="131" t="s">
        <v>204</v>
      </c>
    </row>
    <row r="27" spans="1:4" x14ac:dyDescent="0.25">
      <c r="A27" s="126"/>
      <c r="C27" s="131"/>
    </row>
    <row r="28" spans="1:4" x14ac:dyDescent="0.25">
      <c r="A28" s="126" t="s">
        <v>201</v>
      </c>
      <c r="B28" s="39">
        <f>IF(Main!B20&gt;=4.2,cout_calc2!B25,cout_calc2!B26)</f>
        <v>72</v>
      </c>
      <c r="C28" s="131" t="s">
        <v>204</v>
      </c>
    </row>
    <row r="29" spans="1:4" x14ac:dyDescent="0.25">
      <c r="A29" s="126"/>
    </row>
    <row r="30" spans="1:4" x14ac:dyDescent="0.25">
      <c r="A30" s="126"/>
    </row>
    <row r="31" spans="1:4" x14ac:dyDescent="0.25">
      <c r="A31" s="126"/>
    </row>
    <row r="32" spans="1:4" x14ac:dyDescent="0.25">
      <c r="A32" s="12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Insructions</vt:lpstr>
      <vt:lpstr>Main</vt:lpstr>
      <vt:lpstr>loop_gain</vt:lpstr>
      <vt:lpstr>FB_div</vt:lpstr>
      <vt:lpstr>Helper_calcs</vt:lpstr>
      <vt:lpstr>Notes</vt:lpstr>
      <vt:lpstr>Eamp</vt:lpstr>
      <vt:lpstr>cout_min_calc2</vt:lpstr>
      <vt:lpstr>cout_calc2</vt:lpstr>
      <vt:lpstr>Current_limit</vt:lpstr>
      <vt:lpstr>Revision History</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Stasi, Frank</dc:creator>
  <cp:lastModifiedBy>De Stasi, Frank</cp:lastModifiedBy>
  <dcterms:created xsi:type="dcterms:W3CDTF">2019-01-11T22:06:50Z</dcterms:created>
  <dcterms:modified xsi:type="dcterms:W3CDTF">2020-06-17T20:48:31Z</dcterms:modified>
</cp:coreProperties>
</file>