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sdx" ContentType="application/vnd.ms-visio.drawing"/>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updateLinks="always" codeName="ThisWorkbook" defaultThemeVersion="124226"/>
  <workbookProtection workbookPassword="E2CF" lockStructure="1"/>
  <bookViews>
    <workbookView xWindow="-480" yWindow="1335" windowWidth="24615" windowHeight="9555" tabRatio="608"/>
  </bookViews>
  <sheets>
    <sheet name="LP8863-Q1_Cal" sheetId="2" r:id="rId1"/>
    <sheet name="About" sheetId="11" r:id="rId2"/>
    <sheet name="Boost" sheetId="7" state="hidden" r:id="rId3"/>
    <sheet name="FB divider" sheetId="6" state="hidden" r:id="rId4"/>
    <sheet name="Cout" sheetId="4" state="hidden" r:id="rId5"/>
    <sheet name="PWM Dimming cal" sheetId="10" state="hidden" r:id="rId6"/>
  </sheets>
  <definedNames>
    <definedName name="_xlnm._FilterDatabase" localSheetId="4" hidden="1">Cout!$M$11:$P$12</definedName>
    <definedName name="CM" localSheetId="2">Boost!$N$4</definedName>
    <definedName name="D" localSheetId="2">Boost!$C$8</definedName>
    <definedName name="D1_" localSheetId="2">Boost!$G$6</definedName>
    <definedName name="D2_" localSheetId="2">Boost!$G$8</definedName>
    <definedName name="Dbar" localSheetId="2">Boost!$C$6</definedName>
    <definedName name="FS" localSheetId="2">Boost!$J$4</definedName>
    <definedName name="IL" localSheetId="2">Boost!$C$7</definedName>
    <definedName name="ILD" localSheetId="2">Boost!$G$7</definedName>
    <definedName name="ILOAD" localSheetId="2">Boost!$H$4</definedName>
    <definedName name="Ipeak" localSheetId="2">Boost!$G$9</definedName>
    <definedName name="Ipp" localSheetId="2">Boost!$C$9</definedName>
    <definedName name="Ivalley" localSheetId="2">Boost!$C$10</definedName>
    <definedName name="L" localSheetId="2">Boost!$I$4</definedName>
    <definedName name="RD" localSheetId="2">Boost!$F$4</definedName>
    <definedName name="RDS_ON" localSheetId="2">Boost!$E$4</definedName>
    <definedName name="RL" localSheetId="2">Boost!$D$4</definedName>
    <definedName name="TS" localSheetId="2">Boost!$M$4</definedName>
    <definedName name="VD" localSheetId="2">Boost!$G$4</definedName>
    <definedName name="VIN" localSheetId="2">Boost!$B$4</definedName>
    <definedName name="VO" localSheetId="2">Boost!$C$4</definedName>
  </definedNames>
  <calcPr calcId="145621"/>
</workbook>
</file>

<file path=xl/calcChain.xml><?xml version="1.0" encoding="utf-8"?>
<calcChain xmlns="http://schemas.openxmlformats.org/spreadsheetml/2006/main">
  <c r="G3" i="10" l="1"/>
  <c r="G19" i="2"/>
  <c r="G18" i="2"/>
  <c r="G56" i="2"/>
  <c r="G17" i="2"/>
  <c r="G21" i="2"/>
  <c r="G22" i="2"/>
  <c r="H4" i="7" s="1"/>
  <c r="K8" i="10"/>
  <c r="G57" i="2"/>
  <c r="M8" i="10"/>
  <c r="L8" i="10" s="1"/>
  <c r="L11" i="10" s="1"/>
  <c r="G89" i="2" s="1"/>
  <c r="G59" i="2"/>
  <c r="E4" i="7"/>
  <c r="C26" i="6"/>
  <c r="G82" i="2"/>
  <c r="F8" i="10"/>
  <c r="G6" i="10"/>
  <c r="S4" i="7"/>
  <c r="H8" i="10"/>
  <c r="G8" i="10"/>
  <c r="N8" i="10"/>
  <c r="G83" i="2" s="1"/>
  <c r="G86" i="2"/>
  <c r="R4" i="7"/>
  <c r="G48" i="2"/>
  <c r="N4" i="4"/>
  <c r="D4" i="7"/>
  <c r="B4" i="7"/>
  <c r="C6" i="6"/>
  <c r="C5" i="6"/>
  <c r="J4" i="7"/>
  <c r="N9" i="4"/>
  <c r="N10" i="4"/>
  <c r="N14" i="4"/>
  <c r="O6" i="4"/>
  <c r="N6" i="4"/>
  <c r="N20" i="4"/>
  <c r="C4" i="6"/>
  <c r="C3" i="6"/>
  <c r="C2" i="6"/>
  <c r="C16" i="6" s="1"/>
  <c r="C25" i="6"/>
  <c r="C32" i="6"/>
  <c r="C4" i="7"/>
  <c r="P6" i="4"/>
  <c r="M4" i="7"/>
  <c r="K6" i="4"/>
  <c r="J6" i="4"/>
  <c r="I6" i="4"/>
  <c r="K5" i="4"/>
  <c r="J5" i="4"/>
  <c r="I5" i="4"/>
  <c r="K4" i="4"/>
  <c r="J4" i="4"/>
  <c r="I4" i="4"/>
  <c r="K3" i="4"/>
  <c r="J3" i="4"/>
  <c r="I3" i="4"/>
  <c r="K2" i="4"/>
  <c r="J2" i="4"/>
  <c r="I2" i="4"/>
  <c r="K1" i="4"/>
  <c r="J1" i="4"/>
  <c r="I1" i="4"/>
  <c r="C33" i="6"/>
  <c r="C34" i="6"/>
  <c r="G29" i="2"/>
  <c r="G28" i="2"/>
  <c r="C17" i="6"/>
  <c r="G77" i="2"/>
  <c r="N10" i="7"/>
  <c r="O10" i="7"/>
  <c r="N7" i="7"/>
  <c r="O7" i="7"/>
  <c r="N13" i="7"/>
  <c r="O13" i="7"/>
  <c r="G76" i="2"/>
  <c r="G40" i="2"/>
  <c r="I4" i="7"/>
  <c r="G39" i="2"/>
  <c r="G87" i="2"/>
  <c r="C28" i="7" l="1"/>
  <c r="D28" i="7"/>
  <c r="E28" i="7" s="1"/>
  <c r="J7" i="7"/>
  <c r="J8" i="7" s="1"/>
  <c r="G23" i="2"/>
  <c r="C18" i="6"/>
  <c r="G33" i="2" s="1"/>
  <c r="N1" i="4" s="1"/>
  <c r="C23" i="6"/>
  <c r="C19" i="6"/>
  <c r="C21" i="6"/>
  <c r="G35" i="2" s="1"/>
  <c r="C22" i="6"/>
  <c r="G36" i="2" s="1"/>
  <c r="F28" i="7" l="1"/>
  <c r="G28" i="7" s="1"/>
  <c r="I28" i="7"/>
  <c r="J28" i="7"/>
  <c r="H28" i="7"/>
  <c r="G34" i="2"/>
  <c r="N2" i="4" s="1"/>
  <c r="N3" i="4" s="1"/>
  <c r="C20" i="6"/>
  <c r="C29" i="7" l="1"/>
  <c r="E27" i="4"/>
  <c r="G64" i="2" s="1"/>
  <c r="C7" i="6" s="1"/>
  <c r="F29" i="4"/>
  <c r="E25" i="4"/>
  <c r="F27" i="4"/>
  <c r="E26" i="4"/>
  <c r="D28" i="4"/>
  <c r="E28" i="4"/>
  <c r="D24" i="4"/>
  <c r="F25" i="4"/>
  <c r="D26" i="4"/>
  <c r="F24" i="4"/>
  <c r="D29" i="4"/>
  <c r="E24" i="4"/>
  <c r="D27" i="4"/>
  <c r="F28" i="4"/>
  <c r="E29" i="4"/>
  <c r="D25" i="4"/>
  <c r="F26" i="4"/>
  <c r="D29" i="7" l="1"/>
  <c r="E29" i="7" s="1"/>
  <c r="F29" i="7" s="1"/>
  <c r="G29" i="7" s="1"/>
  <c r="G70" i="2"/>
  <c r="G78" i="2" s="1"/>
  <c r="C14" i="6"/>
  <c r="C15" i="6" l="1"/>
  <c r="G73" i="2" s="1"/>
  <c r="G72" i="2"/>
  <c r="J29" i="7"/>
  <c r="H29" i="7"/>
  <c r="I29" i="7"/>
  <c r="C30" i="7" l="1"/>
  <c r="D30" i="7"/>
  <c r="E30" i="7" s="1"/>
  <c r="J30" i="7" s="1"/>
  <c r="F30" i="7" l="1"/>
  <c r="G30" i="7" s="1"/>
  <c r="H30" i="7"/>
  <c r="I30" i="7"/>
  <c r="C31" i="7" l="1"/>
  <c r="D31" i="7" l="1"/>
  <c r="E31" i="7" s="1"/>
  <c r="F31" i="7" s="1"/>
  <c r="G31" i="7" s="1"/>
  <c r="I31" i="7" l="1"/>
  <c r="H31" i="7"/>
  <c r="J31" i="7"/>
  <c r="C32" i="7" l="1"/>
  <c r="D32" i="7"/>
  <c r="E32" i="7" s="1"/>
  <c r="J32" i="7" s="1"/>
  <c r="I32" i="7" l="1"/>
  <c r="H32" i="7"/>
  <c r="F32" i="7"/>
  <c r="G32" i="7" s="1"/>
  <c r="C33" i="7" s="1"/>
  <c r="D33" i="7" l="1"/>
  <c r="E33" i="7" s="1"/>
  <c r="J33" i="7" s="1"/>
  <c r="I33" i="7" l="1"/>
  <c r="H33" i="7"/>
  <c r="F33" i="7"/>
  <c r="G33" i="7" s="1"/>
  <c r="C34" i="7" s="1"/>
  <c r="D34" i="7" l="1"/>
  <c r="E34" i="7" s="1"/>
  <c r="J34" i="7" s="1"/>
  <c r="H34" i="7" l="1"/>
  <c r="F34" i="7"/>
  <c r="G34" i="7" s="1"/>
  <c r="I34" i="7"/>
  <c r="C35" i="7" s="1"/>
  <c r="D35" i="7" l="1"/>
  <c r="E35" i="7" s="1"/>
  <c r="J35" i="7" s="1"/>
  <c r="F35" i="7" l="1"/>
  <c r="G35" i="7" s="1"/>
  <c r="H35" i="7"/>
  <c r="I35" i="7"/>
  <c r="C36" i="7" s="1"/>
  <c r="D36" i="7" l="1"/>
  <c r="E36" i="7" s="1"/>
  <c r="J36" i="7" s="1"/>
  <c r="H36" i="7" l="1"/>
  <c r="F36" i="7"/>
  <c r="G36" i="7" s="1"/>
  <c r="I36" i="7"/>
  <c r="C37" i="7" l="1"/>
  <c r="C7" i="7" l="1"/>
  <c r="D37" i="7"/>
  <c r="I37" i="7" s="1"/>
  <c r="C6" i="7" l="1"/>
  <c r="E37" i="7"/>
  <c r="G49" i="2"/>
  <c r="J10" i="7"/>
  <c r="G7" i="7"/>
  <c r="G9" i="7" s="1"/>
  <c r="J13" i="7"/>
  <c r="G6" i="7" l="1"/>
  <c r="G8" i="7"/>
  <c r="H37" i="7"/>
  <c r="F37" i="7"/>
  <c r="G37" i="7" s="1"/>
  <c r="J37" i="7"/>
  <c r="C9" i="7"/>
  <c r="C8" i="7"/>
  <c r="G12" i="7" l="1"/>
  <c r="G43" i="2"/>
  <c r="C12" i="7"/>
  <c r="G65" i="2" s="1"/>
  <c r="J6" i="7"/>
  <c r="J11" i="7"/>
  <c r="E10" i="7"/>
  <c r="G44" i="2" s="1"/>
  <c r="C10" i="7"/>
  <c r="C38" i="7"/>
  <c r="G10" i="7"/>
  <c r="D38" i="7" l="1"/>
  <c r="E38" i="7" s="1"/>
  <c r="H38" i="7" s="1"/>
  <c r="P12" i="7"/>
  <c r="P13" i="7"/>
  <c r="P10" i="7"/>
  <c r="P11" i="7"/>
  <c r="M11" i="7"/>
  <c r="N11" i="7" s="1"/>
  <c r="O11" i="7" s="1"/>
  <c r="P7" i="7"/>
  <c r="M9" i="7"/>
  <c r="N9" i="7" s="1"/>
  <c r="O9" i="7" s="1"/>
  <c r="J5" i="7"/>
  <c r="J12" i="7" s="1"/>
  <c r="G37" i="2" s="1"/>
  <c r="G25" i="2" s="1"/>
  <c r="G24" i="2" s="1"/>
  <c r="M8" i="7"/>
  <c r="N8" i="7" s="1"/>
  <c r="O8" i="7" s="1"/>
  <c r="P8" i="7"/>
  <c r="N4" i="7"/>
  <c r="P9" i="7"/>
  <c r="M12" i="7"/>
  <c r="N12" i="7" s="1"/>
  <c r="O12" i="7" s="1"/>
  <c r="G50" i="2"/>
  <c r="G45" i="2"/>
  <c r="G47" i="2"/>
  <c r="F38" i="7" l="1"/>
  <c r="G38" i="7" s="1"/>
  <c r="J38" i="7"/>
  <c r="J9" i="7"/>
  <c r="I38" i="7"/>
  <c r="C39" i="7" s="1"/>
  <c r="D39" i="7" l="1"/>
  <c r="E39" i="7" s="1"/>
  <c r="J39" i="7" s="1"/>
  <c r="I39" i="7" l="1"/>
  <c r="H39" i="7"/>
  <c r="F39" i="7"/>
  <c r="G39" i="7" s="1"/>
  <c r="C40" i="7" s="1"/>
  <c r="D40" i="7" l="1"/>
  <c r="E40" i="7" s="1"/>
  <c r="J40" i="7" s="1"/>
  <c r="H40" i="7" l="1"/>
  <c r="F40" i="7"/>
  <c r="G40" i="7" s="1"/>
  <c r="I40" i="7"/>
  <c r="C41" i="7" s="1"/>
  <c r="D41" i="7" l="1"/>
  <c r="E41" i="7" s="1"/>
  <c r="H41" i="7" s="1"/>
  <c r="I41" i="7" l="1"/>
  <c r="F41" i="7"/>
  <c r="G41" i="7" s="1"/>
  <c r="C42" i="7" s="1"/>
  <c r="J41" i="7"/>
  <c r="D42" i="7" l="1"/>
  <c r="E42" i="7" s="1"/>
  <c r="F42" i="7" s="1"/>
  <c r="G42" i="7" s="1"/>
  <c r="J42" i="7" l="1"/>
  <c r="H42" i="7"/>
  <c r="C43" i="7" s="1"/>
  <c r="I42" i="7"/>
  <c r="I43" i="7" l="1"/>
  <c r="D43" i="7"/>
  <c r="E43" i="7" s="1"/>
  <c r="H43" i="7" s="1"/>
  <c r="F43" i="7" l="1"/>
  <c r="G43" i="7" s="1"/>
  <c r="J43" i="7"/>
  <c r="C44" i="7" l="1"/>
  <c r="D44" i="7" s="1"/>
  <c r="E44" i="7" s="1"/>
  <c r="F44" i="7" s="1"/>
  <c r="G44" i="7" s="1"/>
  <c r="J44" i="7"/>
  <c r="H44" i="7"/>
  <c r="C45" i="7" s="1"/>
  <c r="I44" i="7"/>
  <c r="D45" i="7" l="1"/>
  <c r="E45" i="7" s="1"/>
  <c r="H45" i="7" s="1"/>
  <c r="I45" i="7" l="1"/>
  <c r="J45" i="7"/>
  <c r="F45" i="7"/>
  <c r="G45" i="7" s="1"/>
  <c r="C46" i="7" s="1"/>
  <c r="D46" i="7" l="1"/>
  <c r="E46" i="7" s="1"/>
  <c r="F46" i="7" s="1"/>
  <c r="G46" i="7" s="1"/>
  <c r="J46" i="7" l="1"/>
  <c r="H46" i="7"/>
  <c r="C47" i="7" s="1"/>
  <c r="D47" i="7" s="1"/>
  <c r="E47" i="7" s="1"/>
  <c r="H47" i="7" s="1"/>
  <c r="I46" i="7"/>
  <c r="F47" i="7" l="1"/>
  <c r="G47" i="7" s="1"/>
  <c r="J47" i="7"/>
  <c r="I47" i="7"/>
  <c r="C48" i="7" l="1"/>
  <c r="D48" i="7" l="1"/>
  <c r="E48" i="7" s="1"/>
  <c r="F48" i="7" s="1"/>
  <c r="G48" i="7" s="1"/>
  <c r="J48" i="7" l="1"/>
  <c r="H48" i="7"/>
  <c r="I48" i="7"/>
</calcChain>
</file>

<file path=xl/sharedStrings.xml><?xml version="1.0" encoding="utf-8"?>
<sst xmlns="http://schemas.openxmlformats.org/spreadsheetml/2006/main" count="479" uniqueCount="336">
  <si>
    <t>Color Key</t>
  </si>
  <si>
    <t>Parameters</t>
  </si>
  <si>
    <t>Value</t>
  </si>
  <si>
    <t>Unit</t>
  </si>
  <si>
    <t>V</t>
  </si>
  <si>
    <t>A</t>
  </si>
  <si>
    <t>S</t>
  </si>
  <si>
    <t>P</t>
  </si>
  <si>
    <t>ch</t>
  </si>
  <si>
    <t>W</t>
  </si>
  <si>
    <t>kΩ</t>
  </si>
  <si>
    <t>Hz</t>
  </si>
  <si>
    <t>%</t>
  </si>
  <si>
    <t>kHz</t>
  </si>
  <si>
    <t>uH</t>
  </si>
  <si>
    <t>mΩ</t>
  </si>
  <si>
    <t>mV</t>
  </si>
  <si>
    <t>μF</t>
  </si>
  <si>
    <r>
      <rPr>
        <sz val="11"/>
        <color theme="1"/>
        <rFont val="Calibri"/>
        <family val="2"/>
      </rPr>
      <t>μ</t>
    </r>
    <r>
      <rPr>
        <sz val="11"/>
        <color theme="1"/>
        <rFont val="Calibri"/>
        <family val="2"/>
        <scheme val="minor"/>
      </rPr>
      <t>F</t>
    </r>
  </si>
  <si>
    <t>uA</t>
  </si>
  <si>
    <t>ns</t>
  </si>
  <si>
    <t>LP8863-Q1 BOOST LED Driver Design Tool</t>
  </si>
  <si>
    <t>Step 1: System Design Specification</t>
  </si>
  <si>
    <t>Number of LED in One String :</t>
  </si>
  <si>
    <r>
      <t>Max Output Power, P</t>
    </r>
    <r>
      <rPr>
        <vertAlign val="subscript"/>
        <sz val="11"/>
        <color theme="1"/>
        <rFont val="Calibri"/>
        <family val="2"/>
        <scheme val="minor"/>
      </rPr>
      <t>OUT_MAX</t>
    </r>
    <r>
      <rPr>
        <sz val="11"/>
        <color theme="1"/>
        <rFont val="Calibri"/>
        <family val="2"/>
        <scheme val="minor"/>
      </rPr>
      <t xml:space="preserve"> :</t>
    </r>
  </si>
  <si>
    <r>
      <t>Max Input Current, I</t>
    </r>
    <r>
      <rPr>
        <vertAlign val="subscript"/>
        <sz val="11"/>
        <color theme="1"/>
        <rFont val="Calibri"/>
        <family val="2"/>
        <scheme val="minor"/>
      </rPr>
      <t>IN_MAX</t>
    </r>
    <r>
      <rPr>
        <sz val="11"/>
        <color theme="1"/>
        <rFont val="Calibri"/>
        <family val="2"/>
        <scheme val="minor"/>
      </rPr>
      <t xml:space="preserve"> :</t>
    </r>
  </si>
  <si>
    <r>
      <t>Max Input Power, P</t>
    </r>
    <r>
      <rPr>
        <vertAlign val="subscript"/>
        <sz val="11"/>
        <color theme="1"/>
        <rFont val="Calibri"/>
        <family val="2"/>
        <scheme val="minor"/>
      </rPr>
      <t>IN_MAX</t>
    </r>
    <r>
      <rPr>
        <sz val="11"/>
        <color theme="1"/>
        <rFont val="Calibri"/>
        <family val="2"/>
        <scheme val="minor"/>
      </rPr>
      <t xml:space="preserve"> :</t>
    </r>
  </si>
  <si>
    <t>STEP 2: Boost Design Configuration</t>
  </si>
  <si>
    <t>Calculated Value</t>
  </si>
  <si>
    <t>Sch. RLC Value</t>
  </si>
  <si>
    <r>
      <t>V</t>
    </r>
    <r>
      <rPr>
        <vertAlign val="subscript"/>
        <sz val="11"/>
        <color theme="1"/>
        <rFont val="Calibri"/>
        <family val="2"/>
        <scheme val="minor"/>
      </rPr>
      <t>MINBOOST</t>
    </r>
    <r>
      <rPr>
        <sz val="11"/>
        <color theme="1"/>
        <rFont val="Calibri"/>
        <family val="2"/>
        <scheme val="minor"/>
      </rPr>
      <t xml:space="preserve"> :</t>
    </r>
  </si>
  <si>
    <r>
      <t>V</t>
    </r>
    <r>
      <rPr>
        <vertAlign val="subscript"/>
        <sz val="11"/>
        <color theme="1"/>
        <rFont val="Calibri"/>
        <family val="2"/>
        <scheme val="minor"/>
      </rPr>
      <t>MAXBOOST</t>
    </r>
    <r>
      <rPr>
        <sz val="11"/>
        <color theme="1"/>
        <rFont val="Calibri"/>
        <family val="2"/>
        <scheme val="minor"/>
      </rPr>
      <t xml:space="preserve"> :</t>
    </r>
  </si>
  <si>
    <t>Illegal</t>
  </si>
  <si>
    <t>User Input Value</t>
  </si>
  <si>
    <t>Comment</t>
  </si>
  <si>
    <r>
      <t>V</t>
    </r>
    <r>
      <rPr>
        <vertAlign val="subscript"/>
        <sz val="11"/>
        <color theme="1"/>
        <rFont val="Calibri"/>
        <family val="2"/>
        <scheme val="minor"/>
      </rPr>
      <t xml:space="preserve">IN(MIN) </t>
    </r>
    <r>
      <rPr>
        <sz val="11"/>
        <color theme="1"/>
        <rFont val="Calibri"/>
        <family val="2"/>
        <scheme val="minor"/>
      </rPr>
      <t>:</t>
    </r>
  </si>
  <si>
    <t xml:space="preserve">Minimum Input Supply Voltage, </t>
  </si>
  <si>
    <r>
      <t>V</t>
    </r>
    <r>
      <rPr>
        <vertAlign val="subscript"/>
        <sz val="11"/>
        <color theme="1"/>
        <rFont val="Calibri"/>
        <family val="2"/>
        <scheme val="minor"/>
      </rPr>
      <t>IN(MAX)</t>
    </r>
    <r>
      <rPr>
        <sz val="11"/>
        <color theme="1"/>
        <rFont val="Calibri"/>
        <family val="2"/>
        <scheme val="minor"/>
      </rPr>
      <t xml:space="preserve"> :</t>
    </r>
  </si>
  <si>
    <t xml:space="preserve">Maxmum Input Supply Voltage, </t>
  </si>
  <si>
    <t>LP8863 System Constant Parameters</t>
  </si>
  <si>
    <t>SD Pull Down Current :</t>
  </si>
  <si>
    <t>R4</t>
  </si>
  <si>
    <t>kOhm</t>
  </si>
  <si>
    <t>Recommended R4</t>
  </si>
  <si>
    <t>max</t>
  </si>
  <si>
    <t>Iload / mA</t>
  </si>
  <si>
    <t>Vout / V</t>
  </si>
  <si>
    <t>Switching frequency / kHz</t>
  </si>
  <si>
    <t>error</t>
  </si>
  <si>
    <t>MAX_Adaptive Vout</t>
  </si>
  <si>
    <t>Cout_min</t>
  </si>
  <si>
    <t>MIN_Adaptive Vout</t>
  </si>
  <si>
    <t>Inductor / uH</t>
  </si>
  <si>
    <t>error /%</t>
  </si>
  <si>
    <t>Max_Rfb1/Rfb2+1</t>
  </si>
  <si>
    <t>6*100</t>
  </si>
  <si>
    <t>18.6 (6 LED)</t>
  </si>
  <si>
    <t>24.3 (8 LED)</t>
  </si>
  <si>
    <t>30.3 (10 LED)</t>
  </si>
  <si>
    <t>SW Freq</t>
  </si>
  <si>
    <t>LED#</t>
  </si>
  <si>
    <t>Iout</t>
  </si>
  <si>
    <t>6*200</t>
  </si>
  <si>
    <t>20.3 (6 LED)</t>
  </si>
  <si>
    <t>26.4 (8 LED)</t>
  </si>
  <si>
    <t>32.6 (10 LED)</t>
  </si>
  <si>
    <t>Vin_min</t>
  </si>
  <si>
    <t>Switching frequency</t>
  </si>
  <si>
    <t>Inductance</t>
  </si>
  <si>
    <t>Iload_max</t>
  </si>
  <si>
    <t>Rsense_max</t>
  </si>
  <si>
    <t>Max Adaptive Vout</t>
  </si>
  <si>
    <t>Min Adaptive Vout</t>
  </si>
  <si>
    <t>VBG</t>
  </si>
  <si>
    <t>ISEL_MAX</t>
  </si>
  <si>
    <t>ISEL_MIN</t>
  </si>
  <si>
    <t>Zero</t>
  </si>
  <si>
    <t>Ini Adaptive Vout</t>
  </si>
  <si>
    <t>R1</t>
  </si>
  <si>
    <t>R2</t>
  </si>
  <si>
    <t>R3</t>
  </si>
  <si>
    <t>Optional. Only needed if low Cout</t>
  </si>
  <si>
    <r>
      <t>C</t>
    </r>
    <r>
      <rPr>
        <b/>
        <vertAlign val="subscript"/>
        <sz val="11"/>
        <rFont val="Arial"/>
        <family val="2"/>
      </rPr>
      <t>COMP</t>
    </r>
  </si>
  <si>
    <t>nF</t>
  </si>
  <si>
    <t>Target Gain reduction</t>
  </si>
  <si>
    <t>dB</t>
  </si>
  <si>
    <t>Target Pole_CCOMP</t>
  </si>
  <si>
    <t>FBOVPL</t>
  </si>
  <si>
    <t>FBOCP</t>
  </si>
  <si>
    <r>
      <t>Recommende C</t>
    </r>
    <r>
      <rPr>
        <b/>
        <vertAlign val="subscript"/>
        <sz val="11"/>
        <rFont val="Arial"/>
        <family val="2"/>
      </rPr>
      <t>COMP</t>
    </r>
  </si>
  <si>
    <r>
      <t>Pole_C</t>
    </r>
    <r>
      <rPr>
        <b/>
        <vertAlign val="subscript"/>
        <sz val="11"/>
        <rFont val="Arial"/>
        <family val="2"/>
      </rPr>
      <t>COMP</t>
    </r>
  </si>
  <si>
    <t>&gt;500Hz</t>
  </si>
  <si>
    <t>Zero_Ccomp</t>
  </si>
  <si>
    <t>&lt;2kHz</t>
  </si>
  <si>
    <t>&gt; VLED_MAX + 3~5V</t>
  </si>
  <si>
    <t>BSTOVPL</t>
  </si>
  <si>
    <t>&lt; 48V</t>
  </si>
  <si>
    <t>BSTUVP</t>
  </si>
  <si>
    <t>&gt; VLED_MAX + 1V</t>
  </si>
  <si>
    <t>Gain Reduction</t>
  </si>
  <si>
    <t>Swithing Frequency</t>
  </si>
  <si>
    <t>FS:</t>
  </si>
  <si>
    <t>Inductance value of inductor</t>
  </si>
  <si>
    <t>L:</t>
  </si>
  <si>
    <t>Total load at Boost output</t>
  </si>
  <si>
    <t>ILOAD:</t>
  </si>
  <si>
    <t>Diode forword voltage</t>
  </si>
  <si>
    <t>VD:</t>
  </si>
  <si>
    <t>Diode DC resistance</t>
  </si>
  <si>
    <t>RD:</t>
  </si>
  <si>
    <t>Boost Switching FET DC resistance</t>
  </si>
  <si>
    <t>RSD(ON):</t>
  </si>
  <si>
    <t>Inductor DC resistance</t>
  </si>
  <si>
    <t>RL:</t>
  </si>
  <si>
    <t>Output Voltage of Boost</t>
  </si>
  <si>
    <t>VO:</t>
  </si>
  <si>
    <t>Input Voltage of Boost</t>
  </si>
  <si>
    <t xml:space="preserve">VIN: </t>
  </si>
  <si>
    <t>LED Efficiency</t>
  </si>
  <si>
    <t>Boost Efficiency</t>
  </si>
  <si>
    <t>Ripple_pp</t>
  </si>
  <si>
    <t>Thermal-Inductor(W)</t>
  </si>
  <si>
    <t>DCM</t>
  </si>
  <si>
    <t>CCM</t>
  </si>
  <si>
    <t>Thermal-Diode(W)</t>
  </si>
  <si>
    <t>D3</t>
  </si>
  <si>
    <t>Ipeak</t>
  </si>
  <si>
    <t>Ivalley</t>
  </si>
  <si>
    <r>
      <t>T</t>
    </r>
    <r>
      <rPr>
        <sz val="8"/>
        <color theme="1"/>
        <rFont val="Calibri"/>
        <family val="2"/>
        <scheme val="minor"/>
      </rPr>
      <t xml:space="preserve">JA </t>
    </r>
    <r>
      <rPr>
        <sz val="10"/>
        <color theme="1"/>
        <rFont val="Calibri"/>
        <family val="2"/>
        <scheme val="minor"/>
      </rPr>
      <t xml:space="preserve"> (</t>
    </r>
    <r>
      <rPr>
        <sz val="12"/>
        <color theme="1"/>
        <rFont val="Calibri"/>
        <family val="2"/>
        <scheme val="minor"/>
      </rPr>
      <t>Degree</t>
    </r>
    <r>
      <rPr>
        <sz val="10"/>
        <color theme="1"/>
        <rFont val="Calibri"/>
        <family val="2"/>
        <scheme val="minor"/>
      </rPr>
      <t>)</t>
    </r>
  </si>
  <si>
    <t>Ipp</t>
  </si>
  <si>
    <t>Chip Thermal (W)</t>
  </si>
  <si>
    <t>D2</t>
  </si>
  <si>
    <t>D</t>
  </si>
  <si>
    <t>Thermal-Current Sink (W)</t>
  </si>
  <si>
    <t>ILD</t>
  </si>
  <si>
    <t>IL</t>
  </si>
  <si>
    <t>Current</t>
  </si>
  <si>
    <t>t</t>
  </si>
  <si>
    <t>Interval</t>
  </si>
  <si>
    <t>Thermal-MOS-(Constant) (W)</t>
  </si>
  <si>
    <t>D1</t>
  </si>
  <si>
    <t>D'</t>
  </si>
  <si>
    <t>Inductor loss</t>
  </si>
  <si>
    <t>Diode loss</t>
  </si>
  <si>
    <t>MOS Const</t>
  </si>
  <si>
    <t>MOS Dyn Loss</t>
  </si>
  <si>
    <t>Thermal-MOS(Dynamic) (W)</t>
  </si>
  <si>
    <t>ESR(Ω)</t>
  </si>
  <si>
    <t>Cout(F)</t>
  </si>
  <si>
    <t>θBA</t>
  </si>
  <si>
    <t>MOS On-Off time(s)</t>
  </si>
  <si>
    <r>
      <rPr>
        <sz val="11"/>
        <color theme="1"/>
        <rFont val="Calibri"/>
        <family val="2"/>
      </rPr>
      <t>θ</t>
    </r>
    <r>
      <rPr>
        <sz val="8.8000000000000007"/>
        <color theme="1"/>
        <rFont val="Calibri"/>
        <family val="2"/>
      </rPr>
      <t>JA_EVM</t>
    </r>
  </si>
  <si>
    <t>Mode</t>
  </si>
  <si>
    <t>TS</t>
  </si>
  <si>
    <t>Vhead(V)</t>
  </si>
  <si>
    <t>FS (Hz)</t>
  </si>
  <si>
    <t>L (H)</t>
  </si>
  <si>
    <t>ILOAD (A)</t>
  </si>
  <si>
    <t>VD (V)</t>
  </si>
  <si>
    <t>RD (Ω)</t>
  </si>
  <si>
    <r>
      <t>RDS(ON) + RSNS(</t>
    </r>
    <r>
      <rPr>
        <sz val="11"/>
        <color theme="1"/>
        <rFont val="Arial"/>
        <family val="2"/>
      </rPr>
      <t>Ω</t>
    </r>
    <r>
      <rPr>
        <sz val="12.65"/>
        <color theme="1"/>
        <rFont val="Calibri"/>
        <family val="2"/>
      </rPr>
      <t>)</t>
    </r>
  </si>
  <si>
    <t>VO (V)</t>
  </si>
  <si>
    <t>VIN (V)</t>
  </si>
  <si>
    <t>YELLO CELLS CAN BE MODIFIED ONLY!</t>
  </si>
  <si>
    <r>
      <t>T</t>
    </r>
    <r>
      <rPr>
        <vertAlign val="subscript"/>
        <sz val="11"/>
        <color theme="1"/>
        <rFont val="Calibri"/>
        <family val="2"/>
        <scheme val="minor"/>
      </rPr>
      <t>ON(min)</t>
    </r>
  </si>
  <si>
    <t>No. bits</t>
  </si>
  <si>
    <r>
      <t>f</t>
    </r>
    <r>
      <rPr>
        <vertAlign val="subscript"/>
        <sz val="11"/>
        <color theme="1"/>
        <rFont val="Calibri"/>
        <family val="2"/>
        <scheme val="minor"/>
      </rPr>
      <t xml:space="preserve">PWM </t>
    </r>
    <r>
      <rPr>
        <sz val="11"/>
        <color theme="1"/>
        <rFont val="Calibri"/>
        <family val="2"/>
        <scheme val="minor"/>
      </rPr>
      <t>(Hz)</t>
    </r>
  </si>
  <si>
    <t>Int. OSC</t>
  </si>
  <si>
    <t>16(max)</t>
  </si>
  <si>
    <r>
      <t>Calculated Minimum R</t>
    </r>
    <r>
      <rPr>
        <i/>
        <vertAlign val="subscript"/>
        <sz val="11"/>
        <color theme="1"/>
        <rFont val="Calibri"/>
        <family val="2"/>
        <scheme val="minor"/>
      </rPr>
      <t xml:space="preserve">FB1(MIN) </t>
    </r>
    <r>
      <rPr>
        <i/>
        <sz val="11"/>
        <color theme="1"/>
        <rFont val="Calibri"/>
        <family val="2"/>
        <scheme val="minor"/>
      </rPr>
      <t>(TOP) :</t>
    </r>
  </si>
  <si>
    <r>
      <t>Calculated Minimum R</t>
    </r>
    <r>
      <rPr>
        <i/>
        <vertAlign val="subscript"/>
        <sz val="11"/>
        <color theme="1"/>
        <rFont val="Calibri"/>
        <family val="2"/>
        <scheme val="minor"/>
      </rPr>
      <t xml:space="preserve">FB2(MIN) </t>
    </r>
    <r>
      <rPr>
        <i/>
        <sz val="11"/>
        <color theme="1"/>
        <rFont val="Calibri"/>
        <family val="2"/>
        <scheme val="minor"/>
      </rPr>
      <t>(BOT) :</t>
    </r>
  </si>
  <si>
    <r>
      <t>R</t>
    </r>
    <r>
      <rPr>
        <vertAlign val="subscript"/>
        <sz val="11"/>
        <color theme="1"/>
        <rFont val="Calibri"/>
        <family val="2"/>
        <scheme val="minor"/>
      </rPr>
      <t>FB2</t>
    </r>
    <r>
      <rPr>
        <sz val="11"/>
        <color theme="1"/>
        <rFont val="Calibri"/>
        <family val="2"/>
        <scheme val="minor"/>
      </rPr>
      <t>(actual) :</t>
    </r>
  </si>
  <si>
    <r>
      <t>R</t>
    </r>
    <r>
      <rPr>
        <vertAlign val="subscript"/>
        <sz val="11"/>
        <color theme="1"/>
        <rFont val="Calibri"/>
        <family val="2"/>
        <scheme val="minor"/>
      </rPr>
      <t>FB1</t>
    </r>
    <r>
      <rPr>
        <sz val="11"/>
        <color theme="1"/>
        <rFont val="Calibri"/>
        <family val="2"/>
        <scheme val="minor"/>
      </rPr>
      <t>(actual) :</t>
    </r>
  </si>
  <si>
    <r>
      <t>R</t>
    </r>
    <r>
      <rPr>
        <vertAlign val="subscript"/>
        <sz val="11"/>
        <color theme="1"/>
        <rFont val="Calibri"/>
        <family val="2"/>
        <scheme val="minor"/>
      </rPr>
      <t>FB3</t>
    </r>
    <r>
      <rPr>
        <sz val="11"/>
        <color theme="1"/>
        <rFont val="Calibri"/>
        <family val="2"/>
        <scheme val="minor"/>
      </rPr>
      <t>(actual) :</t>
    </r>
  </si>
  <si>
    <t>Must &lt; 48V to avoid mistriggering BST_OVP</t>
  </si>
  <si>
    <t>System Worst Efficiency :</t>
  </si>
  <si>
    <r>
      <t>V</t>
    </r>
    <r>
      <rPr>
        <vertAlign val="subscript"/>
        <sz val="11"/>
        <color theme="1"/>
        <rFont val="Calibri"/>
        <family val="2"/>
        <scheme val="minor"/>
      </rPr>
      <t>BOOST_OVP_LOW</t>
    </r>
    <r>
      <rPr>
        <sz val="11"/>
        <color theme="1"/>
        <rFont val="Calibri"/>
        <family val="2"/>
        <scheme val="minor"/>
      </rPr>
      <t xml:space="preserve"> :</t>
    </r>
  </si>
  <si>
    <t>mA</t>
  </si>
  <si>
    <r>
      <t>R</t>
    </r>
    <r>
      <rPr>
        <vertAlign val="subscript"/>
        <sz val="11"/>
        <color theme="1"/>
        <rFont val="Calibri"/>
        <family val="2"/>
        <scheme val="minor"/>
      </rPr>
      <t>BST_FSET</t>
    </r>
    <r>
      <rPr>
        <sz val="11"/>
        <color theme="1"/>
        <rFont val="Calibri"/>
        <family val="2"/>
        <scheme val="minor"/>
      </rPr>
      <t xml:space="preserve"> :</t>
    </r>
  </si>
  <si>
    <t>Boost Inductor DCR :</t>
  </si>
  <si>
    <t>Power-Line MOSFET DCR :</t>
  </si>
  <si>
    <t xml:space="preserve">STEP 3: Design Input/Output Capacitor for Required Ripple Spec  </t>
  </si>
  <si>
    <r>
      <t>μ</t>
    </r>
    <r>
      <rPr>
        <sz val="12.65"/>
        <color theme="1"/>
        <rFont val="Calibri"/>
        <family val="2"/>
      </rPr>
      <t>A</t>
    </r>
  </si>
  <si>
    <r>
      <t>m</t>
    </r>
    <r>
      <rPr>
        <sz val="11"/>
        <rFont val="Calibri"/>
        <family val="2"/>
      </rPr>
      <t>Ω</t>
    </r>
  </si>
  <si>
    <t>Parameter</t>
  </si>
  <si>
    <t>Input the Power-Line MOSFET DCR</t>
  </si>
  <si>
    <t>Power-Line Input OCP trigger point</t>
  </si>
  <si>
    <r>
      <t xml:space="preserve"> Input Capacitor, CIN</t>
    </r>
    <r>
      <rPr>
        <vertAlign val="subscript"/>
        <sz val="11"/>
        <color theme="1"/>
        <rFont val="Calibri"/>
        <family val="2"/>
        <scheme val="minor"/>
      </rPr>
      <t>(MIN)</t>
    </r>
    <r>
      <rPr>
        <sz val="11"/>
        <color theme="1"/>
        <rFont val="Calibri"/>
        <family val="2"/>
        <scheme val="minor"/>
      </rPr>
      <t xml:space="preserve"> :</t>
    </r>
  </si>
  <si>
    <r>
      <t>Required COUT</t>
    </r>
    <r>
      <rPr>
        <vertAlign val="subscript"/>
        <sz val="11"/>
        <color theme="1"/>
        <rFont val="Calibri"/>
        <family val="2"/>
        <scheme val="minor"/>
      </rPr>
      <t>(MIN)</t>
    </r>
    <r>
      <rPr>
        <sz val="11"/>
        <color theme="1"/>
        <rFont val="Calibri"/>
        <family val="2"/>
        <scheme val="minor"/>
      </rPr>
      <t xml:space="preserve"> :</t>
    </r>
  </si>
  <si>
    <t>Calculated VOUT_ripple :</t>
  </si>
  <si>
    <t>Effective Cout_actual :</t>
  </si>
  <si>
    <t>External compensation used :</t>
  </si>
  <si>
    <t>Gain Margin Gap :</t>
  </si>
  <si>
    <t>No</t>
  </si>
  <si>
    <t>Recommended R4(FB) :</t>
  </si>
  <si>
    <t>R4(FB)_actual :</t>
  </si>
  <si>
    <r>
      <t>C</t>
    </r>
    <r>
      <rPr>
        <vertAlign val="subscript"/>
        <sz val="11"/>
        <color theme="1"/>
        <rFont val="Calibri"/>
        <family val="2"/>
        <scheme val="minor"/>
      </rPr>
      <t>COMP(FB)</t>
    </r>
    <r>
      <rPr>
        <sz val="11"/>
        <color theme="1"/>
        <rFont val="Calibri"/>
        <family val="2"/>
        <scheme val="minor"/>
      </rPr>
      <t>_actual :</t>
    </r>
  </si>
  <si>
    <r>
      <t>Zero_C</t>
    </r>
    <r>
      <rPr>
        <b/>
        <vertAlign val="subscript"/>
        <sz val="11"/>
        <color theme="1"/>
        <rFont val="Calibri"/>
        <family val="2"/>
        <scheme val="minor"/>
      </rPr>
      <t>COMP</t>
    </r>
    <r>
      <rPr>
        <sz val="11"/>
        <color theme="1"/>
        <rFont val="Calibri"/>
        <family val="2"/>
        <scheme val="minor"/>
      </rPr>
      <t xml:space="preserve"> :</t>
    </r>
  </si>
  <si>
    <r>
      <t>Pole_C</t>
    </r>
    <r>
      <rPr>
        <b/>
        <vertAlign val="subscript"/>
        <sz val="11"/>
        <rFont val="Calibri"/>
        <family val="2"/>
        <scheme val="minor"/>
      </rPr>
      <t>COMP</t>
    </r>
    <r>
      <rPr>
        <b/>
        <sz val="11"/>
        <rFont val="Arial"/>
        <family val="2"/>
      </rPr>
      <t xml:space="preserve"> :</t>
    </r>
  </si>
  <si>
    <t>Gain Margin Gap_actual :</t>
  </si>
  <si>
    <t>Recommend &gt;500Hz</t>
  </si>
  <si>
    <t>Recommend &lt; 2kHz</t>
  </si>
  <si>
    <t>Total ESR of COUT :</t>
  </si>
  <si>
    <r>
      <t>Recommended C</t>
    </r>
    <r>
      <rPr>
        <b/>
        <vertAlign val="subscript"/>
        <sz val="11"/>
        <color theme="1"/>
        <rFont val="Calibri"/>
        <family val="2"/>
        <scheme val="minor"/>
      </rPr>
      <t>COMP(FB)</t>
    </r>
    <r>
      <rPr>
        <sz val="11"/>
        <color theme="1"/>
        <rFont val="Calibri"/>
        <family val="2"/>
        <scheme val="minor"/>
      </rPr>
      <t xml:space="preserve"> :</t>
    </r>
  </si>
  <si>
    <r>
      <t>Actual Power-Line R</t>
    </r>
    <r>
      <rPr>
        <b/>
        <vertAlign val="subscript"/>
        <sz val="11"/>
        <color theme="1"/>
        <rFont val="Calibri"/>
        <family val="2"/>
        <scheme val="minor"/>
      </rPr>
      <t>SENSE</t>
    </r>
    <r>
      <rPr>
        <sz val="11"/>
        <color theme="1"/>
        <rFont val="Calibri"/>
        <family val="2"/>
        <scheme val="minor"/>
      </rPr>
      <t xml:space="preserve"> :</t>
    </r>
  </si>
  <si>
    <r>
      <t>BST R</t>
    </r>
    <r>
      <rPr>
        <vertAlign val="subscript"/>
        <sz val="11"/>
        <color theme="1"/>
        <rFont val="Calibri"/>
        <family val="2"/>
        <scheme val="minor"/>
      </rPr>
      <t>SENSE(actual)</t>
    </r>
    <r>
      <rPr>
        <sz val="11"/>
        <color theme="1"/>
        <rFont val="Calibri"/>
        <family val="2"/>
        <scheme val="minor"/>
      </rPr>
      <t xml:space="preserve"> :</t>
    </r>
  </si>
  <si>
    <r>
      <t>I</t>
    </r>
    <r>
      <rPr>
        <vertAlign val="subscript"/>
        <sz val="11"/>
        <color theme="1"/>
        <rFont val="Calibri"/>
        <family val="2"/>
        <scheme val="minor"/>
      </rPr>
      <t>SW(max)</t>
    </r>
    <r>
      <rPr>
        <sz val="11"/>
        <color theme="1"/>
        <rFont val="Calibri"/>
        <family val="2"/>
        <scheme val="minor"/>
      </rPr>
      <t xml:space="preserve"> :</t>
    </r>
  </si>
  <si>
    <r>
      <t>∆I</t>
    </r>
    <r>
      <rPr>
        <vertAlign val="subscript"/>
        <sz val="11"/>
        <color theme="1"/>
        <rFont val="Calibri"/>
        <family val="2"/>
        <scheme val="minor"/>
      </rPr>
      <t>L</t>
    </r>
    <r>
      <rPr>
        <sz val="11"/>
        <color theme="1"/>
        <rFont val="Calibri"/>
        <family val="2"/>
        <scheme val="minor"/>
      </rPr>
      <t xml:space="preserve"> :</t>
    </r>
  </si>
  <si>
    <r>
      <t>R</t>
    </r>
    <r>
      <rPr>
        <vertAlign val="subscript"/>
        <sz val="11"/>
        <color theme="1"/>
        <rFont val="Calibri"/>
        <family val="2"/>
        <scheme val="minor"/>
      </rPr>
      <t>PWM_FSET</t>
    </r>
    <r>
      <rPr>
        <sz val="11"/>
        <color theme="1"/>
        <rFont val="Calibri"/>
        <family val="2"/>
        <scheme val="minor"/>
      </rPr>
      <t xml:space="preserve"> :</t>
    </r>
  </si>
  <si>
    <r>
      <t>Actual R</t>
    </r>
    <r>
      <rPr>
        <b/>
        <vertAlign val="subscript"/>
        <sz val="11"/>
        <color theme="1"/>
        <rFont val="Calibri"/>
        <family val="2"/>
        <scheme val="minor"/>
      </rPr>
      <t>ISET</t>
    </r>
    <r>
      <rPr>
        <sz val="11"/>
        <color theme="1"/>
        <rFont val="Calibri"/>
        <family val="2"/>
        <scheme val="minor"/>
      </rPr>
      <t xml:space="preserve"> :</t>
    </r>
  </si>
  <si>
    <r>
      <t>Actual I</t>
    </r>
    <r>
      <rPr>
        <b/>
        <vertAlign val="subscript"/>
        <sz val="11"/>
        <color theme="1"/>
        <rFont val="Calibri"/>
        <family val="2"/>
        <scheme val="minor"/>
      </rPr>
      <t>LED</t>
    </r>
    <r>
      <rPr>
        <vertAlign val="subscript"/>
        <sz val="11"/>
        <color theme="1"/>
        <rFont val="Calibri"/>
        <family val="2"/>
        <scheme val="minor"/>
      </rPr>
      <t xml:space="preserve">  </t>
    </r>
    <r>
      <rPr>
        <sz val="11"/>
        <color theme="1"/>
        <rFont val="Calibri"/>
        <family val="2"/>
        <scheme val="minor"/>
      </rPr>
      <t>per each channel :</t>
    </r>
  </si>
  <si>
    <r>
      <t>Require Sink Current per Channel, I</t>
    </r>
    <r>
      <rPr>
        <b/>
        <vertAlign val="subscript"/>
        <sz val="11"/>
        <color theme="1"/>
        <rFont val="Calibri"/>
        <family val="2"/>
        <scheme val="minor"/>
      </rPr>
      <t>SINK_MAX</t>
    </r>
    <r>
      <rPr>
        <sz val="11"/>
        <color theme="1"/>
        <rFont val="Calibri"/>
        <family val="2"/>
        <scheme val="minor"/>
      </rPr>
      <t xml:space="preserve"> :</t>
    </r>
  </si>
  <si>
    <r>
      <t>Maximum Total Sink Current, I</t>
    </r>
    <r>
      <rPr>
        <vertAlign val="subscript"/>
        <sz val="11"/>
        <color theme="1"/>
        <rFont val="Calibri"/>
        <family val="2"/>
        <scheme val="minor"/>
      </rPr>
      <t>OUT_MAX(actual)</t>
    </r>
    <r>
      <rPr>
        <sz val="11"/>
        <color theme="1"/>
        <rFont val="Calibri"/>
        <family val="2"/>
        <scheme val="minor"/>
      </rPr>
      <t xml:space="preserve"> :</t>
    </r>
  </si>
  <si>
    <t>Actual fall scale current of each channel</t>
  </si>
  <si>
    <t>Refer to the spec of MOSFET datasheet</t>
  </si>
  <si>
    <t>Design RSD resistor greater than this value</t>
  </si>
  <si>
    <r>
      <t>Select a available Resistor just greater than RFB1</t>
    </r>
    <r>
      <rPr>
        <i/>
        <vertAlign val="subscript"/>
        <sz val="11"/>
        <color theme="1"/>
        <rFont val="Calibri"/>
        <family val="2"/>
        <scheme val="minor"/>
      </rPr>
      <t xml:space="preserve">(MIN) </t>
    </r>
  </si>
  <si>
    <r>
      <t>Minimum RFB1</t>
    </r>
    <r>
      <rPr>
        <vertAlign val="subscript"/>
        <sz val="11"/>
        <color theme="1"/>
        <rFont val="Calibri"/>
        <family val="2"/>
        <scheme val="minor"/>
      </rPr>
      <t>(MIN)</t>
    </r>
    <r>
      <rPr>
        <sz val="11"/>
        <color theme="1"/>
        <rFont val="Calibri"/>
        <family val="2"/>
        <scheme val="minor"/>
      </rPr>
      <t>, (FB-TOP) :</t>
    </r>
  </si>
  <si>
    <r>
      <t>Minimum RFB2</t>
    </r>
    <r>
      <rPr>
        <vertAlign val="subscript"/>
        <sz val="11"/>
        <color theme="1"/>
        <rFont val="Calibri"/>
        <family val="2"/>
        <scheme val="minor"/>
      </rPr>
      <t>(MIN)</t>
    </r>
    <r>
      <rPr>
        <sz val="11"/>
        <color theme="1"/>
        <rFont val="Calibri"/>
        <family val="2"/>
        <scheme val="minor"/>
      </rPr>
      <t>, (FB-BOT) :</t>
    </r>
  </si>
  <si>
    <r>
      <t>Select a available Resistor greater than RFB2</t>
    </r>
    <r>
      <rPr>
        <i/>
        <vertAlign val="subscript"/>
        <sz val="11"/>
        <color theme="1"/>
        <rFont val="Calibri"/>
        <family val="2"/>
        <scheme val="minor"/>
      </rPr>
      <t>(MIN)</t>
    </r>
    <r>
      <rPr>
        <i/>
        <sz val="11"/>
        <color theme="1"/>
        <rFont val="Calibri"/>
        <family val="2"/>
        <scheme val="minor"/>
      </rPr>
      <t xml:space="preserve"> and fulfill output voltage requirement </t>
    </r>
  </si>
  <si>
    <t>Scoll down to pick a prefered boost frequency</t>
  </si>
  <si>
    <t>Boost MOSFET RDS(on) :</t>
  </si>
  <si>
    <r>
      <t>L_DCR + RPFET + RSNS(</t>
    </r>
    <r>
      <rPr>
        <sz val="11"/>
        <color theme="1"/>
        <rFont val="Arial"/>
        <family val="2"/>
      </rPr>
      <t>Ω</t>
    </r>
    <r>
      <rPr>
        <sz val="12.65"/>
        <color theme="1"/>
        <rFont val="Calibri"/>
        <family val="2"/>
      </rPr>
      <t>)</t>
    </r>
  </si>
  <si>
    <r>
      <t>Boost Switching Frequency, F</t>
    </r>
    <r>
      <rPr>
        <vertAlign val="subscript"/>
        <sz val="11"/>
        <color theme="1"/>
        <rFont val="Calibri"/>
        <family val="2"/>
        <scheme val="minor"/>
      </rPr>
      <t>SW</t>
    </r>
  </si>
  <si>
    <t>Input boost Inductor DCR value</t>
  </si>
  <si>
    <t xml:space="preserve">Sum of total sinking current of LP8863 </t>
  </si>
  <si>
    <t>Actual_Rfb1/Rfb2+1</t>
  </si>
  <si>
    <t>Recommend the range within +/-3dB</t>
  </si>
  <si>
    <r>
      <t>Inductor &amp; MOSFET I</t>
    </r>
    <r>
      <rPr>
        <vertAlign val="subscript"/>
        <sz val="11"/>
        <color theme="1"/>
        <rFont val="Calibri"/>
        <family val="2"/>
        <scheme val="minor"/>
      </rPr>
      <t>DC(RMS)</t>
    </r>
    <r>
      <rPr>
        <sz val="11"/>
        <color theme="1"/>
        <rFont val="Calibri"/>
        <family val="2"/>
        <scheme val="minor"/>
      </rPr>
      <t xml:space="preserve"> &gt;</t>
    </r>
    <r>
      <rPr>
        <sz val="11"/>
        <color theme="1"/>
        <rFont val="Calibri"/>
        <family val="2"/>
      </rPr>
      <t xml:space="preserve"> :</t>
    </r>
  </si>
  <si>
    <t xml:space="preserve">STEP 3-1: Design Addional Compensation  </t>
  </si>
  <si>
    <t>MHz</t>
  </si>
  <si>
    <t>: 1</t>
  </si>
  <si>
    <t>bits</t>
  </si>
  <si>
    <t>STEP4: Dimming Resoltuion</t>
  </si>
  <si>
    <t>Worst-Case Headroom :</t>
  </si>
  <si>
    <r>
      <t>BST R</t>
    </r>
    <r>
      <rPr>
        <vertAlign val="subscript"/>
        <sz val="11"/>
        <color theme="1"/>
        <rFont val="Calibri"/>
        <family val="2"/>
        <scheme val="minor"/>
      </rPr>
      <t>SENSE(MAX)</t>
    </r>
    <r>
      <rPr>
        <sz val="11"/>
        <color theme="1"/>
        <rFont val="Calibri"/>
        <family val="2"/>
        <scheme val="minor"/>
      </rPr>
      <t xml:space="preserve"> :</t>
    </r>
  </si>
  <si>
    <r>
      <t>Recommeded Power-Line MOSFET R</t>
    </r>
    <r>
      <rPr>
        <b/>
        <vertAlign val="subscript"/>
        <sz val="11"/>
        <color theme="1"/>
        <rFont val="Calibri"/>
        <family val="2"/>
        <scheme val="minor"/>
      </rPr>
      <t>SD(min)</t>
    </r>
    <r>
      <rPr>
        <sz val="11"/>
        <color theme="1"/>
        <rFont val="Calibri"/>
        <family val="2"/>
        <scheme val="minor"/>
      </rPr>
      <t xml:space="preserve"> :</t>
    </r>
  </si>
  <si>
    <t>Recommend Boost Inductor :</t>
  </si>
  <si>
    <t>Actual Boost Inductor :</t>
  </si>
  <si>
    <t>μH</t>
  </si>
  <si>
    <t>Input actual boost Inductor value</t>
  </si>
  <si>
    <r>
      <t>Power-Line MOSFET V</t>
    </r>
    <r>
      <rPr>
        <b/>
        <vertAlign val="subscript"/>
        <sz val="11"/>
        <color theme="1"/>
        <rFont val="Calibri"/>
        <family val="2"/>
        <scheme val="minor"/>
      </rPr>
      <t>GS</t>
    </r>
    <r>
      <rPr>
        <sz val="11"/>
        <color theme="1"/>
        <rFont val="Calibri"/>
        <family val="2"/>
        <scheme val="minor"/>
      </rPr>
      <t xml:space="preserve"> for target R</t>
    </r>
    <r>
      <rPr>
        <b/>
        <vertAlign val="subscript"/>
        <sz val="11"/>
        <color theme="1"/>
        <rFont val="Calibri"/>
        <family val="2"/>
        <scheme val="minor"/>
      </rPr>
      <t>DSON</t>
    </r>
    <r>
      <rPr>
        <sz val="11"/>
        <color theme="1"/>
        <rFont val="Calibri"/>
        <family val="2"/>
        <scheme val="minor"/>
      </rPr>
      <t xml:space="preserve"> :</t>
    </r>
  </si>
  <si>
    <t>User Input</t>
  </si>
  <si>
    <t>Calculated</t>
  </si>
  <si>
    <t>Constant</t>
  </si>
  <si>
    <t>LP8863-Q1 Spec</t>
  </si>
  <si>
    <t>Max Dimming ratio</t>
  </si>
  <si>
    <t>Input PWM Dimming Resolution :</t>
  </si>
  <si>
    <t>Maximum Input current when normal operation</t>
  </si>
  <si>
    <t>Maximum ourput power when normal operation</t>
  </si>
  <si>
    <t>Maximum Input power when normal operation</t>
  </si>
  <si>
    <t>Input the select RSENSE value</t>
  </si>
  <si>
    <t>Enable Hybrid Mode? :</t>
  </si>
  <si>
    <t>Ext. PWM input Freq. (Hz)</t>
  </si>
  <si>
    <t>Input PWM Resolution</t>
  </si>
  <si>
    <t>f_audible noise (Hz)</t>
  </si>
  <si>
    <t>Input PWM Dimming Resoltuion</t>
  </si>
  <si>
    <t>The external PWM signal from MCU</t>
  </si>
  <si>
    <t>:1</t>
  </si>
  <si>
    <t>Scoll down to choose a prefered LED PWM dimming frequency</t>
  </si>
  <si>
    <r>
      <t>Output PWM Dimming Resolution = 1/f</t>
    </r>
    <r>
      <rPr>
        <vertAlign val="subscript"/>
        <sz val="11"/>
        <color theme="1"/>
        <rFont val="Calibri"/>
        <family val="2"/>
        <scheme val="minor"/>
      </rPr>
      <t>PWM</t>
    </r>
    <r>
      <rPr>
        <sz val="11"/>
        <color theme="1"/>
        <rFont val="Calibri"/>
        <family val="2"/>
        <scheme val="minor"/>
      </rPr>
      <t>/T</t>
    </r>
    <r>
      <rPr>
        <vertAlign val="subscript"/>
        <sz val="11"/>
        <color theme="1"/>
        <rFont val="Calibri"/>
        <family val="2"/>
        <scheme val="minor"/>
      </rPr>
      <t>ON(min)</t>
    </r>
  </si>
  <si>
    <t>Recommanded minimum boost inductor vlaue</t>
  </si>
  <si>
    <t>Maximum Inductor switching current</t>
  </si>
  <si>
    <r>
      <t>BST Inductor Satuation Current (Isat) &gt;</t>
    </r>
    <r>
      <rPr>
        <sz val="11"/>
        <color theme="1"/>
        <rFont val="Calibri"/>
        <family val="2"/>
      </rPr>
      <t xml:space="preserve"> :</t>
    </r>
  </si>
  <si>
    <t>Peak to peak current on Inductor</t>
  </si>
  <si>
    <t>Step2-1: Design Power Line Input OCP (Optional)</t>
  </si>
  <si>
    <t>Input the actual total ESR of COUT</t>
  </si>
  <si>
    <t>Calculated system worst efficiency</t>
  </si>
  <si>
    <t>Recommanded RBST_FSET</t>
  </si>
  <si>
    <t>Recommanded RPWM_FSET</t>
  </si>
  <si>
    <r>
      <t>V</t>
    </r>
    <r>
      <rPr>
        <vertAlign val="subscript"/>
        <sz val="11"/>
        <color theme="1"/>
        <rFont val="Calibri"/>
        <family val="2"/>
        <scheme val="minor"/>
      </rPr>
      <t>BOOST_UVP_HIGH</t>
    </r>
    <r>
      <rPr>
        <sz val="11"/>
        <color theme="1"/>
        <rFont val="Calibri"/>
        <family val="2"/>
        <scheme val="minor"/>
      </rPr>
      <t xml:space="preserve"> :</t>
    </r>
  </si>
  <si>
    <r>
      <t>BST I</t>
    </r>
    <r>
      <rPr>
        <vertAlign val="subscript"/>
        <sz val="11"/>
        <color theme="1"/>
        <rFont val="Calibri"/>
        <family val="2"/>
        <scheme val="minor"/>
      </rPr>
      <t>OCP(MIN)</t>
    </r>
    <r>
      <rPr>
        <sz val="11"/>
        <color theme="1"/>
        <rFont val="Calibri"/>
        <family val="2"/>
        <scheme val="minor"/>
      </rPr>
      <t>, actual minimum trigger point :</t>
    </r>
  </si>
  <si>
    <r>
      <t xml:space="preserve">Power-Line Rsense should be </t>
    </r>
    <r>
      <rPr>
        <sz val="11"/>
        <color theme="1"/>
        <rFont val="Calibri"/>
        <family val="2"/>
      </rPr>
      <t>≤ Boost Rsense</t>
    </r>
  </si>
  <si>
    <r>
      <t>Recommend Power-Line R</t>
    </r>
    <r>
      <rPr>
        <b/>
        <vertAlign val="subscript"/>
        <sz val="11"/>
        <color theme="1"/>
        <rFont val="Calibri"/>
        <family val="2"/>
        <scheme val="minor"/>
      </rPr>
      <t>SENSE(MAX)</t>
    </r>
    <r>
      <rPr>
        <sz val="11"/>
        <color theme="1"/>
        <rFont val="Calibri"/>
        <family val="2"/>
        <scheme val="minor"/>
      </rPr>
      <t xml:space="preserve"> :</t>
    </r>
  </si>
  <si>
    <t>PWM</t>
  </si>
  <si>
    <r>
      <t>Maximum Required Vout, VOUT</t>
    </r>
    <r>
      <rPr>
        <vertAlign val="subscript"/>
        <sz val="11"/>
        <color theme="1"/>
        <rFont val="Calibri"/>
        <family val="2"/>
        <scheme val="minor"/>
      </rPr>
      <t>(MAX)</t>
    </r>
    <r>
      <rPr>
        <sz val="11"/>
        <color theme="1"/>
        <rFont val="Calibri"/>
        <family val="2"/>
        <scheme val="minor"/>
      </rPr>
      <t xml:space="preserve"> :</t>
    </r>
  </si>
  <si>
    <t>Expected Maximum Vout to drive LED string</t>
  </si>
  <si>
    <t>Must &gt; Required VOUT(MAX) to avoid mis-triggering LED open</t>
  </si>
  <si>
    <r>
      <t>Input OCP Minimum Trigger Point, I</t>
    </r>
    <r>
      <rPr>
        <vertAlign val="subscript"/>
        <sz val="11"/>
        <color theme="1"/>
        <rFont val="Calibri"/>
        <family val="2"/>
        <scheme val="minor"/>
      </rPr>
      <t>IN_</t>
    </r>
    <r>
      <rPr>
        <b/>
        <vertAlign val="subscript"/>
        <sz val="11"/>
        <color theme="1"/>
        <rFont val="Calibri"/>
        <family val="2"/>
        <scheme val="minor"/>
      </rPr>
      <t>OCP(MIN)</t>
    </r>
    <r>
      <rPr>
        <sz val="11"/>
        <color theme="1"/>
        <rFont val="Calibri"/>
        <family val="2"/>
        <scheme val="minor"/>
      </rPr>
      <t xml:space="preserve"> :</t>
    </r>
  </si>
  <si>
    <t>PWM input or Digital (I2C/SPI) for Dimming :</t>
  </si>
  <si>
    <t>Scoll down and select PWM or Digital Dimming control</t>
  </si>
  <si>
    <t>Input the PWM Dimming Frequency :</t>
  </si>
  <si>
    <t>Input PWM PWM Dimming Ratio :</t>
  </si>
  <si>
    <t>Input Dimming Ratio</t>
  </si>
  <si>
    <t>Might have audibale noise concern? :</t>
  </si>
  <si>
    <t>The criteria to detect LED string in short condition</t>
  </si>
  <si>
    <t>Input the actual effective COUT with considering the DC bias derating</t>
  </si>
  <si>
    <r>
      <t>Design R4(FB)</t>
    </r>
    <r>
      <rPr>
        <sz val="11"/>
        <color theme="1"/>
        <rFont val="Calibri"/>
        <family val="2"/>
      </rPr>
      <t>≥ recommended value</t>
    </r>
  </si>
  <si>
    <r>
      <t>Design C</t>
    </r>
    <r>
      <rPr>
        <b/>
        <i/>
        <vertAlign val="subscript"/>
        <sz val="11"/>
        <color theme="1"/>
        <rFont val="Calibri"/>
        <family val="2"/>
        <scheme val="minor"/>
      </rPr>
      <t>COMP</t>
    </r>
    <r>
      <rPr>
        <i/>
        <sz val="11"/>
        <color theme="1"/>
        <rFont val="Calibri"/>
        <family val="2"/>
        <scheme val="minor"/>
      </rPr>
      <t xml:space="preserve"> </t>
    </r>
    <r>
      <rPr>
        <sz val="11"/>
        <color theme="1"/>
        <rFont val="Calibri"/>
        <family val="2"/>
      </rPr>
      <t>≤ recommended value</t>
    </r>
  </si>
  <si>
    <t>Desired LED Dimming Frequency :</t>
  </si>
  <si>
    <t>Recommend Maximum VOUT_ripple :</t>
  </si>
  <si>
    <r>
      <t>Maximum Adptive VBOOST should be at least 2V higher than VOUT</t>
    </r>
    <r>
      <rPr>
        <i/>
        <vertAlign val="subscript"/>
        <sz val="11"/>
        <color theme="1"/>
        <rFont val="Calibri"/>
        <family val="2"/>
        <scheme val="minor"/>
      </rPr>
      <t>(MAX)</t>
    </r>
  </si>
  <si>
    <t>Actual Output Dimming Ratio</t>
  </si>
  <si>
    <r>
      <t>Required BST R</t>
    </r>
    <r>
      <rPr>
        <vertAlign val="subscript"/>
        <sz val="11"/>
        <color theme="1"/>
        <rFont val="Calibri"/>
        <family val="2"/>
        <scheme val="minor"/>
      </rPr>
      <t>SENSE</t>
    </r>
    <r>
      <rPr>
        <sz val="11"/>
        <color theme="1"/>
        <rFont val="Calibri"/>
        <family val="2"/>
        <scheme val="minor"/>
      </rPr>
      <t xml:space="preserve"> Power Rating</t>
    </r>
    <r>
      <rPr>
        <vertAlign val="subscript"/>
        <sz val="11"/>
        <color theme="1"/>
        <rFont val="Calibri"/>
        <family val="2"/>
        <scheme val="minor"/>
      </rPr>
      <t>(min)</t>
    </r>
    <r>
      <rPr>
        <sz val="11"/>
        <color theme="1"/>
        <rFont val="Calibri"/>
        <family val="2"/>
        <scheme val="minor"/>
      </rPr>
      <t xml:space="preserve"> :</t>
    </r>
  </si>
  <si>
    <t>Boost Rsense power rating should be greater than this value</t>
  </si>
  <si>
    <t>Boost OCP minimum trigger point</t>
  </si>
  <si>
    <t>Choose Inductor IDC current greater than this value</t>
  </si>
  <si>
    <t>Choose Inductor Isat current greater than this value</t>
  </si>
  <si>
    <t>Check if you enable Hybrid mode dimming</t>
  </si>
  <si>
    <t xml:space="preserve">Required max sink current per each channel (150mA is the max) </t>
  </si>
  <si>
    <t>Recommend Power-Line Rsense</t>
  </si>
  <si>
    <t>FPWN*number of LED string</t>
  </si>
  <si>
    <t>Recommended RISET which is greater than this value</t>
  </si>
  <si>
    <t>Input the selected RISET value in your design</t>
  </si>
  <si>
    <t>Redesign if it bigger than normally recommeded 100mVpp</t>
  </si>
  <si>
    <t>Optional. Only use when onboard RFB2 resistor requires &lt;=100kOhm</t>
  </si>
  <si>
    <t>If Gain Margin gap &gt; 3dB, additional compensation(R4/Ccomp) is recommended</t>
  </si>
  <si>
    <t>Number of LED String Paralled</t>
  </si>
  <si>
    <t>Version Number</t>
  </si>
  <si>
    <t>1.0</t>
  </si>
  <si>
    <t>Version History</t>
  </si>
  <si>
    <t>Version</t>
  </si>
  <si>
    <t>Change List Description</t>
  </si>
  <si>
    <t>Initial Release</t>
  </si>
  <si>
    <r>
      <t>Recommended R</t>
    </r>
    <r>
      <rPr>
        <b/>
        <vertAlign val="subscript"/>
        <sz val="11"/>
        <color theme="1"/>
        <rFont val="Calibri"/>
        <family val="2"/>
        <scheme val="minor"/>
      </rPr>
      <t>ISET(MIN)</t>
    </r>
    <r>
      <rPr>
        <sz val="11"/>
        <color theme="1"/>
        <rFont val="Calibri"/>
        <family val="2"/>
        <scheme val="minor"/>
      </rPr>
      <t xml:space="preserve"> : </t>
    </r>
  </si>
  <si>
    <t>Number of LED String Group :</t>
  </si>
  <si>
    <r>
      <t>Forward Current in one LED String Group, I</t>
    </r>
    <r>
      <rPr>
        <vertAlign val="subscript"/>
        <sz val="11"/>
        <color theme="1"/>
        <rFont val="Calibri"/>
        <family val="2"/>
        <scheme val="minor"/>
      </rPr>
      <t>F(MAX)</t>
    </r>
    <r>
      <rPr>
        <sz val="11"/>
        <color theme="1"/>
        <rFont val="Calibri"/>
        <family val="2"/>
        <scheme val="minor"/>
      </rPr>
      <t xml:space="preserve"> :</t>
    </r>
  </si>
  <si>
    <t>Estimated Output LED dimming ratio</t>
  </si>
  <si>
    <t>Enable Hybrid Mode?</t>
  </si>
  <si>
    <t>Total Number of LED sink channel are used :</t>
  </si>
  <si>
    <r>
      <t>MAX LED Forward Voltage, V</t>
    </r>
    <r>
      <rPr>
        <vertAlign val="subscript"/>
        <sz val="11"/>
        <color theme="1"/>
        <rFont val="Calibri"/>
        <family val="2"/>
        <scheme val="minor"/>
      </rPr>
      <t>F (MAX)</t>
    </r>
    <r>
      <rPr>
        <sz val="11"/>
        <color theme="1"/>
        <rFont val="Calibri"/>
        <family val="2"/>
        <scheme val="minor"/>
      </rPr>
      <t xml:space="preserve"> :</t>
    </r>
  </si>
  <si>
    <t>Maximum LED Forward Voltage</t>
  </si>
  <si>
    <r>
      <t>MIN LED Forward Voltage, V</t>
    </r>
    <r>
      <rPr>
        <vertAlign val="subscript"/>
        <sz val="11"/>
        <color theme="1"/>
        <rFont val="Calibri"/>
        <family val="2"/>
        <scheme val="minor"/>
      </rPr>
      <t>F (MIN)</t>
    </r>
    <r>
      <rPr>
        <sz val="11"/>
        <color theme="1"/>
        <rFont val="Calibri"/>
        <family val="2"/>
        <scheme val="minor"/>
      </rPr>
      <t xml:space="preserve"> :</t>
    </r>
  </si>
  <si>
    <t>Minimum LED Forward Voltage</t>
  </si>
  <si>
    <t>Required current in grouped LED string, LED(IF) times the string number in a group</t>
  </si>
  <si>
    <t>LED nubmber in single string</t>
  </si>
  <si>
    <t>Number of LED string paralleled in a group</t>
  </si>
  <si>
    <t>Total Number of LED sink channels connected to all the LED strings</t>
  </si>
  <si>
    <t>Input the Boost MOSFET RDS(on)</t>
  </si>
  <si>
    <t>Recommend RSENSE to be less than this value</t>
  </si>
  <si>
    <t>Rev: 1.0</t>
  </si>
  <si>
    <r>
      <t xml:space="preserve">Might have </t>
    </r>
    <r>
      <rPr>
        <b/>
        <i/>
        <sz val="11"/>
        <color theme="1"/>
        <rFont val="Calibri"/>
        <family val="2"/>
        <scheme val="minor"/>
      </rPr>
      <t>audible</t>
    </r>
    <r>
      <rPr>
        <i/>
        <sz val="11"/>
        <color theme="1"/>
        <rFont val="Calibri"/>
        <family val="2"/>
        <scheme val="minor"/>
      </rPr>
      <t xml:space="preserve"> noise concern with LED PWM setting</t>
    </r>
  </si>
  <si>
    <t>Input PWM Dimming Ratio</t>
  </si>
  <si>
    <t>Actual output LED Dimming Ratio :</t>
  </si>
  <si>
    <t>TI recommended at least 10uF effective capacitance at INPUT</t>
  </si>
  <si>
    <t>Required effective capacitance, need to consider DC bias degration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</si>
</sst>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0"/>
    <numFmt numFmtId="165" formatCode="0.0"/>
    <numFmt numFmtId="166" formatCode="0.0000"/>
    <numFmt numFmtId="167" formatCode="0.000E+00"/>
    <numFmt numFmtId="168" formatCode="0.000000"/>
    <numFmt numFmtId="169" formatCode="0.000000000"/>
    <numFmt numFmtId="170" formatCode="0.00000000"/>
    <numFmt numFmtId="171" formatCode="0.00000"/>
  </numFmts>
  <fonts count="3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sz val="11"/>
      <name val="Calibri"/>
      <family val="2"/>
      <scheme val="minor"/>
    </font>
    <font>
      <sz val="10"/>
      <name val="Arial"/>
      <family val="2"/>
    </font>
    <font>
      <sz val="11"/>
      <name val="Arial"/>
      <family val="2"/>
    </font>
    <font>
      <b/>
      <sz val="11"/>
      <name val="Arial"/>
      <family val="2"/>
    </font>
    <font>
      <b/>
      <i/>
      <sz val="11"/>
      <color theme="1"/>
      <name val="Calibri"/>
      <family val="2"/>
      <scheme val="minor"/>
    </font>
    <font>
      <vertAlign val="subscript"/>
      <sz val="11"/>
      <color theme="1"/>
      <name val="Calibri"/>
      <family val="2"/>
      <scheme val="minor"/>
    </font>
    <font>
      <sz val="11"/>
      <color theme="1"/>
      <name val="Calibri"/>
      <family val="2"/>
    </font>
    <font>
      <i/>
      <vertAlign val="subscript"/>
      <sz val="11"/>
      <color theme="1"/>
      <name val="Calibri"/>
      <family val="2"/>
      <scheme val="minor"/>
    </font>
    <font>
      <b/>
      <sz val="11"/>
      <color rgb="FF0070C0"/>
      <name val="Calibri"/>
      <family val="2"/>
      <scheme val="minor"/>
    </font>
    <font>
      <sz val="12.65"/>
      <color theme="1"/>
      <name val="Calibri"/>
      <family val="2"/>
    </font>
    <font>
      <sz val="11"/>
      <color rgb="FF006100"/>
      <name val="Calibri"/>
      <family val="2"/>
      <scheme val="minor"/>
    </font>
    <font>
      <b/>
      <sz val="11"/>
      <name val="Calibri"/>
      <family val="2"/>
      <scheme val="minor"/>
    </font>
    <font>
      <b/>
      <vertAlign val="subscript"/>
      <sz val="11"/>
      <name val="Arial"/>
      <family val="2"/>
    </font>
    <font>
      <sz val="8"/>
      <color theme="1"/>
      <name val="Calibri"/>
      <family val="2"/>
      <scheme val="minor"/>
    </font>
    <font>
      <sz val="10"/>
      <color theme="1"/>
      <name val="Calibri"/>
      <family val="2"/>
      <scheme val="minor"/>
    </font>
    <font>
      <sz val="12"/>
      <color theme="1"/>
      <name val="Calibri"/>
      <family val="2"/>
      <scheme val="minor"/>
    </font>
    <font>
      <sz val="8.8000000000000007"/>
      <color theme="1"/>
      <name val="Calibri"/>
      <family val="2"/>
    </font>
    <font>
      <sz val="11"/>
      <color theme="1"/>
      <name val="Arial"/>
      <family val="2"/>
    </font>
    <font>
      <b/>
      <sz val="11"/>
      <color rgb="FFFF0000"/>
      <name val="Arial"/>
      <family val="2"/>
    </font>
    <font>
      <sz val="11"/>
      <name val="Calibri"/>
      <family val="2"/>
    </font>
    <font>
      <b/>
      <vertAlign val="subscript"/>
      <sz val="11"/>
      <color theme="1"/>
      <name val="Calibri"/>
      <family val="2"/>
      <scheme val="minor"/>
    </font>
    <font>
      <b/>
      <vertAlign val="subscript"/>
      <sz val="11"/>
      <name val="Calibri"/>
      <family val="2"/>
      <scheme val="minor"/>
    </font>
    <font>
      <b/>
      <sz val="11"/>
      <color rgb="FFFF0000"/>
      <name val="Calibri"/>
      <family val="2"/>
      <scheme val="minor"/>
    </font>
    <font>
      <b/>
      <i/>
      <sz val="11"/>
      <color rgb="FFFF0000"/>
      <name val="Calibri"/>
      <family val="2"/>
      <scheme val="minor"/>
    </font>
    <font>
      <i/>
      <sz val="11"/>
      <name val="Calibri"/>
      <family val="2"/>
      <scheme val="minor"/>
    </font>
    <font>
      <b/>
      <sz val="22"/>
      <color theme="0"/>
      <name val="Calibri"/>
      <family val="2"/>
      <scheme val="minor"/>
    </font>
    <font>
      <b/>
      <i/>
      <vertAlign val="subscript"/>
      <sz val="11"/>
      <color theme="1"/>
      <name val="Calibri"/>
      <family val="2"/>
      <scheme val="minor"/>
    </font>
    <font>
      <sz val="11"/>
      <color rgb="FFFF0000"/>
      <name val="Calibri"/>
      <family val="2"/>
      <scheme val="minor"/>
    </font>
    <font>
      <sz val="11"/>
      <color theme="0"/>
      <name val="Calibri"/>
      <family val="2"/>
      <scheme val="minor"/>
    </font>
    <font>
      <b/>
      <sz val="12"/>
      <color theme="1"/>
      <name val="Arial"/>
      <family val="2"/>
    </font>
    <font>
      <i/>
      <sz val="11"/>
      <color theme="1"/>
      <name val="Arial"/>
      <family val="2"/>
    </font>
    <font>
      <sz val="11"/>
      <color theme="0"/>
      <name val="Arial"/>
      <family val="2"/>
    </font>
    <font>
      <b/>
      <sz val="16"/>
      <color theme="0"/>
      <name val="Arial Black"/>
      <family val="2"/>
    </font>
  </fonts>
  <fills count="22">
    <fill>
      <patternFill patternType="none"/>
    </fill>
    <fill>
      <patternFill patternType="gray125"/>
    </fill>
    <fill>
      <patternFill patternType="solid">
        <fgColor rgb="FFFFFF99"/>
        <bgColor indexed="64"/>
      </patternFill>
    </fill>
    <fill>
      <patternFill patternType="solid">
        <fgColor theme="3" tint="0.59999389629810485"/>
        <bgColor indexed="64"/>
      </patternFill>
    </fill>
    <fill>
      <patternFill patternType="solid">
        <fgColor rgb="FF66FF99"/>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0000"/>
        <bgColor indexed="64"/>
      </patternFill>
    </fill>
    <fill>
      <patternFill patternType="solid">
        <fgColor theme="0"/>
        <bgColor indexed="64"/>
      </patternFill>
    </fill>
    <fill>
      <patternFill patternType="solid">
        <fgColor rgb="FFC6EFCE"/>
      </patternFill>
    </fill>
    <fill>
      <patternFill patternType="solid">
        <fgColor rgb="FFA5A5A5"/>
      </patternFill>
    </fill>
    <fill>
      <patternFill patternType="solid">
        <fgColor rgb="FFFFFF00"/>
        <bgColor indexed="64"/>
      </patternFill>
    </fill>
    <fill>
      <patternFill patternType="solid">
        <fgColor rgb="FFCCFFCC"/>
        <bgColor indexed="64"/>
      </patternFill>
    </fill>
    <fill>
      <patternFill patternType="solid">
        <fgColor theme="9"/>
        <bgColor indexed="64"/>
      </patternFill>
    </fill>
    <fill>
      <patternFill patternType="solid">
        <fgColor rgb="FF92D050"/>
        <bgColor indexed="64"/>
      </patternFill>
    </fill>
    <fill>
      <patternFill patternType="solid">
        <fgColor rgb="FFFF5050"/>
        <bgColor indexed="64"/>
      </patternFill>
    </fill>
    <fill>
      <patternFill patternType="solid">
        <fgColor rgb="FF8DB4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E0000"/>
        <bgColor indexed="64"/>
      </patternFill>
    </fill>
    <fill>
      <patternFill patternType="solid">
        <fgColor theme="1"/>
        <bgColor indexed="64"/>
      </patternFill>
    </fill>
  </fills>
  <borders count="9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auto="1"/>
      </left>
      <right style="thin">
        <color auto="1"/>
      </right>
      <top style="thin">
        <color auto="1"/>
      </top>
      <bottom style="thin">
        <color auto="1"/>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right style="thin">
        <color theme="0"/>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right style="thin">
        <color theme="0" tint="-0.499984740745262"/>
      </right>
      <top style="thin">
        <color theme="0" tint="-0.499984740745262"/>
      </top>
      <bottom/>
      <diagonal/>
    </border>
    <border>
      <left style="medium">
        <color indexed="64"/>
      </left>
      <right style="medium">
        <color indexed="64"/>
      </right>
      <top style="medium">
        <color indexed="64"/>
      </top>
      <bottom style="thin">
        <color rgb="FFFFFF99"/>
      </bottom>
      <diagonal/>
    </border>
    <border>
      <left style="medium">
        <color indexed="64"/>
      </left>
      <right style="medium">
        <color indexed="64"/>
      </right>
      <top style="thin">
        <color rgb="FFFFFF99"/>
      </top>
      <bottom style="thin">
        <color rgb="FFFFFF99"/>
      </bottom>
      <diagonal/>
    </border>
    <border>
      <left/>
      <right style="thin">
        <color theme="0" tint="-0.499984740745262"/>
      </right>
      <top/>
      <bottom style="thin">
        <color theme="0" tint="-0.499984740745262"/>
      </bottom>
      <diagonal/>
    </border>
    <border>
      <left style="medium">
        <color indexed="64"/>
      </left>
      <right/>
      <top style="medium">
        <color indexed="64"/>
      </top>
      <bottom/>
      <diagonal/>
    </border>
    <border>
      <left style="thin">
        <color theme="0"/>
      </left>
      <right style="thin">
        <color theme="0"/>
      </right>
      <top style="medium">
        <color indexed="64"/>
      </top>
      <bottom style="thin">
        <color theme="0"/>
      </bottom>
      <diagonal/>
    </border>
    <border>
      <left/>
      <right/>
      <top style="medium">
        <color indexed="64"/>
      </top>
      <bottom/>
      <diagonal/>
    </border>
    <border>
      <left/>
      <right style="medium">
        <color indexed="64"/>
      </right>
      <top style="medium">
        <color indexed="64"/>
      </top>
      <bottom style="thin">
        <color theme="0"/>
      </bottom>
      <diagonal/>
    </border>
    <border>
      <left style="medium">
        <color indexed="64"/>
      </left>
      <right/>
      <top/>
      <bottom/>
      <diagonal/>
    </border>
    <border>
      <left/>
      <right style="medium">
        <color indexed="64"/>
      </right>
      <top style="thin">
        <color theme="0"/>
      </top>
      <bottom style="thin">
        <color theme="0"/>
      </bottom>
      <diagonal/>
    </border>
    <border>
      <left style="medium">
        <color indexed="64"/>
      </left>
      <right/>
      <top/>
      <bottom style="medium">
        <color indexed="64"/>
      </bottom>
      <diagonal/>
    </border>
    <border>
      <left style="thin">
        <color theme="0"/>
      </left>
      <right style="thin">
        <color theme="0"/>
      </right>
      <top style="thin">
        <color theme="0"/>
      </top>
      <bottom style="medium">
        <color indexed="64"/>
      </bottom>
      <diagonal/>
    </border>
    <border>
      <left/>
      <right/>
      <top/>
      <bottom style="medium">
        <color indexed="64"/>
      </bottom>
      <diagonal/>
    </border>
    <border>
      <left/>
      <right style="medium">
        <color indexed="64"/>
      </right>
      <top style="thin">
        <color theme="0"/>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style="medium">
        <color indexed="64"/>
      </right>
      <top/>
      <bottom style="thin">
        <color theme="3" tint="0.59999389629810485"/>
      </bottom>
      <diagonal/>
    </border>
    <border>
      <left style="medium">
        <color indexed="64"/>
      </left>
      <right style="medium">
        <color indexed="64"/>
      </right>
      <top style="thin">
        <color theme="3" tint="0.59999389629810485"/>
      </top>
      <bottom style="thin">
        <color theme="3" tint="0.59999389629810485"/>
      </bottom>
      <diagonal/>
    </border>
    <border>
      <left style="medium">
        <color indexed="64"/>
      </left>
      <right style="medium">
        <color indexed="64"/>
      </right>
      <top style="thin">
        <color theme="3" tint="0.59999389629810485"/>
      </top>
      <bottom style="medium">
        <color indexed="64"/>
      </bottom>
      <diagonal/>
    </border>
    <border>
      <left style="thin">
        <color theme="1" tint="0.499984740745262"/>
      </left>
      <right style="thin">
        <color theme="1" tint="0.499984740745262"/>
      </right>
      <top/>
      <bottom style="thin">
        <color theme="1" tint="0.499984740745262"/>
      </bottom>
      <diagonal/>
    </border>
    <border>
      <left style="medium">
        <color indexed="64"/>
      </left>
      <right style="thin">
        <color rgb="FFFF0000"/>
      </right>
      <top style="medium">
        <color indexed="64"/>
      </top>
      <bottom style="medium">
        <color indexed="64"/>
      </bottom>
      <diagonal/>
    </border>
    <border>
      <left style="thin">
        <color rgb="FFFF0000"/>
      </left>
      <right style="thin">
        <color rgb="FFFF0000"/>
      </right>
      <top style="medium">
        <color indexed="64"/>
      </top>
      <bottom style="medium">
        <color indexed="64"/>
      </bottom>
      <diagonal/>
    </border>
    <border>
      <left style="thin">
        <color rgb="FFFF0000"/>
      </left>
      <right style="medium">
        <color indexed="64"/>
      </right>
      <top style="medium">
        <color indexed="64"/>
      </top>
      <bottom style="medium">
        <color indexed="64"/>
      </bottom>
      <diagonal/>
    </border>
    <border>
      <left/>
      <right/>
      <top style="medium">
        <color theme="0"/>
      </top>
      <bottom/>
      <diagonal/>
    </border>
    <border>
      <left style="thin">
        <color theme="0"/>
      </left>
      <right style="thin">
        <color theme="0"/>
      </right>
      <top style="medium">
        <color theme="0"/>
      </top>
      <bottom/>
      <diagonal/>
    </border>
    <border>
      <left style="thin">
        <color theme="0"/>
      </left>
      <right style="medium">
        <color theme="0"/>
      </right>
      <top style="medium">
        <color theme="0"/>
      </top>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style="medium">
        <color indexed="64"/>
      </bottom>
      <diagonal/>
    </border>
    <border>
      <left/>
      <right style="thin">
        <color theme="0"/>
      </right>
      <top style="thin">
        <color theme="0"/>
      </top>
      <bottom style="medium">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right/>
      <top style="thin">
        <color theme="0"/>
      </top>
      <bottom style="thin">
        <color theme="0"/>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theme="0"/>
      </right>
      <top style="thin">
        <color theme="0"/>
      </top>
      <bottom/>
      <diagonal/>
    </border>
    <border>
      <left style="medium">
        <color indexed="64"/>
      </left>
      <right style="medium">
        <color indexed="64"/>
      </right>
      <top style="medium">
        <color indexed="64"/>
      </top>
      <bottom/>
      <diagonal/>
    </border>
    <border>
      <left style="medium">
        <color indexed="64"/>
      </left>
      <right style="thin">
        <color theme="0"/>
      </right>
      <top/>
      <bottom/>
      <diagonal/>
    </border>
    <border>
      <left style="medium">
        <color indexed="64"/>
      </left>
      <right style="thin">
        <color theme="0"/>
      </right>
      <top/>
      <bottom style="medium">
        <color indexed="64"/>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right style="medium">
        <color indexed="64"/>
      </right>
      <top/>
      <bottom style="thin">
        <color theme="0"/>
      </bottom>
      <diagonal/>
    </border>
    <border>
      <left style="medium">
        <color indexed="64"/>
      </left>
      <right style="thin">
        <color theme="0"/>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thin">
        <color theme="0"/>
      </right>
      <top style="medium">
        <color indexed="64"/>
      </top>
      <bottom/>
      <diagonal/>
    </border>
    <border>
      <left/>
      <right style="thin">
        <color theme="0"/>
      </right>
      <top style="medium">
        <color indexed="64"/>
      </top>
      <bottom/>
      <diagonal/>
    </border>
    <border>
      <left style="thin">
        <color theme="0"/>
      </left>
      <right style="thin">
        <color theme="0"/>
      </right>
      <top style="medium">
        <color indexed="64"/>
      </top>
      <bottom/>
      <diagonal/>
    </border>
    <border>
      <left style="medium">
        <color indexed="64"/>
      </left>
      <right style="thin">
        <color theme="0"/>
      </right>
      <top/>
      <bottom style="thin">
        <color theme="0"/>
      </bottom>
      <diagonal/>
    </border>
    <border>
      <left/>
      <right style="medium">
        <color indexed="64"/>
      </right>
      <top style="thin">
        <color theme="0"/>
      </top>
      <bottom/>
      <diagonal/>
    </border>
    <border>
      <left/>
      <right/>
      <top/>
      <bottom style="thin">
        <color theme="0"/>
      </bottom>
      <diagonal/>
    </border>
    <border>
      <left style="medium">
        <color indexed="64"/>
      </left>
      <right style="medium">
        <color indexed="64"/>
      </right>
      <top style="thin">
        <color rgb="FFFFFF99"/>
      </top>
      <bottom/>
      <diagonal/>
    </border>
    <border>
      <left style="thin">
        <color theme="1" tint="0.499984740745262"/>
      </left>
      <right/>
      <top style="thin">
        <color theme="1" tint="0.499984740745262"/>
      </top>
      <bottom style="thin">
        <color theme="1" tint="0.499984740745262"/>
      </bottom>
      <diagonal/>
    </border>
    <border>
      <left/>
      <right style="thin">
        <color theme="0" tint="-0.499984740745262"/>
      </right>
      <top/>
      <bottom/>
      <diagonal/>
    </border>
    <border>
      <left style="thin">
        <color theme="0"/>
      </left>
      <right/>
      <top style="medium">
        <color indexed="64"/>
      </top>
      <bottom style="thin">
        <color theme="0"/>
      </bottom>
      <diagonal/>
    </border>
    <border>
      <left style="thin">
        <color theme="2"/>
      </left>
      <right style="thin">
        <color theme="2"/>
      </right>
      <top style="thin">
        <color theme="2"/>
      </top>
      <bottom style="thin">
        <color theme="2"/>
      </bottom>
      <diagonal/>
    </border>
    <border>
      <left style="thin">
        <color theme="0" tint="-0.499984740745262"/>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left>
      <right/>
      <top style="thin">
        <color theme="0"/>
      </top>
      <bottom/>
      <diagonal/>
    </border>
  </borders>
  <cellStyleXfs count="14">
    <xf numFmtId="0" fontId="0"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5" fillId="10" borderId="0" applyNumberFormat="0" applyBorder="0" applyAlignment="0" applyProtection="0"/>
    <xf numFmtId="0" fontId="2" fillId="11" borderId="44" applyNumberFormat="0" applyAlignment="0" applyProtection="0"/>
    <xf numFmtId="0" fontId="7" fillId="0" borderId="0"/>
  </cellStyleXfs>
  <cellXfs count="300">
    <xf numFmtId="0" fontId="0" fillId="0" borderId="0" xfId="0"/>
    <xf numFmtId="0" fontId="0" fillId="7" borderId="11" xfId="0" applyFill="1" applyBorder="1"/>
    <xf numFmtId="0" fontId="0" fillId="7" borderId="12" xfId="0" applyFill="1" applyBorder="1"/>
    <xf numFmtId="0" fontId="0" fillId="7" borderId="13" xfId="0" applyFill="1" applyBorder="1"/>
    <xf numFmtId="0" fontId="0" fillId="7" borderId="14" xfId="0" applyFill="1" applyBorder="1"/>
    <xf numFmtId="0" fontId="0" fillId="9" borderId="1" xfId="0" applyFill="1" applyBorder="1"/>
    <xf numFmtId="0" fontId="0" fillId="9" borderId="0" xfId="0" applyFont="1" applyFill="1" applyBorder="1" applyAlignment="1">
      <alignment horizontal="right"/>
    </xf>
    <xf numFmtId="0" fontId="0" fillId="9" borderId="0" xfId="0" applyFill="1" applyBorder="1"/>
    <xf numFmtId="0" fontId="0" fillId="9" borderId="6" xfId="0" applyFill="1" applyBorder="1"/>
    <xf numFmtId="0" fontId="0" fillId="9" borderId="5" xfId="0" applyFill="1" applyBorder="1"/>
    <xf numFmtId="0" fontId="0" fillId="9" borderId="7" xfId="0" applyFill="1" applyBorder="1"/>
    <xf numFmtId="0" fontId="0" fillId="7" borderId="15" xfId="0" applyFill="1" applyBorder="1"/>
    <xf numFmtId="0" fontId="0" fillId="9" borderId="0" xfId="0" applyFont="1" applyFill="1" applyBorder="1" applyAlignment="1">
      <alignment horizontal="right" vertical="center"/>
    </xf>
    <xf numFmtId="0" fontId="3" fillId="9" borderId="5" xfId="0" applyFont="1" applyFill="1" applyBorder="1" applyAlignment="1">
      <alignment horizontal="center"/>
    </xf>
    <xf numFmtId="0" fontId="3" fillId="9" borderId="5" xfId="0" applyFont="1" applyFill="1" applyBorder="1"/>
    <xf numFmtId="0" fontId="0" fillId="7" borderId="16" xfId="0" applyFill="1" applyBorder="1"/>
    <xf numFmtId="0" fontId="0" fillId="7" borderId="0" xfId="0" applyFill="1" applyBorder="1"/>
    <xf numFmtId="0" fontId="0" fillId="7" borderId="19" xfId="0" applyFill="1" applyBorder="1"/>
    <xf numFmtId="0" fontId="13" fillId="9" borderId="2" xfId="0" applyFont="1" applyFill="1" applyBorder="1"/>
    <xf numFmtId="0" fontId="0" fillId="9" borderId="9" xfId="0" applyFill="1" applyBorder="1"/>
    <xf numFmtId="0" fontId="0" fillId="9" borderId="20" xfId="0" applyFill="1" applyBorder="1"/>
    <xf numFmtId="0" fontId="0" fillId="9" borderId="21" xfId="0" applyFill="1" applyBorder="1"/>
    <xf numFmtId="0" fontId="0" fillId="9" borderId="22" xfId="0" applyFont="1" applyFill="1" applyBorder="1" applyAlignment="1">
      <alignment horizontal="right" vertical="center"/>
    </xf>
    <xf numFmtId="0" fontId="0" fillId="0" borderId="23" xfId="0" applyFont="1" applyBorder="1" applyAlignment="1">
      <alignment horizontal="left" vertical="center"/>
    </xf>
    <xf numFmtId="0" fontId="0" fillId="9" borderId="24" xfId="0" applyFill="1" applyBorder="1"/>
    <xf numFmtId="0" fontId="0" fillId="0" borderId="25" xfId="0" applyFont="1" applyBorder="1" applyAlignment="1">
      <alignment horizontal="left" vertical="center"/>
    </xf>
    <xf numFmtId="0" fontId="0" fillId="9" borderId="26" xfId="0" applyFill="1" applyBorder="1"/>
    <xf numFmtId="0" fontId="0" fillId="9" borderId="27" xfId="0" applyFill="1" applyBorder="1"/>
    <xf numFmtId="0" fontId="0" fillId="9" borderId="28" xfId="0" applyFont="1" applyFill="1" applyBorder="1" applyAlignment="1">
      <alignment horizontal="right" vertical="center"/>
    </xf>
    <xf numFmtId="0" fontId="0" fillId="0" borderId="29" xfId="0" applyFont="1" applyBorder="1" applyAlignment="1">
      <alignment horizontal="left" vertical="center"/>
    </xf>
    <xf numFmtId="0" fontId="0" fillId="7" borderId="30" xfId="0" applyFill="1" applyBorder="1"/>
    <xf numFmtId="0" fontId="0" fillId="7" borderId="34" xfId="0" applyFill="1" applyBorder="1"/>
    <xf numFmtId="0" fontId="0" fillId="8" borderId="35" xfId="0" applyFill="1" applyBorder="1"/>
    <xf numFmtId="0" fontId="0" fillId="8" borderId="36" xfId="0" applyFill="1" applyBorder="1"/>
    <xf numFmtId="0" fontId="0" fillId="8" borderId="37" xfId="0" applyFill="1" applyBorder="1"/>
    <xf numFmtId="0" fontId="13" fillId="9" borderId="5" xfId="0" applyFont="1" applyFill="1" applyBorder="1"/>
    <xf numFmtId="0" fontId="0" fillId="9" borderId="10" xfId="0" applyFill="1" applyBorder="1"/>
    <xf numFmtId="0" fontId="3" fillId="9" borderId="38" xfId="0" applyFont="1" applyFill="1" applyBorder="1" applyAlignment="1">
      <alignment horizontal="right" vertical="center"/>
    </xf>
    <xf numFmtId="0" fontId="3" fillId="9" borderId="39" xfId="0" applyFont="1" applyFill="1" applyBorder="1" applyAlignment="1">
      <alignment horizontal="center"/>
    </xf>
    <xf numFmtId="0" fontId="3" fillId="9" borderId="40" xfId="0" applyFont="1" applyFill="1" applyBorder="1"/>
    <xf numFmtId="0" fontId="0" fillId="9" borderId="39" xfId="0" applyFill="1" applyBorder="1"/>
    <xf numFmtId="0" fontId="0" fillId="9" borderId="22" xfId="0" applyFont="1" applyFill="1" applyBorder="1" applyAlignment="1">
      <alignment horizontal="right"/>
    </xf>
    <xf numFmtId="0" fontId="0" fillId="9" borderId="41" xfId="0" applyFill="1" applyBorder="1"/>
    <xf numFmtId="0" fontId="0" fillId="9" borderId="42" xfId="0" applyFill="1" applyBorder="1"/>
    <xf numFmtId="0" fontId="0" fillId="9" borderId="43" xfId="0" applyFill="1" applyBorder="1"/>
    <xf numFmtId="0" fontId="0" fillId="9" borderId="28" xfId="0" applyFont="1" applyFill="1" applyBorder="1" applyAlignment="1">
      <alignment horizontal="right"/>
    </xf>
    <xf numFmtId="0" fontId="3" fillId="9" borderId="5" xfId="0" applyFont="1" applyFill="1" applyBorder="1" applyAlignment="1">
      <alignment horizontal="left"/>
    </xf>
    <xf numFmtId="0" fontId="4" fillId="9" borderId="1" xfId="0" applyFont="1" applyFill="1" applyBorder="1" applyAlignment="1">
      <alignment vertical="center"/>
    </xf>
    <xf numFmtId="0" fontId="4" fillId="9" borderId="1" xfId="0" applyFont="1" applyFill="1" applyBorder="1" applyAlignment="1">
      <alignment horizontal="left" vertical="center"/>
    </xf>
    <xf numFmtId="0" fontId="8" fillId="12" borderId="0" xfId="13" applyFont="1" applyFill="1"/>
    <xf numFmtId="0" fontId="7" fillId="12" borderId="0" xfId="13" applyFill="1" applyAlignment="1">
      <alignment horizontal="center"/>
    </xf>
    <xf numFmtId="0" fontId="7" fillId="12" borderId="0" xfId="13" applyFill="1"/>
    <xf numFmtId="0" fontId="0" fillId="0" borderId="0" xfId="0" applyAlignment="1">
      <alignment horizontal="left"/>
    </xf>
    <xf numFmtId="0" fontId="8" fillId="6" borderId="0" xfId="13" applyFont="1" applyFill="1"/>
    <xf numFmtId="0" fontId="7" fillId="6" borderId="0" xfId="13" applyFill="1" applyAlignment="1">
      <alignment horizontal="center"/>
    </xf>
    <xf numFmtId="0" fontId="7" fillId="6" borderId="0" xfId="13" applyFill="1"/>
    <xf numFmtId="0" fontId="8" fillId="13" borderId="0" xfId="13" applyFont="1" applyFill="1"/>
    <xf numFmtId="2" fontId="7" fillId="13" borderId="0" xfId="13" applyNumberFormat="1" applyFill="1" applyAlignment="1">
      <alignment horizontal="center"/>
    </xf>
    <xf numFmtId="0" fontId="7" fillId="13" borderId="0" xfId="13" applyFill="1"/>
    <xf numFmtId="0" fontId="0" fillId="0" borderId="0" xfId="0" applyAlignment="1">
      <alignment horizontal="left" wrapText="1"/>
    </xf>
    <xf numFmtId="0" fontId="7" fillId="0" borderId="0" xfId="13"/>
    <xf numFmtId="0" fontId="0" fillId="0" borderId="3" xfId="0" applyBorder="1" applyAlignment="1">
      <alignment horizontal="center" vertical="center"/>
    </xf>
    <xf numFmtId="0" fontId="0" fillId="0" borderId="3" xfId="0" applyFill="1" applyBorder="1" applyAlignment="1">
      <alignment horizontal="center" vertical="center"/>
    </xf>
    <xf numFmtId="11" fontId="0" fillId="0" borderId="3" xfId="0" applyNumberFormat="1" applyBorder="1" applyAlignment="1">
      <alignment horizontal="center" vertical="center"/>
    </xf>
    <xf numFmtId="2" fontId="0" fillId="0" borderId="3" xfId="0" applyNumberFormat="1" applyBorder="1" applyAlignment="1">
      <alignment horizontal="center" vertical="center"/>
    </xf>
    <xf numFmtId="1" fontId="0" fillId="0" borderId="3" xfId="0" applyNumberFormat="1" applyBorder="1" applyAlignment="1">
      <alignment horizontal="center" vertical="center"/>
    </xf>
    <xf numFmtId="0" fontId="7" fillId="0" borderId="0" xfId="13" applyFill="1"/>
    <xf numFmtId="2" fontId="7" fillId="12" borderId="0" xfId="13" applyNumberFormat="1" applyFill="1" applyAlignment="1">
      <alignment horizontal="center"/>
    </xf>
    <xf numFmtId="1" fontId="7" fillId="13" borderId="0" xfId="13" applyNumberFormat="1" applyFill="1" applyAlignment="1">
      <alignment horizontal="center"/>
    </xf>
    <xf numFmtId="0" fontId="16" fillId="11" borderId="0" xfId="12" applyFont="1" applyBorder="1"/>
    <xf numFmtId="0" fontId="16" fillId="11" borderId="0" xfId="12" applyFont="1" applyBorder="1" applyAlignment="1">
      <alignment horizontal="center"/>
    </xf>
    <xf numFmtId="0" fontId="15" fillId="10" borderId="0" xfId="11" applyBorder="1"/>
    <xf numFmtId="2" fontId="15" fillId="10" borderId="0" xfId="11" applyNumberFormat="1" applyAlignment="1">
      <alignment horizontal="center"/>
    </xf>
    <xf numFmtId="0" fontId="15" fillId="10" borderId="0" xfId="11"/>
    <xf numFmtId="0" fontId="0" fillId="9" borderId="0" xfId="0" applyFill="1"/>
    <xf numFmtId="11" fontId="0" fillId="9" borderId="0" xfId="0" applyNumberFormat="1" applyFill="1"/>
    <xf numFmtId="0" fontId="0" fillId="9" borderId="51" xfId="0" applyFill="1" applyBorder="1"/>
    <xf numFmtId="0" fontId="3" fillId="9" borderId="0" xfId="0" applyFont="1" applyFill="1"/>
    <xf numFmtId="0" fontId="0" fillId="9" borderId="0" xfId="0" applyFill="1" applyProtection="1">
      <protection hidden="1"/>
    </xf>
    <xf numFmtId="0" fontId="0" fillId="9" borderId="52" xfId="0" applyFill="1" applyBorder="1"/>
    <xf numFmtId="0" fontId="0" fillId="9" borderId="53" xfId="0" applyFill="1" applyBorder="1"/>
    <xf numFmtId="0" fontId="0" fillId="9" borderId="54" xfId="0" applyFill="1" applyBorder="1"/>
    <xf numFmtId="0" fontId="0" fillId="9" borderId="55" xfId="0" applyFill="1" applyBorder="1"/>
    <xf numFmtId="0" fontId="0" fillId="9" borderId="56" xfId="0" applyFill="1" applyBorder="1"/>
    <xf numFmtId="0" fontId="0" fillId="9" borderId="28" xfId="0" applyFill="1" applyBorder="1"/>
    <xf numFmtId="0" fontId="0" fillId="9" borderId="60" xfId="0" applyFill="1" applyBorder="1"/>
    <xf numFmtId="0" fontId="0" fillId="9" borderId="61" xfId="0" applyFill="1" applyBorder="1"/>
    <xf numFmtId="166" fontId="0" fillId="9" borderId="62" xfId="0" applyNumberFormat="1" applyFill="1" applyBorder="1"/>
    <xf numFmtId="0" fontId="0" fillId="14" borderId="52" xfId="0" applyFill="1" applyBorder="1"/>
    <xf numFmtId="0" fontId="0" fillId="14" borderId="53" xfId="0" applyFill="1" applyBorder="1"/>
    <xf numFmtId="0" fontId="0" fillId="9" borderId="62" xfId="0" applyFill="1" applyBorder="1"/>
    <xf numFmtId="0" fontId="0" fillId="14" borderId="55" xfId="0" applyFill="1" applyBorder="1"/>
    <xf numFmtId="166" fontId="0" fillId="9" borderId="51" xfId="0" applyNumberFormat="1" applyFill="1" applyBorder="1"/>
    <xf numFmtId="0" fontId="0" fillId="9" borderId="3" xfId="0" applyFill="1" applyBorder="1"/>
    <xf numFmtId="0" fontId="0" fillId="12" borderId="3" xfId="0" applyFill="1" applyBorder="1" applyAlignment="1" applyProtection="1">
      <alignment horizontal="left"/>
      <protection locked="0"/>
    </xf>
    <xf numFmtId="0" fontId="11" fillId="9" borderId="0" xfId="0" applyFont="1" applyFill="1" applyProtection="1">
      <protection hidden="1"/>
    </xf>
    <xf numFmtId="0" fontId="0" fillId="0" borderId="3" xfId="0" applyBorder="1"/>
    <xf numFmtId="2" fontId="16" fillId="11" borderId="0" xfId="12" applyNumberFormat="1" applyFont="1" applyBorder="1" applyAlignment="1">
      <alignment horizontal="center"/>
    </xf>
    <xf numFmtId="166" fontId="15" fillId="10" borderId="0" xfId="11" applyNumberFormat="1" applyAlignment="1">
      <alignment horizontal="center"/>
    </xf>
    <xf numFmtId="0" fontId="0" fillId="9" borderId="63" xfId="0" applyFill="1" applyBorder="1"/>
    <xf numFmtId="0" fontId="4" fillId="9" borderId="0" xfId="0" applyFont="1" applyFill="1" applyBorder="1" applyAlignment="1">
      <alignment horizontal="left" vertical="center"/>
    </xf>
    <xf numFmtId="0" fontId="0" fillId="9" borderId="1" xfId="0" applyFill="1" applyBorder="1" applyAlignment="1">
      <alignment vertical="center"/>
    </xf>
    <xf numFmtId="164" fontId="7" fillId="6" borderId="0" xfId="13" applyNumberFormat="1" applyFill="1" applyAlignment="1">
      <alignment horizontal="center"/>
    </xf>
    <xf numFmtId="0" fontId="0" fillId="0" borderId="0" xfId="0"/>
    <xf numFmtId="0" fontId="0" fillId="9" borderId="20" xfId="0" applyFill="1" applyBorder="1"/>
    <xf numFmtId="0" fontId="0" fillId="9" borderId="24" xfId="0" applyFill="1" applyBorder="1"/>
    <xf numFmtId="0" fontId="7" fillId="0" borderId="0" xfId="13" applyFill="1"/>
    <xf numFmtId="0" fontId="0" fillId="9" borderId="8" xfId="0" applyFill="1" applyBorder="1"/>
    <xf numFmtId="0" fontId="0" fillId="9" borderId="66" xfId="0" applyFill="1" applyBorder="1"/>
    <xf numFmtId="0" fontId="0" fillId="9" borderId="4" xfId="0" applyFill="1" applyBorder="1"/>
    <xf numFmtId="0" fontId="4" fillId="9" borderId="1" xfId="0" applyFont="1" applyFill="1" applyBorder="1" applyAlignment="1"/>
    <xf numFmtId="2" fontId="5" fillId="3" borderId="31" xfId="0" applyNumberFormat="1" applyFont="1" applyFill="1" applyBorder="1" applyAlignment="1" applyProtection="1">
      <alignment horizontal="center" vertical="center"/>
      <protection hidden="1"/>
    </xf>
    <xf numFmtId="164" fontId="5" fillId="3" borderId="32" xfId="0" applyNumberFormat="1" applyFont="1" applyFill="1" applyBorder="1" applyAlignment="1" applyProtection="1">
      <alignment horizontal="center" vertical="center"/>
      <protection hidden="1"/>
    </xf>
    <xf numFmtId="2" fontId="5" fillId="3" borderId="65" xfId="0" applyNumberFormat="1" applyFont="1" applyFill="1" applyBorder="1" applyAlignment="1" applyProtection="1">
      <alignment horizontal="center" vertical="center"/>
      <protection hidden="1"/>
    </xf>
    <xf numFmtId="2" fontId="5" fillId="9" borderId="0" xfId="0" applyNumberFormat="1" applyFont="1" applyFill="1" applyBorder="1" applyAlignment="1" applyProtection="1">
      <alignment horizontal="center"/>
      <protection hidden="1"/>
    </xf>
    <xf numFmtId="0" fontId="0" fillId="9" borderId="68" xfId="0" applyFill="1" applyBorder="1"/>
    <xf numFmtId="0" fontId="13" fillId="9" borderId="66" xfId="0" applyFont="1" applyFill="1" applyBorder="1"/>
    <xf numFmtId="0" fontId="0" fillId="9" borderId="69" xfId="0" applyFill="1" applyBorder="1"/>
    <xf numFmtId="0" fontId="0" fillId="9" borderId="70" xfId="0" applyFill="1" applyBorder="1"/>
    <xf numFmtId="0" fontId="0" fillId="9" borderId="71" xfId="0" applyFill="1" applyBorder="1"/>
    <xf numFmtId="0" fontId="0" fillId="0" borderId="72" xfId="0" applyFont="1" applyBorder="1" applyAlignment="1">
      <alignment horizontal="left" vertical="center"/>
    </xf>
    <xf numFmtId="0" fontId="0" fillId="0" borderId="73" xfId="0" applyFont="1" applyBorder="1" applyAlignment="1">
      <alignment horizontal="left" vertical="center"/>
    </xf>
    <xf numFmtId="0" fontId="0" fillId="0" borderId="74" xfId="0" applyFont="1" applyBorder="1" applyAlignment="1">
      <alignment horizontal="left" vertical="center"/>
    </xf>
    <xf numFmtId="2" fontId="7" fillId="12" borderId="0" xfId="13" applyNumberFormat="1" applyFill="1" applyAlignment="1">
      <alignment horizontal="center" vertical="center"/>
    </xf>
    <xf numFmtId="0" fontId="0" fillId="0" borderId="0" xfId="0" applyAlignment="1">
      <alignment horizontal="center" vertical="center"/>
    </xf>
    <xf numFmtId="2" fontId="7" fillId="13" borderId="0" xfId="13" applyNumberFormat="1" applyFill="1" applyAlignment="1">
      <alignment horizontal="center" vertical="center"/>
    </xf>
    <xf numFmtId="0" fontId="0" fillId="0" borderId="0" xfId="0" applyBorder="1" applyAlignment="1">
      <alignment horizontal="center" vertical="center"/>
    </xf>
    <xf numFmtId="11" fontId="0" fillId="0" borderId="0" xfId="0" applyNumberFormat="1" applyBorder="1" applyAlignment="1">
      <alignment horizontal="center" vertical="center"/>
    </xf>
    <xf numFmtId="1" fontId="0" fillId="0" borderId="0" xfId="0" applyNumberFormat="1" applyBorder="1" applyAlignment="1">
      <alignment horizontal="center" vertical="center"/>
    </xf>
    <xf numFmtId="0" fontId="0" fillId="9" borderId="76" xfId="0" applyFill="1" applyBorder="1"/>
    <xf numFmtId="0" fontId="0" fillId="9" borderId="77" xfId="0" applyFill="1" applyBorder="1"/>
    <xf numFmtId="0" fontId="0" fillId="9" borderId="6" xfId="0" applyFill="1" applyBorder="1" applyAlignment="1">
      <alignment vertical="center"/>
    </xf>
    <xf numFmtId="0" fontId="4" fillId="9" borderId="1" xfId="0" applyFont="1" applyFill="1" applyBorder="1"/>
    <xf numFmtId="0" fontId="0" fillId="0" borderId="0" xfId="0"/>
    <xf numFmtId="0" fontId="0" fillId="9" borderId="0" xfId="0" applyFill="1"/>
    <xf numFmtId="0" fontId="8" fillId="12" borderId="0" xfId="13" applyFont="1" applyFill="1"/>
    <xf numFmtId="2" fontId="7" fillId="12" borderId="0" xfId="13" applyNumberFormat="1" applyFill="1" applyAlignment="1">
      <alignment horizontal="center"/>
    </xf>
    <xf numFmtId="0" fontId="0" fillId="12" borderId="0" xfId="0" applyFill="1"/>
    <xf numFmtId="1" fontId="7" fillId="12" borderId="0" xfId="13" applyNumberFormat="1" applyFill="1" applyAlignment="1">
      <alignment horizontal="center"/>
    </xf>
    <xf numFmtId="0" fontId="7" fillId="12" borderId="0" xfId="13" applyFill="1" applyAlignment="1">
      <alignment horizontal="center" vertical="center"/>
    </xf>
    <xf numFmtId="1" fontId="7" fillId="12" borderId="0" xfId="13" applyNumberFormat="1" applyFill="1" applyAlignment="1">
      <alignment horizontal="center" vertical="center"/>
    </xf>
    <xf numFmtId="167" fontId="0" fillId="9" borderId="0" xfId="0" applyNumberFormat="1" applyFill="1"/>
    <xf numFmtId="167" fontId="0" fillId="12" borderId="0" xfId="0" applyNumberFormat="1" applyFill="1" applyProtection="1">
      <protection hidden="1"/>
    </xf>
    <xf numFmtId="2" fontId="5" fillId="4" borderId="65" xfId="0" applyNumberFormat="1" applyFont="1" applyFill="1" applyBorder="1" applyAlignment="1" applyProtection="1">
      <alignment horizontal="center" vertical="center"/>
      <protection locked="0"/>
    </xf>
    <xf numFmtId="168" fontId="0" fillId="12" borderId="3" xfId="0" quotePrefix="1" applyNumberFormat="1" applyFill="1" applyBorder="1" applyAlignment="1" applyProtection="1">
      <alignment horizontal="left"/>
    </xf>
    <xf numFmtId="11" fontId="0" fillId="12" borderId="3" xfId="0" applyNumberFormat="1" applyFill="1" applyBorder="1" applyAlignment="1" applyProtection="1">
      <alignment horizontal="left"/>
    </xf>
    <xf numFmtId="0" fontId="0" fillId="9" borderId="0" xfId="0" applyFill="1" applyAlignment="1">
      <alignment horizontal="center"/>
    </xf>
    <xf numFmtId="0" fontId="0" fillId="9" borderId="3" xfId="0" applyFill="1" applyBorder="1" applyAlignment="1">
      <alignment horizontal="center"/>
    </xf>
    <xf numFmtId="0" fontId="0" fillId="9" borderId="0" xfId="0" applyNumberFormat="1" applyFill="1"/>
    <xf numFmtId="0" fontId="7" fillId="12" borderId="0" xfId="13" quotePrefix="1" applyFill="1" applyAlignment="1">
      <alignment horizontal="center"/>
    </xf>
    <xf numFmtId="0" fontId="0" fillId="9" borderId="0" xfId="0" applyFill="1"/>
    <xf numFmtId="0" fontId="0" fillId="9" borderId="0" xfId="0" applyFill="1" applyProtection="1">
      <protection hidden="1"/>
    </xf>
    <xf numFmtId="0" fontId="0" fillId="9" borderId="20" xfId="0" applyFill="1" applyBorder="1"/>
    <xf numFmtId="0" fontId="0" fillId="9" borderId="24" xfId="0" applyFill="1" applyBorder="1"/>
    <xf numFmtId="0" fontId="0" fillId="12" borderId="3" xfId="0" applyFill="1" applyBorder="1" applyAlignment="1" applyProtection="1">
      <alignment horizontal="left"/>
    </xf>
    <xf numFmtId="2" fontId="0" fillId="12" borderId="3" xfId="0" applyNumberFormat="1" applyFill="1" applyBorder="1" applyAlignment="1" applyProtection="1">
      <alignment horizontal="left"/>
    </xf>
    <xf numFmtId="0" fontId="0" fillId="16" borderId="0" xfId="0" applyFill="1" applyProtection="1">
      <protection hidden="1"/>
    </xf>
    <xf numFmtId="169" fontId="0" fillId="14" borderId="54" xfId="0" applyNumberFormat="1" applyFill="1" applyBorder="1"/>
    <xf numFmtId="169" fontId="0" fillId="9" borderId="60" xfId="0" applyNumberFormat="1" applyFill="1" applyBorder="1"/>
    <xf numFmtId="170" fontId="0" fillId="9" borderId="54" xfId="0" applyNumberFormat="1" applyFill="1" applyBorder="1"/>
    <xf numFmtId="0" fontId="3" fillId="12" borderId="3" xfId="0" applyFont="1" applyFill="1" applyBorder="1"/>
    <xf numFmtId="2" fontId="5" fillId="3" borderId="20" xfId="0" applyNumberFormat="1" applyFont="1" applyFill="1" applyBorder="1" applyAlignment="1" applyProtection="1">
      <alignment horizontal="center" vertical="center"/>
      <protection hidden="1"/>
    </xf>
    <xf numFmtId="2" fontId="5" fillId="3" borderId="24" xfId="0" applyNumberFormat="1" applyFont="1" applyFill="1" applyBorder="1" applyAlignment="1" applyProtection="1">
      <alignment horizontal="center" vertical="center"/>
      <protection hidden="1"/>
    </xf>
    <xf numFmtId="2" fontId="5" fillId="4" borderId="24" xfId="0" applyNumberFormat="1" applyFont="1" applyFill="1" applyBorder="1" applyAlignment="1" applyProtection="1">
      <alignment horizontal="center" vertical="center"/>
      <protection hidden="1"/>
    </xf>
    <xf numFmtId="0" fontId="7" fillId="0" borderId="0" xfId="13" applyFill="1" applyAlignment="1">
      <alignment horizontal="center"/>
    </xf>
    <xf numFmtId="0" fontId="23" fillId="0" borderId="0" xfId="13" applyFont="1" applyFill="1" applyAlignment="1">
      <alignment horizontal="center"/>
    </xf>
    <xf numFmtId="2" fontId="7" fillId="0" borderId="0" xfId="13" applyNumberFormat="1" applyFill="1" applyAlignment="1">
      <alignment horizontal="center"/>
    </xf>
    <xf numFmtId="0" fontId="0" fillId="0" borderId="0" xfId="0" applyAlignment="1"/>
    <xf numFmtId="2" fontId="7" fillId="0" borderId="0" xfId="13" applyNumberFormat="1" applyFill="1" applyAlignment="1">
      <alignment horizontal="left"/>
    </xf>
    <xf numFmtId="0" fontId="28" fillId="9" borderId="1" xfId="0" applyFont="1" applyFill="1" applyBorder="1"/>
    <xf numFmtId="0" fontId="27" fillId="0" borderId="0" xfId="0" applyFont="1" applyAlignment="1">
      <alignment horizontal="right"/>
    </xf>
    <xf numFmtId="0" fontId="27" fillId="0" borderId="0" xfId="0" applyFont="1" applyAlignment="1">
      <alignment horizontal="left" indent="2"/>
    </xf>
    <xf numFmtId="166" fontId="7" fillId="13" borderId="0" xfId="13" applyNumberFormat="1" applyFill="1" applyAlignment="1">
      <alignment horizontal="center"/>
    </xf>
    <xf numFmtId="0" fontId="0" fillId="9" borderId="9" xfId="0" applyFill="1" applyBorder="1" applyAlignment="1">
      <alignment vertical="center"/>
    </xf>
    <xf numFmtId="0" fontId="13" fillId="9" borderId="78" xfId="0" applyFont="1" applyFill="1" applyBorder="1"/>
    <xf numFmtId="0" fontId="0" fillId="9" borderId="79" xfId="0" applyFill="1" applyBorder="1"/>
    <xf numFmtId="0" fontId="0" fillId="9" borderId="80" xfId="0" applyFill="1" applyBorder="1"/>
    <xf numFmtId="0" fontId="0" fillId="9" borderId="80" xfId="0" applyFill="1" applyBorder="1" applyAlignment="1">
      <alignment vertical="center"/>
    </xf>
    <xf numFmtId="0" fontId="0" fillId="9" borderId="81" xfId="0" applyFill="1" applyBorder="1"/>
    <xf numFmtId="0" fontId="4" fillId="9" borderId="7" xfId="0" applyFont="1" applyFill="1" applyBorder="1" applyAlignment="1">
      <alignment horizontal="left" vertical="center"/>
    </xf>
    <xf numFmtId="165" fontId="5" fillId="2" borderId="24" xfId="0" applyNumberFormat="1" applyFont="1" applyFill="1" applyBorder="1" applyAlignment="1" applyProtection="1">
      <alignment horizontal="center" vertical="center"/>
      <protection locked="0"/>
    </xf>
    <xf numFmtId="0" fontId="0" fillId="9" borderId="75" xfId="0" applyFill="1" applyBorder="1" applyAlignment="1">
      <alignment vertical="center"/>
    </xf>
    <xf numFmtId="0" fontId="0" fillId="9" borderId="25" xfId="0" applyFill="1" applyBorder="1" applyAlignment="1">
      <alignment horizontal="center" vertical="center"/>
    </xf>
    <xf numFmtId="2" fontId="5" fillId="3" borderId="26" xfId="0" applyNumberFormat="1" applyFont="1" applyFill="1" applyBorder="1" applyAlignment="1" applyProtection="1">
      <alignment horizontal="center" vertical="center"/>
      <protection hidden="1"/>
    </xf>
    <xf numFmtId="165" fontId="5" fillId="4" borderId="20" xfId="0" applyNumberFormat="1" applyFont="1" applyFill="1" applyBorder="1" applyAlignment="1" applyProtection="1">
      <alignment horizontal="center" vertical="center"/>
      <protection hidden="1"/>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3" fillId="9" borderId="39" xfId="0" applyFont="1" applyFill="1" applyBorder="1" applyAlignment="1">
      <alignment horizontal="center" vertical="center"/>
    </xf>
    <xf numFmtId="0" fontId="9" fillId="9" borderId="38" xfId="0" applyFont="1" applyFill="1" applyBorder="1" applyAlignment="1">
      <alignment horizontal="right" vertical="center"/>
    </xf>
    <xf numFmtId="0" fontId="9" fillId="9" borderId="39" xfId="0" applyFont="1" applyFill="1" applyBorder="1" applyAlignment="1">
      <alignment horizontal="center" vertical="center"/>
    </xf>
    <xf numFmtId="0" fontId="0" fillId="0" borderId="0" xfId="0" applyFont="1" applyAlignment="1">
      <alignment horizontal="left"/>
    </xf>
    <xf numFmtId="0" fontId="5" fillId="12" borderId="3" xfId="0" applyFont="1" applyFill="1" applyBorder="1" applyAlignment="1">
      <alignment horizontal="left"/>
    </xf>
    <xf numFmtId="0" fontId="0" fillId="3" borderId="3" xfId="0" applyNumberFormat="1" applyFont="1" applyFill="1" applyBorder="1" applyAlignment="1">
      <alignment horizontal="left"/>
    </xf>
    <xf numFmtId="0" fontId="5" fillId="18" borderId="3" xfId="1" applyFont="1" applyFill="1" applyBorder="1" applyAlignment="1">
      <alignment horizontal="left"/>
    </xf>
    <xf numFmtId="0" fontId="5" fillId="18" borderId="3" xfId="1" applyFont="1" applyFill="1" applyBorder="1" applyAlignment="1">
      <alignment horizontal="right"/>
    </xf>
    <xf numFmtId="1" fontId="0" fillId="3" borderId="3" xfId="0" applyNumberFormat="1" applyFill="1" applyBorder="1"/>
    <xf numFmtId="1" fontId="0" fillId="0" borderId="0" xfId="0" applyNumberFormat="1"/>
    <xf numFmtId="2" fontId="0" fillId="0" borderId="0" xfId="0" applyNumberFormat="1"/>
    <xf numFmtId="0" fontId="29" fillId="9" borderId="1" xfId="0" applyFont="1" applyFill="1" applyBorder="1" applyAlignment="1"/>
    <xf numFmtId="1" fontId="5" fillId="17" borderId="65" xfId="0" applyNumberFormat="1" applyFont="1" applyFill="1" applyBorder="1" applyAlignment="1" applyProtection="1">
      <alignment horizontal="center" vertical="center"/>
      <protection hidden="1"/>
    </xf>
    <xf numFmtId="165" fontId="5" fillId="4" borderId="26" xfId="0" applyNumberFormat="1" applyFont="1" applyFill="1" applyBorder="1" applyAlignment="1" applyProtection="1">
      <alignment horizontal="center" vertical="center"/>
      <protection locked="0"/>
    </xf>
    <xf numFmtId="0" fontId="30" fillId="8" borderId="36" xfId="0" applyFont="1" applyFill="1" applyBorder="1" applyAlignment="1">
      <alignment vertical="center"/>
    </xf>
    <xf numFmtId="0" fontId="0" fillId="9" borderId="82" xfId="0" applyFill="1" applyBorder="1" applyAlignment="1">
      <alignment horizontal="center" vertical="center"/>
    </xf>
    <xf numFmtId="14" fontId="0" fillId="9" borderId="7" xfId="0" applyNumberFormat="1" applyFill="1" applyBorder="1"/>
    <xf numFmtId="0" fontId="5" fillId="12" borderId="3" xfId="0" applyNumberFormat="1" applyFont="1" applyFill="1" applyBorder="1" applyAlignment="1" applyProtection="1">
      <alignment horizontal="right"/>
    </xf>
    <xf numFmtId="1" fontId="0" fillId="12" borderId="3" xfId="0" applyNumberFormat="1" applyFill="1" applyBorder="1"/>
    <xf numFmtId="2" fontId="5" fillId="3" borderId="67" xfId="0" applyNumberFormat="1" applyFont="1" applyFill="1" applyBorder="1" applyAlignment="1" applyProtection="1">
      <alignment horizontal="center" vertical="center"/>
      <protection hidden="1"/>
    </xf>
    <xf numFmtId="0" fontId="5" fillId="4" borderId="65" xfId="0" applyFont="1" applyFill="1" applyBorder="1" applyAlignment="1" applyProtection="1">
      <alignment horizontal="center" vertical="center"/>
      <protection locked="0"/>
    </xf>
    <xf numFmtId="2" fontId="5" fillId="4" borderId="65" xfId="0" applyNumberFormat="1" applyFont="1" applyFill="1" applyBorder="1" applyAlignment="1" applyProtection="1">
      <alignment horizontal="center" vertical="center"/>
      <protection hidden="1"/>
    </xf>
    <xf numFmtId="1" fontId="5" fillId="4" borderId="65" xfId="0" applyNumberFormat="1" applyFont="1" applyFill="1" applyBorder="1" applyAlignment="1" applyProtection="1">
      <alignment horizontal="center" vertical="center"/>
      <protection locked="0"/>
    </xf>
    <xf numFmtId="1" fontId="5" fillId="4" borderId="65" xfId="0" applyNumberFormat="1" applyFont="1" applyFill="1" applyBorder="1" applyAlignment="1" applyProtection="1">
      <alignment horizontal="center" vertical="center"/>
      <protection hidden="1"/>
    </xf>
    <xf numFmtId="164" fontId="5" fillId="3" borderId="65" xfId="0" applyNumberFormat="1" applyFont="1" applyFill="1" applyBorder="1" applyAlignment="1" applyProtection="1">
      <alignment horizontal="center" vertical="center"/>
      <protection hidden="1"/>
    </xf>
    <xf numFmtId="165" fontId="5" fillId="3" borderId="65" xfId="0" applyNumberFormat="1" applyFont="1" applyFill="1" applyBorder="1" applyAlignment="1" applyProtection="1">
      <alignment horizontal="center" vertical="center"/>
      <protection hidden="1"/>
    </xf>
    <xf numFmtId="165" fontId="5" fillId="4" borderId="65" xfId="0" applyNumberFormat="1" applyFont="1" applyFill="1" applyBorder="1" applyAlignment="1" applyProtection="1">
      <alignment horizontal="center"/>
      <protection locked="0"/>
    </xf>
    <xf numFmtId="2" fontId="5" fillId="4" borderId="65" xfId="0" applyNumberFormat="1" applyFont="1" applyFill="1" applyBorder="1" applyAlignment="1" applyProtection="1">
      <alignment horizontal="center"/>
      <protection hidden="1"/>
    </xf>
    <xf numFmtId="2" fontId="5" fillId="3" borderId="65" xfId="0" applyNumberFormat="1" applyFont="1" applyFill="1" applyBorder="1" applyAlignment="1" applyProtection="1">
      <alignment horizontal="center"/>
      <protection hidden="1"/>
    </xf>
    <xf numFmtId="0" fontId="0" fillId="9" borderId="2" xfId="0" applyFill="1" applyBorder="1"/>
    <xf numFmtId="1" fontId="5" fillId="17" borderId="64" xfId="0" applyNumberFormat="1" applyFont="1" applyFill="1" applyBorder="1" applyAlignment="1" applyProtection="1">
      <alignment horizontal="center" vertical="center"/>
      <protection hidden="1"/>
    </xf>
    <xf numFmtId="0" fontId="0" fillId="9" borderId="29" xfId="0" applyFill="1" applyBorder="1" applyAlignment="1">
      <alignment horizontal="left" vertical="center"/>
    </xf>
    <xf numFmtId="0" fontId="0" fillId="0" borderId="83" xfId="0" applyFont="1" applyBorder="1" applyAlignment="1">
      <alignment horizontal="left" vertical="center"/>
    </xf>
    <xf numFmtId="0" fontId="4" fillId="9" borderId="6" xfId="0" applyFont="1" applyFill="1" applyBorder="1" applyAlignment="1">
      <alignment vertical="center"/>
    </xf>
    <xf numFmtId="165" fontId="5" fillId="4" borderId="24" xfId="0" applyNumberFormat="1" applyFont="1" applyFill="1" applyBorder="1" applyAlignment="1" applyProtection="1">
      <alignment horizontal="center" vertical="center"/>
      <protection locked="0"/>
    </xf>
    <xf numFmtId="1" fontId="0" fillId="3" borderId="3" xfId="0" applyNumberFormat="1" applyFont="1" applyFill="1" applyBorder="1" applyAlignment="1">
      <alignment horizontal="right"/>
    </xf>
    <xf numFmtId="0" fontId="0" fillId="9" borderId="1" xfId="0" quotePrefix="1" applyFill="1" applyBorder="1"/>
    <xf numFmtId="0" fontId="5" fillId="3" borderId="3" xfId="0" applyFont="1" applyFill="1" applyBorder="1" applyAlignment="1" applyProtection="1">
      <alignment horizontal="center"/>
      <protection hidden="1"/>
    </xf>
    <xf numFmtId="0" fontId="0" fillId="9" borderId="25" xfId="0" applyFont="1" applyFill="1" applyBorder="1" applyAlignment="1">
      <alignment horizontal="left" vertical="center"/>
    </xf>
    <xf numFmtId="0" fontId="0" fillId="9" borderId="2" xfId="0" applyFont="1" applyFill="1" applyBorder="1" applyAlignment="1">
      <alignment horizontal="right" vertical="center"/>
    </xf>
    <xf numFmtId="0" fontId="5" fillId="5" borderId="67" xfId="0" applyFont="1" applyFill="1" applyBorder="1" applyAlignment="1" applyProtection="1">
      <alignment horizontal="center" vertical="center"/>
      <protection hidden="1"/>
    </xf>
    <xf numFmtId="0" fontId="5" fillId="5" borderId="65" xfId="0" applyFont="1" applyFill="1" applyBorder="1" applyAlignment="1" applyProtection="1">
      <alignment horizontal="center" vertical="center"/>
      <protection hidden="1"/>
    </xf>
    <xf numFmtId="0" fontId="5" fillId="5" borderId="64" xfId="1" applyFont="1" applyFill="1" applyBorder="1" applyAlignment="1" applyProtection="1">
      <alignment horizontal="center" vertical="center"/>
      <protection hidden="1"/>
    </xf>
    <xf numFmtId="164" fontId="5" fillId="3" borderId="33" xfId="0" applyNumberFormat="1" applyFont="1" applyFill="1" applyBorder="1" applyAlignment="1" applyProtection="1">
      <alignment horizontal="center" vertical="center"/>
      <protection hidden="1"/>
    </xf>
    <xf numFmtId="1" fontId="0" fillId="3" borderId="46" xfId="0" applyNumberFormat="1" applyFill="1" applyBorder="1"/>
    <xf numFmtId="1" fontId="0" fillId="15" borderId="48" xfId="0" applyNumberFormat="1" applyFill="1" applyBorder="1"/>
    <xf numFmtId="1" fontId="0" fillId="3" borderId="3" xfId="0" applyNumberFormat="1" applyFill="1" applyBorder="1" applyAlignment="1">
      <alignment horizontal="center"/>
    </xf>
    <xf numFmtId="0" fontId="3" fillId="9" borderId="5" xfId="0" applyFont="1" applyFill="1" applyBorder="1" applyAlignment="1">
      <alignment horizontal="left" vertical="center"/>
    </xf>
    <xf numFmtId="0" fontId="3" fillId="9" borderId="40" xfId="0" applyFont="1" applyFill="1" applyBorder="1" applyAlignment="1">
      <alignment vertical="center"/>
    </xf>
    <xf numFmtId="164" fontId="5" fillId="3" borderId="31" xfId="0" applyNumberFormat="1" applyFont="1" applyFill="1" applyBorder="1" applyAlignment="1" applyProtection="1">
      <alignment horizontal="center" vertical="center"/>
      <protection hidden="1"/>
    </xf>
    <xf numFmtId="171" fontId="0" fillId="0" borderId="0" xfId="0" applyNumberFormat="1"/>
    <xf numFmtId="0" fontId="5" fillId="12" borderId="3" xfId="0" applyFont="1" applyFill="1" applyBorder="1" applyAlignment="1" applyProtection="1">
      <alignment horizontal="center"/>
      <protection hidden="1"/>
    </xf>
    <xf numFmtId="0" fontId="32" fillId="0" borderId="0" xfId="0" applyFont="1"/>
    <xf numFmtId="0" fontId="11" fillId="9" borderId="73" xfId="0" applyFont="1" applyFill="1" applyBorder="1" applyAlignment="1">
      <alignment horizontal="left" vertical="center"/>
    </xf>
    <xf numFmtId="0" fontId="0" fillId="0" borderId="74" xfId="0" applyBorder="1" applyAlignment="1">
      <alignment horizontal="left" vertical="center"/>
    </xf>
    <xf numFmtId="165" fontId="5" fillId="3" borderId="24" xfId="0" applyNumberFormat="1" applyFont="1" applyFill="1" applyBorder="1" applyAlignment="1" applyProtection="1">
      <alignment horizontal="center" vertical="center"/>
      <protection hidden="1"/>
    </xf>
    <xf numFmtId="0" fontId="0" fillId="7" borderId="85" xfId="0" applyFill="1" applyBorder="1"/>
    <xf numFmtId="0" fontId="0" fillId="7" borderId="86" xfId="0" applyFill="1" applyBorder="1"/>
    <xf numFmtId="0" fontId="2" fillId="19" borderId="0" xfId="0" applyFont="1" applyFill="1" applyBorder="1"/>
    <xf numFmtId="0" fontId="0" fillId="9" borderId="87" xfId="0" applyFont="1" applyFill="1" applyBorder="1" applyAlignment="1">
      <alignment horizontal="right" vertical="center"/>
    </xf>
    <xf numFmtId="0" fontId="11" fillId="9" borderId="72" xfId="0" applyFont="1" applyFill="1" applyBorder="1" applyAlignment="1">
      <alignment horizontal="left" vertical="center"/>
    </xf>
    <xf numFmtId="0" fontId="0" fillId="0" borderId="1" xfId="0" applyBorder="1"/>
    <xf numFmtId="0" fontId="0" fillId="9" borderId="0" xfId="0" applyFill="1" applyBorder="1" applyAlignment="1"/>
    <xf numFmtId="0" fontId="0" fillId="9" borderId="2" xfId="0" applyFill="1" applyBorder="1" applyAlignment="1">
      <alignment horizontal="center"/>
    </xf>
    <xf numFmtId="0" fontId="34" fillId="0" borderId="6" xfId="0" applyFont="1" applyBorder="1" applyAlignment="1">
      <alignment horizontal="left"/>
    </xf>
    <xf numFmtId="49" fontId="34" fillId="0" borderId="1" xfId="0" applyNumberFormat="1" applyFont="1" applyBorder="1"/>
    <xf numFmtId="0" fontId="35" fillId="0" borderId="1" xfId="0" applyFont="1" applyBorder="1" applyAlignment="1">
      <alignment horizontal="left"/>
    </xf>
    <xf numFmtId="0" fontId="22" fillId="0" borderId="1" xfId="0" applyFont="1" applyBorder="1" applyAlignment="1">
      <alignment horizontal="center"/>
    </xf>
    <xf numFmtId="0" fontId="36" fillId="21" borderId="0" xfId="0" applyFont="1" applyFill="1" applyAlignment="1">
      <alignment horizontal="center"/>
    </xf>
    <xf numFmtId="0" fontId="36" fillId="21" borderId="0" xfId="0" applyFont="1" applyFill="1" applyAlignment="1">
      <alignment horizontal="left"/>
    </xf>
    <xf numFmtId="0" fontId="22" fillId="0" borderId="88" xfId="0" quotePrefix="1" applyFont="1" applyBorder="1" applyAlignment="1">
      <alignment horizontal="center"/>
    </xf>
    <xf numFmtId="0" fontId="22" fillId="0" borderId="88" xfId="0" applyFont="1" applyBorder="1" applyAlignment="1">
      <alignment horizontal="left"/>
    </xf>
    <xf numFmtId="0" fontId="0" fillId="9" borderId="83" xfId="0" applyFill="1" applyBorder="1"/>
    <xf numFmtId="0" fontId="33" fillId="9" borderId="0" xfId="0" applyFont="1" applyFill="1" applyAlignment="1">
      <alignment horizontal="center"/>
    </xf>
    <xf numFmtId="0" fontId="5" fillId="2" borderId="17"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164" fontId="5" fillId="2" borderId="18" xfId="0" applyNumberFormat="1" applyFont="1" applyFill="1" applyBorder="1" applyAlignment="1" applyProtection="1">
      <alignment horizontal="center" vertical="center"/>
      <protection locked="0"/>
    </xf>
    <xf numFmtId="0" fontId="5" fillId="2" borderId="84"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1" fontId="5" fillId="2" borderId="65" xfId="0" applyNumberFormat="1" applyFont="1" applyFill="1" applyBorder="1" applyAlignment="1" applyProtection="1">
      <alignment horizontal="center" vertical="center"/>
      <protection locked="0"/>
    </xf>
    <xf numFmtId="2" fontId="5" fillId="2" borderId="64" xfId="0" applyNumberFormat="1" applyFont="1" applyFill="1" applyBorder="1" applyAlignment="1" applyProtection="1">
      <alignment horizontal="center"/>
      <protection locked="0"/>
    </xf>
    <xf numFmtId="165" fontId="5" fillId="2" borderId="20" xfId="0" applyNumberFormat="1"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2" fontId="5" fillId="2" borderId="24" xfId="0" applyNumberFormat="1" applyFont="1" applyFill="1" applyBorder="1" applyAlignment="1" applyProtection="1">
      <alignment horizontal="center" vertical="center"/>
      <protection locked="0"/>
    </xf>
    <xf numFmtId="165" fontId="5" fillId="2" borderId="65" xfId="0" applyNumberFormat="1" applyFont="1" applyFill="1" applyBorder="1" applyAlignment="1" applyProtection="1">
      <alignment horizontal="center" vertical="center"/>
      <protection locked="0"/>
    </xf>
    <xf numFmtId="0" fontId="5" fillId="2" borderId="67" xfId="0" applyNumberFormat="1" applyFont="1" applyFill="1" applyBorder="1" applyAlignment="1" applyProtection="1">
      <alignment horizontal="center" vertical="center"/>
      <protection locked="0"/>
    </xf>
    <xf numFmtId="0" fontId="5" fillId="2" borderId="65" xfId="0" applyNumberFormat="1" applyFont="1" applyFill="1" applyBorder="1" applyAlignment="1" applyProtection="1">
      <alignment horizontal="center" vertical="center"/>
      <protection locked="0"/>
    </xf>
    <xf numFmtId="0" fontId="16" fillId="2" borderId="3" xfId="0" applyFont="1" applyFill="1" applyBorder="1" applyAlignment="1">
      <alignment horizontal="center"/>
    </xf>
    <xf numFmtId="0" fontId="3" fillId="3" borderId="48" xfId="0" applyNumberFormat="1" applyFont="1" applyFill="1" applyBorder="1" applyAlignment="1">
      <alignment horizontal="center"/>
    </xf>
    <xf numFmtId="0" fontId="3" fillId="3" borderId="3" xfId="0" applyNumberFormat="1" applyFont="1" applyFill="1" applyBorder="1" applyAlignment="1">
      <alignment horizontal="center"/>
    </xf>
    <xf numFmtId="0" fontId="3" fillId="4" borderId="49" xfId="0" applyNumberFormat="1" applyFont="1" applyFill="1" applyBorder="1" applyAlignment="1">
      <alignment horizontal="center"/>
    </xf>
    <xf numFmtId="0" fontId="16" fillId="5" borderId="3" xfId="1" applyFont="1" applyFill="1" applyBorder="1" applyAlignment="1">
      <alignment horizontal="center"/>
    </xf>
    <xf numFmtId="0" fontId="16" fillId="16" borderId="3" xfId="1" applyFont="1" applyFill="1" applyBorder="1" applyAlignment="1">
      <alignment horizontal="center"/>
    </xf>
    <xf numFmtId="0" fontId="0" fillId="0" borderId="0" xfId="0" applyAlignment="1">
      <alignment horizontal="center"/>
    </xf>
    <xf numFmtId="0" fontId="0" fillId="20" borderId="0" xfId="0" applyFill="1" applyBorder="1" applyAlignment="1">
      <alignment horizontal="center"/>
    </xf>
    <xf numFmtId="0" fontId="0" fillId="9" borderId="59" xfId="0" applyFill="1" applyBorder="1" applyAlignment="1">
      <alignment horizontal="center"/>
    </xf>
    <xf numFmtId="0" fontId="0" fillId="9" borderId="58" xfId="0" applyFill="1" applyBorder="1" applyAlignment="1">
      <alignment horizontal="center"/>
    </xf>
    <xf numFmtId="0" fontId="0" fillId="9" borderId="57" xfId="0" applyFill="1" applyBorder="1" applyAlignment="1">
      <alignment horizontal="center"/>
    </xf>
    <xf numFmtId="0" fontId="0" fillId="0" borderId="0" xfId="0" applyAlignment="1">
      <alignment horizontal="left"/>
    </xf>
    <xf numFmtId="0" fontId="23" fillId="0" borderId="0" xfId="13" applyFont="1" applyFill="1" applyAlignment="1">
      <alignment horizontal="left"/>
    </xf>
    <xf numFmtId="0" fontId="0" fillId="0" borderId="45" xfId="0"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center" vertical="center"/>
    </xf>
    <xf numFmtId="0" fontId="0" fillId="0" borderId="3"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47" xfId="0" applyBorder="1" applyAlignment="1">
      <alignment horizontal="center" vertical="center"/>
    </xf>
    <xf numFmtId="0" fontId="0" fillId="7" borderId="89" xfId="0" applyFill="1" applyBorder="1"/>
    <xf numFmtId="0" fontId="0" fillId="7" borderId="90" xfId="0" applyFill="1" applyBorder="1"/>
    <xf numFmtId="0" fontId="0" fillId="7" borderId="91" xfId="0" applyFill="1" applyBorder="1"/>
    <xf numFmtId="0" fontId="0" fillId="9" borderId="92" xfId="0" applyFill="1" applyBorder="1"/>
    <xf numFmtId="0" fontId="37" fillId="8" borderId="36" xfId="0" applyFont="1" applyFill="1" applyBorder="1" applyAlignment="1">
      <alignment vertical="center"/>
    </xf>
  </cellXfs>
  <cellStyles count="14">
    <cellStyle name="Check Cell" xfId="12" builtinId="23"/>
    <cellStyle name="Good" xfId="11" builtinId="26"/>
    <cellStyle name="Normal" xfId="0" builtinId="0"/>
    <cellStyle name="Normal 2" xfId="2"/>
    <cellStyle name="Normal 2 2" xfId="3"/>
    <cellStyle name="Normal 2 3" xfId="13"/>
    <cellStyle name="Normal 3" xfId="4"/>
    <cellStyle name="Normal 3 2" xfId="5"/>
    <cellStyle name="Normal 4" xfId="6"/>
    <cellStyle name="Normal 5" xfId="1"/>
    <cellStyle name="Normal 6" xfId="7"/>
    <cellStyle name="Percent 2" xfId="8"/>
    <cellStyle name="Percent 3" xfId="9"/>
    <cellStyle name="Percent 4" xfId="10"/>
  </cellStyles>
  <dxfs count="31">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ont>
        <color theme="0"/>
      </font>
    </dxf>
    <dxf>
      <fill>
        <patternFill>
          <bgColor rgb="FFFF5050"/>
        </patternFill>
      </fill>
    </dxf>
    <dxf>
      <fill>
        <patternFill>
          <fgColor auto="1"/>
          <bgColor rgb="FFFF5050"/>
        </patternFill>
      </fill>
    </dxf>
    <dxf>
      <font>
        <color theme="0"/>
      </font>
      <fill>
        <patternFill>
          <bgColor theme="0"/>
        </patternFill>
      </fill>
    </dxf>
    <dxf>
      <font>
        <color theme="0"/>
      </font>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ill>
        <patternFill>
          <bgColor rgb="FFFF5050"/>
        </patternFill>
      </fill>
    </dxf>
    <dxf>
      <fill>
        <patternFill>
          <bgColor rgb="FFFF5050"/>
        </patternFill>
      </fill>
    </dxf>
    <dxf>
      <fill>
        <patternFill>
          <bgColor rgb="FFFF5050"/>
        </patternFill>
      </fill>
    </dxf>
    <dxf>
      <font>
        <color theme="0"/>
      </font>
      <fill>
        <patternFill>
          <bgColor theme="0"/>
        </patternFill>
      </fill>
    </dxf>
    <dxf>
      <fill>
        <patternFill>
          <bgColor rgb="FF66FF99"/>
        </patternFill>
      </fill>
    </dxf>
    <dxf>
      <fill>
        <patternFill>
          <bgColor rgb="FF66FF99"/>
        </patternFill>
      </fill>
    </dxf>
    <dxf>
      <font>
        <color theme="0"/>
      </font>
      <fill>
        <patternFill>
          <bgColor theme="0"/>
        </patternFill>
      </fill>
    </dxf>
    <dxf>
      <fill>
        <patternFill>
          <bgColor rgb="FFFF5050"/>
        </patternFill>
      </fill>
    </dxf>
    <dxf>
      <fill>
        <patternFill>
          <bgColor rgb="FFFF5050"/>
        </patternFill>
      </fill>
    </dxf>
  </dxfs>
  <tableStyles count="0" defaultTableStyle="TableStyleMedium2" defaultPivotStyle="PivotStyleLight16"/>
  <colors>
    <mruColors>
      <color rgb="FFFF5050"/>
      <color rgb="FF66FF99"/>
      <color rgb="FF8DB4E2"/>
      <color rgb="FFFFFF99"/>
      <color rgb="FF66FF66"/>
      <color rgb="FFFF7C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68022747156605"/>
          <c:y val="4.9344531933508309E-2"/>
          <c:w val="0.76533546587926504"/>
          <c:h val="0.78062572178477685"/>
        </c:manualLayout>
      </c:layout>
      <c:scatterChart>
        <c:scatterStyle val="lineMarker"/>
        <c:varyColors val="0"/>
        <c:ser>
          <c:idx val="0"/>
          <c:order val="0"/>
          <c:tx>
            <c:strRef>
              <c:f>Boost!$P$6</c:f>
              <c:strCache>
                <c:ptCount val="1"/>
                <c:pt idx="0">
                  <c:v>Current</c:v>
                </c:pt>
              </c:strCache>
            </c:strRef>
          </c:tx>
          <c:marker>
            <c:symbol val="none"/>
          </c:marker>
          <c:xVal>
            <c:numRef>
              <c:f>Boost!$O$7:$O$13</c:f>
              <c:numCache>
                <c:formatCode>General</c:formatCode>
                <c:ptCount val="7"/>
                <c:pt idx="0">
                  <c:v>0</c:v>
                </c:pt>
                <c:pt idx="1">
                  <c:v>1.8969756109172287</c:v>
                </c:pt>
                <c:pt idx="2">
                  <c:v>2.5</c:v>
                </c:pt>
                <c:pt idx="3">
                  <c:v>2.5</c:v>
                </c:pt>
                <c:pt idx="4">
                  <c:v>4.3969756109172291</c:v>
                </c:pt>
                <c:pt idx="5">
                  <c:v>5</c:v>
                </c:pt>
                <c:pt idx="6">
                  <c:v>5</c:v>
                </c:pt>
              </c:numCache>
            </c:numRef>
          </c:xVal>
          <c:yVal>
            <c:numRef>
              <c:f>Boost!$P$7:$P$13</c:f>
              <c:numCache>
                <c:formatCode>General</c:formatCode>
                <c:ptCount val="7"/>
                <c:pt idx="0">
                  <c:v>2.212207940177676</c:v>
                </c:pt>
                <c:pt idx="1">
                  <c:v>2.6644762319897546</c:v>
                </c:pt>
                <c:pt idx="2">
                  <c:v>2.212207940177676</c:v>
                </c:pt>
                <c:pt idx="3">
                  <c:v>2.212207940177676</c:v>
                </c:pt>
                <c:pt idx="4">
                  <c:v>2.6644762319897546</c:v>
                </c:pt>
                <c:pt idx="5">
                  <c:v>2.212207940177676</c:v>
                </c:pt>
                <c:pt idx="6">
                  <c:v>2.212207940177676</c:v>
                </c:pt>
              </c:numCache>
            </c:numRef>
          </c:yVal>
          <c:smooth val="0"/>
        </c:ser>
        <c:dLbls>
          <c:showLegendKey val="0"/>
          <c:showVal val="0"/>
          <c:showCatName val="0"/>
          <c:showSerName val="0"/>
          <c:showPercent val="0"/>
          <c:showBubbleSize val="0"/>
        </c:dLbls>
        <c:axId val="395956992"/>
        <c:axId val="395958912"/>
      </c:scatterChart>
      <c:valAx>
        <c:axId val="395956992"/>
        <c:scaling>
          <c:orientation val="minMax"/>
        </c:scaling>
        <c:delete val="0"/>
        <c:axPos val="b"/>
        <c:title>
          <c:tx>
            <c:rich>
              <a:bodyPr/>
              <a:lstStyle/>
              <a:p>
                <a:pPr>
                  <a:defRPr/>
                </a:pPr>
                <a:r>
                  <a:rPr lang="en-US"/>
                  <a:t>Time (us)</a:t>
                </a:r>
              </a:p>
            </c:rich>
          </c:tx>
          <c:layout>
            <c:manualLayout>
              <c:xMode val="edge"/>
              <c:yMode val="edge"/>
              <c:x val="0.4845978237095363"/>
              <c:y val="0.91942117235345577"/>
            </c:manualLayout>
          </c:layout>
          <c:overlay val="0"/>
        </c:title>
        <c:numFmt formatCode="#,##0.00" sourceLinked="0"/>
        <c:majorTickMark val="out"/>
        <c:minorTickMark val="none"/>
        <c:tickLblPos val="nextTo"/>
        <c:crossAx val="395958912"/>
        <c:crosses val="autoZero"/>
        <c:crossBetween val="midCat"/>
      </c:valAx>
      <c:valAx>
        <c:axId val="395958912"/>
        <c:scaling>
          <c:orientation val="minMax"/>
        </c:scaling>
        <c:delete val="0"/>
        <c:axPos val="l"/>
        <c:majorGridlines>
          <c:spPr>
            <a:ln>
              <a:solidFill>
                <a:schemeClr val="tx1"/>
              </a:solidFill>
            </a:ln>
          </c:spPr>
        </c:majorGridlines>
        <c:title>
          <c:tx>
            <c:rich>
              <a:bodyPr rot="-5400000" vert="horz"/>
              <a:lstStyle/>
              <a:p>
                <a:pPr>
                  <a:defRPr/>
                </a:pPr>
                <a:r>
                  <a:rPr lang="en-US"/>
                  <a:t>Inductor Current (A)</a:t>
                </a:r>
              </a:p>
            </c:rich>
          </c:tx>
          <c:layout>
            <c:manualLayout>
              <c:xMode val="edge"/>
              <c:yMode val="edge"/>
              <c:x val="1.0416666666666666E-2"/>
              <c:y val="0.23569063867016624"/>
            </c:manualLayout>
          </c:layout>
          <c:overlay val="0"/>
        </c:title>
        <c:numFmt formatCode="General" sourceLinked="1"/>
        <c:majorTickMark val="out"/>
        <c:minorTickMark val="none"/>
        <c:tickLblPos val="nextTo"/>
        <c:crossAx val="395956992"/>
        <c:crosses val="autoZero"/>
        <c:crossBetween val="midCat"/>
      </c:valAx>
      <c:spPr>
        <a:ln>
          <a:solidFill>
            <a:schemeClr val="tx1"/>
          </a:solid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gif"/><Relationship Id="rId4" Type="http://schemas.openxmlformats.org/officeDocument/2006/relationships/hyperlink" Target="http://www.ti.com"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4.gif"/><Relationship Id="rId2" Type="http://schemas.openxmlformats.org/officeDocument/2006/relationships/hyperlink" Target="http://www.ti.com/" TargetMode="External"/><Relationship Id="rId1" Type="http://schemas.openxmlformats.org/officeDocument/2006/relationships/hyperlink" Target="http://www.ti.com/corp/docs/legal/copyright.shtml" TargetMode="Externa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17</xdr:col>
      <xdr:colOff>117581</xdr:colOff>
      <xdr:row>7</xdr:row>
      <xdr:rowOff>171450</xdr:rowOff>
    </xdr:from>
    <xdr:to>
      <xdr:col>22</xdr:col>
      <xdr:colOff>215923</xdr:colOff>
      <xdr:row>17</xdr:row>
      <xdr:rowOff>57150</xdr:rowOff>
    </xdr:to>
    <xdr:pic>
      <xdr:nvPicPr>
        <xdr:cNvPr id="3" name="Picture 2"/>
        <xdr:cNvPicPr>
          <a:picLocks noChangeAspect="1"/>
        </xdr:cNvPicPr>
      </xdr:nvPicPr>
      <xdr:blipFill>
        <a:blip xmlns:r="http://schemas.openxmlformats.org/officeDocument/2006/relationships" r:embed="rId1"/>
        <a:stretch>
          <a:fillRect/>
        </a:stretch>
      </xdr:blipFill>
      <xdr:spPr>
        <a:xfrm>
          <a:off x="9737831" y="1543050"/>
          <a:ext cx="3146342" cy="2028825"/>
        </a:xfrm>
        <a:prstGeom prst="rect">
          <a:avLst/>
        </a:prstGeom>
      </xdr:spPr>
    </xdr:pic>
    <xdr:clientData/>
  </xdr:twoCellAnchor>
  <xdr:oneCellAnchor>
    <xdr:from>
      <xdr:col>17</xdr:col>
      <xdr:colOff>481995</xdr:colOff>
      <xdr:row>18</xdr:row>
      <xdr:rowOff>67824</xdr:rowOff>
    </xdr:from>
    <xdr:ext cx="5589813" cy="4533166"/>
    <xdr:pic>
      <xdr:nvPicPr>
        <xdr:cNvPr id="2" name="Picture 1"/>
        <xdr:cNvPicPr>
          <a:picLocks noChangeAspect="1"/>
        </xdr:cNvPicPr>
      </xdr:nvPicPr>
      <xdr:blipFill>
        <a:blip xmlns:r="http://schemas.openxmlformats.org/officeDocument/2006/relationships" r:embed="rId2"/>
        <a:stretch>
          <a:fillRect/>
        </a:stretch>
      </xdr:blipFill>
      <xdr:spPr>
        <a:xfrm>
          <a:off x="10102245" y="3811149"/>
          <a:ext cx="5589813" cy="4533166"/>
        </a:xfrm>
        <a:prstGeom prst="rect">
          <a:avLst/>
        </a:prstGeom>
      </xdr:spPr>
    </xdr:pic>
    <xdr:clientData/>
  </xdr:oneCellAnchor>
  <xdr:twoCellAnchor editAs="oneCell">
    <xdr:from>
      <xdr:col>18</xdr:col>
      <xdr:colOff>531038</xdr:colOff>
      <xdr:row>38</xdr:row>
      <xdr:rowOff>199591</xdr:rowOff>
    </xdr:from>
    <xdr:to>
      <xdr:col>25</xdr:col>
      <xdr:colOff>61454</xdr:colOff>
      <xdr:row>63</xdr:row>
      <xdr:rowOff>94297</xdr:rowOff>
    </xdr:to>
    <xdr:pic>
      <xdr:nvPicPr>
        <xdr:cNvPr id="4" name="Picture 3"/>
        <xdr:cNvPicPr>
          <a:picLocks noChangeAspect="1"/>
        </xdr:cNvPicPr>
      </xdr:nvPicPr>
      <xdr:blipFill>
        <a:blip xmlns:r="http://schemas.openxmlformats.org/officeDocument/2006/relationships" r:embed="rId3"/>
        <a:stretch>
          <a:fillRect/>
        </a:stretch>
      </xdr:blipFill>
      <xdr:spPr>
        <a:xfrm>
          <a:off x="10760888" y="8429191"/>
          <a:ext cx="3797616" cy="5247756"/>
        </a:xfrm>
        <a:prstGeom prst="rect">
          <a:avLst/>
        </a:prstGeom>
      </xdr:spPr>
    </xdr:pic>
    <xdr:clientData/>
  </xdr:twoCellAnchor>
  <xdr:twoCellAnchor editAs="oneCell">
    <xdr:from>
      <xdr:col>0</xdr:col>
      <xdr:colOff>109904</xdr:colOff>
      <xdr:row>0</xdr:row>
      <xdr:rowOff>43962</xdr:rowOff>
    </xdr:from>
    <xdr:to>
      <xdr:col>4</xdr:col>
      <xdr:colOff>2236</xdr:colOff>
      <xdr:row>0</xdr:row>
      <xdr:rowOff>335826</xdr:rowOff>
    </xdr:to>
    <xdr:pic>
      <xdr:nvPicPr>
        <xdr:cNvPr id="5" name="Picture 4" descr="ti logo">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9904" y="43962"/>
          <a:ext cx="2324870" cy="291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101975</xdr:colOff>
      <xdr:row>68</xdr:row>
      <xdr:rowOff>168647</xdr:rowOff>
    </xdr:from>
    <xdr:to>
      <xdr:col>21</xdr:col>
      <xdr:colOff>354107</xdr:colOff>
      <xdr:row>79</xdr:row>
      <xdr:rowOff>92447</xdr:rowOff>
    </xdr:to>
    <xdr:grpSp>
      <xdr:nvGrpSpPr>
        <xdr:cNvPr id="9" name="Group 8"/>
        <xdr:cNvGrpSpPr/>
      </xdr:nvGrpSpPr>
      <xdr:grpSpPr>
        <a:xfrm>
          <a:off x="9670270" y="14629329"/>
          <a:ext cx="2676678" cy="2183823"/>
          <a:chOff x="1905000" y="1981200"/>
          <a:chExt cx="3487700" cy="2705100"/>
        </a:xfrm>
      </xdr:grpSpPr>
      <xdr:grpSp>
        <xdr:nvGrpSpPr>
          <xdr:cNvPr id="10" name="Group 9"/>
          <xdr:cNvGrpSpPr/>
        </xdr:nvGrpSpPr>
        <xdr:grpSpPr>
          <a:xfrm>
            <a:off x="2057400" y="1981200"/>
            <a:ext cx="3335300" cy="2705100"/>
            <a:chOff x="2057400" y="1981200"/>
            <a:chExt cx="3335300" cy="2705100"/>
          </a:xfrm>
        </xdr:grpSpPr>
        <xdr:pic>
          <xdr:nvPicPr>
            <xdr:cNvPr id="12" name="Picture 1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57400" y="1981200"/>
              <a:ext cx="3038475" cy="270510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sp macro="" textlink="">
          <xdr:nvSpPr>
            <xdr:cNvPr id="13" name="TextBox 3"/>
            <xdr:cNvSpPr txBox="1"/>
          </xdr:nvSpPr>
          <xdr:spPr>
            <a:xfrm>
              <a:off x="3962399" y="3124200"/>
              <a:ext cx="1430301" cy="38296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1">
                  <a:solidFill>
                    <a:schemeClr val="tx1">
                      <a:lumMod val="65000"/>
                      <a:lumOff val="35000"/>
                    </a:schemeClr>
                  </a:solidFill>
                </a:rPr>
                <a:t>LP8863-Q1</a:t>
              </a:r>
            </a:p>
          </xdr:txBody>
        </xdr:sp>
      </xdr:grpSp>
      <xdr:sp macro="" textlink="">
        <xdr:nvSpPr>
          <xdr:cNvPr id="11" name="Rounded Rectangle 10"/>
          <xdr:cNvSpPr/>
        </xdr:nvSpPr>
        <xdr:spPr>
          <a:xfrm>
            <a:off x="1905000" y="3431976"/>
            <a:ext cx="857250" cy="1140023"/>
          </a:xfrm>
          <a:prstGeom prst="roundRect">
            <a:avLst/>
          </a:prstGeom>
          <a:noFill/>
          <a:ln w="19050">
            <a:solidFill>
              <a:srgbClr val="00B05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clientData/>
  </xdr:twoCellAnchor>
  <xdr:twoCellAnchor editAs="oneCell">
    <xdr:from>
      <xdr:col>22</xdr:col>
      <xdr:colOff>171451</xdr:colOff>
      <xdr:row>7</xdr:row>
      <xdr:rowOff>97573</xdr:rowOff>
    </xdr:from>
    <xdr:to>
      <xdr:col>26</xdr:col>
      <xdr:colOff>466233</xdr:colOff>
      <xdr:row>17</xdr:row>
      <xdr:rowOff>47247</xdr:rowOff>
    </xdr:to>
    <xdr:pic>
      <xdr:nvPicPr>
        <xdr:cNvPr id="7" name="Picture 6"/>
        <xdr:cNvPicPr>
          <a:picLocks noChangeAspect="1"/>
        </xdr:cNvPicPr>
      </xdr:nvPicPr>
      <xdr:blipFill>
        <a:blip xmlns:r="http://schemas.openxmlformats.org/officeDocument/2006/relationships" r:embed="rId7"/>
        <a:stretch>
          <a:fillRect/>
        </a:stretch>
      </xdr:blipFill>
      <xdr:spPr>
        <a:xfrm>
          <a:off x="12839701" y="1469173"/>
          <a:ext cx="2733182" cy="2092799"/>
        </a:xfrm>
        <a:prstGeom prst="rect">
          <a:avLst/>
        </a:prstGeom>
      </xdr:spPr>
    </xdr:pic>
    <xdr:clientData/>
  </xdr:twoCellAnchor>
  <xdr:oneCellAnchor>
    <xdr:from>
      <xdr:col>14</xdr:col>
      <xdr:colOff>409575</xdr:colOff>
      <xdr:row>6</xdr:row>
      <xdr:rowOff>95250</xdr:rowOff>
    </xdr:from>
    <xdr:ext cx="2290307" cy="311496"/>
    <xdr:sp macro="" textlink="">
      <xdr:nvSpPr>
        <xdr:cNvPr id="8" name="TextBox 7"/>
        <xdr:cNvSpPr txBox="1"/>
      </xdr:nvSpPr>
      <xdr:spPr>
        <a:xfrm>
          <a:off x="8201025" y="1266825"/>
          <a:ext cx="229030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u="sng"/>
            <a:t>LED Configuration Example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1197612</xdr:colOff>
      <xdr:row>0</xdr:row>
      <xdr:rowOff>133350</xdr:rowOff>
    </xdr:from>
    <xdr:ext cx="7386094" cy="417807"/>
    <xdr:sp macro="" textlink="">
      <xdr:nvSpPr>
        <xdr:cNvPr id="2" name="TextBox 1"/>
        <xdr:cNvSpPr txBox="1"/>
      </xdr:nvSpPr>
      <xdr:spPr>
        <a:xfrm>
          <a:off x="2979347" y="133350"/>
          <a:ext cx="7386094" cy="4178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800">
              <a:latin typeface="Arial Black" panose="020B0A04020102020204" pitchFamily="34" charset="0"/>
            </a:rPr>
            <a:t>LP8863-Q1 - Boost LED Driver System Design Calculator</a:t>
          </a:r>
        </a:p>
      </xdr:txBody>
    </xdr:sp>
    <xdr:clientData/>
  </xdr:oneCellAnchor>
  <xdr:oneCellAnchor>
    <xdr:from>
      <xdr:col>11</xdr:col>
      <xdr:colOff>115520</xdr:colOff>
      <xdr:row>0</xdr:row>
      <xdr:rowOff>180975</xdr:rowOff>
    </xdr:from>
    <xdr:ext cx="4354525" cy="264560"/>
    <xdr:sp macro="" textlink="">
      <xdr:nvSpPr>
        <xdr:cNvPr id="3" name="TextBox 2">
          <a:hlinkClick xmlns:r="http://schemas.openxmlformats.org/officeDocument/2006/relationships" r:id="rId1"/>
        </xdr:cNvPr>
        <xdr:cNvSpPr txBox="1"/>
      </xdr:nvSpPr>
      <xdr:spPr>
        <a:xfrm>
          <a:off x="11126420" y="180975"/>
          <a:ext cx="43545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0" i="0" u="none" strike="noStrike">
              <a:solidFill>
                <a:schemeClr val="tx1"/>
              </a:solidFill>
              <a:effectLst/>
              <a:latin typeface="+mn-lt"/>
              <a:ea typeface="+mn-ea"/>
              <a:cs typeface="+mn-cs"/>
              <a:hlinkClick xmlns:r="http://schemas.openxmlformats.org/officeDocument/2006/relationships" r:id=""/>
            </a:rPr>
            <a:t>© Copyright 2020</a:t>
          </a:r>
          <a:r>
            <a:rPr lang="en-US" sz="1100" b="0" i="0">
              <a:solidFill>
                <a:schemeClr val="tx1"/>
              </a:solidFill>
              <a:effectLst/>
              <a:latin typeface="+mn-lt"/>
              <a:ea typeface="+mn-ea"/>
              <a:cs typeface="+mn-cs"/>
            </a:rPr>
            <a:t> Texas Instruments Incorporated. All rights reserved.</a:t>
          </a:r>
          <a:endParaRPr lang="en-US" sz="1100"/>
        </a:p>
      </xdr:txBody>
    </xdr:sp>
    <xdr:clientData/>
  </xdr:oneCellAnchor>
  <xdr:oneCellAnchor>
    <xdr:from>
      <xdr:col>1</xdr:col>
      <xdr:colOff>22413</xdr:colOff>
      <xdr:row>5</xdr:row>
      <xdr:rowOff>67234</xdr:rowOff>
    </xdr:from>
    <xdr:ext cx="6918414" cy="8841441"/>
    <xdr:sp macro="" textlink="">
      <xdr:nvSpPr>
        <xdr:cNvPr id="4" name="TextBox 3"/>
        <xdr:cNvSpPr txBox="1"/>
      </xdr:nvSpPr>
      <xdr:spPr>
        <a:xfrm>
          <a:off x="270063" y="1029259"/>
          <a:ext cx="6918414" cy="8841441"/>
        </a:xfrm>
        <a:prstGeom prst="rect">
          <a:avLst/>
        </a:prstGeom>
        <a:solidFill>
          <a:srgbClr val="E0E0E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gn="l">
            <a:spcBef>
              <a:spcPts val="0"/>
            </a:spcBef>
            <a:spcAft>
              <a:spcPts val="0"/>
            </a:spcAft>
          </a:pPr>
          <a:r>
            <a:rPr lang="en-US" sz="1100" b="1">
              <a:solidFill>
                <a:srgbClr val="000000"/>
              </a:solidFill>
              <a:effectLst/>
              <a:latin typeface="Arial"/>
              <a:ea typeface="MS Mincho"/>
            </a:rPr>
            <a:t>TEXAS INSTRUMENTS TEXT FILE LICENSE</a:t>
          </a:r>
          <a:endParaRPr lang="en-US" sz="1200" b="1">
            <a:effectLst/>
            <a:latin typeface="Times New Roman"/>
            <a:ea typeface="MS Mincho"/>
          </a:endParaRPr>
        </a:p>
        <a:p>
          <a:pPr marL="0" marR="0">
            <a:spcBef>
              <a:spcPts val="0"/>
            </a:spcBef>
            <a:spcAft>
              <a:spcPts val="0"/>
            </a:spcAft>
          </a:pPr>
          <a:r>
            <a:rPr lang="en-US" sz="1100">
              <a:solidFill>
                <a:srgbClr val="808080"/>
              </a:solidFill>
              <a:effectLst/>
              <a:latin typeface="Arial"/>
              <a:ea typeface="MS Mincho"/>
            </a:rPr>
            <a:t> </a:t>
          </a:r>
          <a:endParaRPr lang="en-US" sz="1200">
            <a:effectLst/>
            <a:latin typeface="Times New Roman"/>
            <a:ea typeface="MS Mincho"/>
          </a:endParaRPr>
        </a:p>
        <a:p>
          <a:pPr marL="0" marR="0">
            <a:spcBef>
              <a:spcPts val="0"/>
            </a:spcBef>
            <a:spcAft>
              <a:spcPts val="0"/>
            </a:spcAft>
          </a:pPr>
          <a:r>
            <a:rPr lang="en-US" sz="1100">
              <a:solidFill>
                <a:srgbClr val="000000"/>
              </a:solidFill>
              <a:effectLst/>
              <a:latin typeface="Arial"/>
              <a:ea typeface="MS Mincho"/>
            </a:rPr>
            <a:t>Copyright (c) 2015 Texas Instruments Incorporated</a:t>
          </a:r>
          <a:endParaRPr lang="en-US" sz="1200">
            <a:effectLst/>
            <a:latin typeface="Times New Roman"/>
            <a:ea typeface="MS Mincho"/>
          </a:endParaRPr>
        </a:p>
        <a:p>
          <a:pPr marL="0" marR="0">
            <a:spcBef>
              <a:spcPts val="0"/>
            </a:spcBef>
            <a:spcAft>
              <a:spcPts val="0"/>
            </a:spcAft>
          </a:pPr>
          <a:r>
            <a:rPr lang="en-US" sz="1100">
              <a:solidFill>
                <a:srgbClr val="808080"/>
              </a:solidFill>
              <a:effectLst/>
              <a:latin typeface="Arial"/>
              <a:ea typeface="MS Mincho"/>
            </a:rPr>
            <a:t> </a:t>
          </a:r>
          <a:endParaRPr lang="en-US" sz="1200">
            <a:effectLst/>
            <a:latin typeface="Times New Roman"/>
            <a:ea typeface="MS Mincho"/>
          </a:endParaRPr>
        </a:p>
        <a:p>
          <a:pPr marL="0" marR="0">
            <a:spcBef>
              <a:spcPts val="0"/>
            </a:spcBef>
            <a:spcAft>
              <a:spcPts val="0"/>
            </a:spcAft>
          </a:pPr>
          <a:r>
            <a:rPr lang="en-US" sz="1100">
              <a:solidFill>
                <a:srgbClr val="000000"/>
              </a:solidFill>
              <a:effectLst/>
              <a:latin typeface="Arial"/>
              <a:ea typeface="MS Mincho"/>
            </a:rPr>
            <a:t>All rights reserved not granted herein.</a:t>
          </a:r>
          <a:endParaRPr lang="en-US" sz="1200">
            <a:effectLst/>
            <a:latin typeface="Times New Roman"/>
            <a:ea typeface="MS Mincho"/>
          </a:endParaRPr>
        </a:p>
        <a:p>
          <a:pPr marL="0" marR="0">
            <a:spcBef>
              <a:spcPts val="0"/>
            </a:spcBef>
            <a:spcAft>
              <a:spcPts val="0"/>
            </a:spcAft>
          </a:pPr>
          <a:r>
            <a:rPr lang="en-US" sz="1100">
              <a:solidFill>
                <a:srgbClr val="000000"/>
              </a:solidFill>
              <a:effectLst/>
              <a:latin typeface="Arial"/>
              <a:ea typeface="MS Mincho"/>
            </a:rPr>
            <a:t> </a:t>
          </a:r>
          <a:endParaRPr lang="en-US" sz="1200">
            <a:effectLst/>
            <a:latin typeface="Times New Roman"/>
            <a:ea typeface="MS Mincho"/>
          </a:endParaRPr>
        </a:p>
        <a:p>
          <a:pPr marL="0" marR="0">
            <a:spcBef>
              <a:spcPts val="0"/>
            </a:spcBef>
            <a:spcAft>
              <a:spcPts val="0"/>
            </a:spcAft>
          </a:pPr>
          <a:r>
            <a:rPr lang="en-US" sz="1100">
              <a:solidFill>
                <a:srgbClr val="000000"/>
              </a:solidFill>
              <a:effectLst/>
              <a:latin typeface="Arial"/>
              <a:ea typeface="MS Mincho"/>
            </a:rPr>
            <a:t>Limited License.  </a:t>
          </a:r>
          <a:endParaRPr lang="en-US" sz="1200">
            <a:effectLst/>
            <a:latin typeface="Times New Roman"/>
            <a:ea typeface="MS Mincho"/>
          </a:endParaRPr>
        </a:p>
        <a:p>
          <a:pPr marL="0" marR="0">
            <a:spcBef>
              <a:spcPts val="0"/>
            </a:spcBef>
            <a:spcAft>
              <a:spcPts val="0"/>
            </a:spcAft>
          </a:pPr>
          <a:r>
            <a:rPr lang="en-US" sz="1100">
              <a:solidFill>
                <a:srgbClr val="000000"/>
              </a:solidFill>
              <a:effectLst/>
              <a:latin typeface="Arial"/>
              <a:ea typeface="MS Mincho"/>
            </a:rPr>
            <a:t> </a:t>
          </a:r>
          <a:endParaRPr lang="en-US" sz="1200">
            <a:effectLst/>
            <a:latin typeface="Times New Roman"/>
            <a:ea typeface="MS Mincho"/>
          </a:endParaRPr>
        </a:p>
        <a:p>
          <a:pPr marL="0" marR="0" algn="just">
            <a:spcBef>
              <a:spcPts val="0"/>
            </a:spcBef>
            <a:spcAft>
              <a:spcPts val="0"/>
            </a:spcAft>
          </a:pPr>
          <a:r>
            <a:rPr lang="en-US" sz="1100">
              <a:effectLst/>
              <a:latin typeface="Arial"/>
              <a:ea typeface="MS Mincho"/>
            </a:rPr>
            <a:t>Texas Instruments Incorporated g</a:t>
          </a:r>
          <a:r>
            <a:rPr lang="en-US" sz="1100">
              <a:solidFill>
                <a:srgbClr val="000000"/>
              </a:solidFill>
              <a:effectLst/>
              <a:latin typeface="Arial"/>
              <a:ea typeface="MS Mincho"/>
            </a:rPr>
            <a:t>rants a world-wide, royalty-free, non-exclusive license under copyrights and patents it now or hereafter owns or controls to make, have made, use, import, offer to sell and </a:t>
          </a:r>
          <a:r>
            <a:rPr lang="en-US" sz="1100">
              <a:effectLst/>
              <a:latin typeface="Arial"/>
              <a:ea typeface="MS Mincho"/>
            </a:rPr>
            <a:t>sell ("Utilize")</a:t>
          </a:r>
          <a:r>
            <a:rPr lang="en-US" sz="1100">
              <a:solidFill>
                <a:srgbClr val="0000FF"/>
              </a:solidFill>
              <a:effectLst/>
              <a:latin typeface="Arial"/>
              <a:ea typeface="MS Mincho"/>
            </a:rPr>
            <a:t> </a:t>
          </a:r>
          <a:r>
            <a:rPr lang="en-US" sz="1100">
              <a:solidFill>
                <a:srgbClr val="000000"/>
              </a:solidFill>
              <a:effectLst/>
              <a:latin typeface="Arial"/>
              <a:ea typeface="MS Mincho"/>
            </a:rPr>
            <a:t>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a:t>
          </a:r>
          <a:endParaRPr lang="en-US" sz="1200">
            <a:effectLst/>
            <a:latin typeface="Times New Roman"/>
            <a:ea typeface="MS Mincho"/>
          </a:endParaRPr>
        </a:p>
        <a:p>
          <a:pPr marL="0" marR="0" algn="just">
            <a:spcBef>
              <a:spcPts val="0"/>
            </a:spcBef>
            <a:spcAft>
              <a:spcPts val="0"/>
            </a:spcAft>
          </a:pPr>
          <a:r>
            <a:rPr lang="en-US" sz="1100">
              <a:solidFill>
                <a:srgbClr val="000000"/>
              </a:solidFill>
              <a:effectLst/>
              <a:latin typeface="Arial"/>
              <a:ea typeface="MS Mincho"/>
            </a:rPr>
            <a:t> </a:t>
          </a:r>
          <a:endParaRPr lang="en-US" sz="1200">
            <a:effectLst/>
            <a:latin typeface="Times New Roman"/>
            <a:ea typeface="MS Mincho"/>
          </a:endParaRPr>
        </a:p>
        <a:p>
          <a:pPr marL="0" marR="0" algn="just">
            <a:spcBef>
              <a:spcPts val="0"/>
            </a:spcBef>
            <a:spcAft>
              <a:spcPts val="0"/>
            </a:spcAft>
          </a:pPr>
          <a:r>
            <a:rPr lang="en-US" sz="1100">
              <a:solidFill>
                <a:srgbClr val="000000"/>
              </a:solidFill>
              <a:effectLst/>
              <a:latin typeface="Arial"/>
              <a:ea typeface="MS Mincho"/>
            </a:rPr>
            <a:t>Redistributions must preserve existing copyright notices and reproduce this license (including the above copyright notice and the disclaimer and (if applicable) source code license limitations below) in the documentation and/or other materials provided with the distribution</a:t>
          </a:r>
          <a:endParaRPr lang="en-US" sz="1200">
            <a:effectLst/>
            <a:latin typeface="Times New Roman"/>
            <a:ea typeface="MS Mincho"/>
          </a:endParaRPr>
        </a:p>
        <a:p>
          <a:pPr marL="0" marR="0" algn="just">
            <a:spcBef>
              <a:spcPts val="0"/>
            </a:spcBef>
            <a:spcAft>
              <a:spcPts val="0"/>
            </a:spcAft>
          </a:pPr>
          <a:r>
            <a:rPr lang="en-US" sz="1100">
              <a:solidFill>
                <a:srgbClr val="000000"/>
              </a:solidFill>
              <a:effectLst/>
              <a:latin typeface="Arial"/>
              <a:ea typeface="MS Mincho"/>
            </a:rPr>
            <a:t> </a:t>
          </a:r>
          <a:endParaRPr lang="en-US" sz="1200">
            <a:effectLst/>
            <a:latin typeface="Times New Roman"/>
            <a:ea typeface="MS Mincho"/>
          </a:endParaRPr>
        </a:p>
        <a:p>
          <a:pPr marL="0" marR="0" algn="just">
            <a:spcBef>
              <a:spcPts val="0"/>
            </a:spcBef>
            <a:spcAft>
              <a:spcPts val="0"/>
            </a:spcAft>
          </a:pPr>
          <a:r>
            <a:rPr lang="en-US" sz="1100">
              <a:solidFill>
                <a:srgbClr val="000000"/>
              </a:solidFill>
              <a:effectLst/>
              <a:latin typeface="Arial"/>
              <a:ea typeface="MS Mincho"/>
            </a:rPr>
            <a:t>Redistribution and use in binary form, without modification, are permitted provided that the following conditions are met:</a:t>
          </a:r>
          <a:endParaRPr lang="en-US" sz="1200">
            <a:effectLst/>
            <a:latin typeface="Times New Roman"/>
            <a:ea typeface="MS Mincho"/>
          </a:endParaRPr>
        </a:p>
        <a:p>
          <a:pPr marL="0" marR="0" algn="just">
            <a:spcBef>
              <a:spcPts val="0"/>
            </a:spcBef>
            <a:spcAft>
              <a:spcPts val="0"/>
            </a:spcAft>
          </a:pPr>
          <a:r>
            <a:rPr lang="en-US" sz="1100">
              <a:solidFill>
                <a:srgbClr val="000000"/>
              </a:solidFill>
              <a:effectLst/>
              <a:latin typeface="Arial"/>
              <a:ea typeface="MS Mincho"/>
            </a:rPr>
            <a:t> </a:t>
          </a:r>
          <a:endParaRPr lang="en-US" sz="1200">
            <a:effectLst/>
            <a:latin typeface="Times New Roman"/>
            <a:ea typeface="MS Mincho"/>
          </a:endParaRPr>
        </a:p>
        <a:p>
          <a:pPr marL="171450" marR="0" indent="-171450" algn="just">
            <a:spcBef>
              <a:spcPts val="0"/>
            </a:spcBef>
            <a:spcAft>
              <a:spcPts val="0"/>
            </a:spcAft>
          </a:pPr>
          <a:r>
            <a:rPr lang="en-US" sz="1100">
              <a:solidFill>
                <a:srgbClr val="000000"/>
              </a:solidFill>
              <a:effectLst/>
              <a:latin typeface="Arial"/>
              <a:ea typeface="MS Mincho"/>
            </a:rPr>
            <a:t>*	No reverse engineering, decompilation, or disassembly of this software is permitted with respect to any software provided in binary form.</a:t>
          </a:r>
          <a:endParaRPr lang="en-US" sz="1200">
            <a:effectLst/>
            <a:latin typeface="Times New Roman"/>
            <a:ea typeface="MS Mincho"/>
          </a:endParaRPr>
        </a:p>
        <a:p>
          <a:pPr marL="171450" marR="0" indent="-171450" algn="just">
            <a:spcBef>
              <a:spcPts val="0"/>
            </a:spcBef>
            <a:spcAft>
              <a:spcPts val="0"/>
            </a:spcAft>
          </a:pPr>
          <a:r>
            <a:rPr lang="en-US" sz="1100">
              <a:solidFill>
                <a:srgbClr val="000000"/>
              </a:solidFill>
              <a:effectLst/>
              <a:latin typeface="Arial"/>
              <a:ea typeface="MS Mincho"/>
            </a:rPr>
            <a:t> </a:t>
          </a:r>
          <a:endParaRPr lang="en-US" sz="1200">
            <a:effectLst/>
            <a:latin typeface="Times New Roman"/>
            <a:ea typeface="MS Mincho"/>
          </a:endParaRPr>
        </a:p>
        <a:p>
          <a:pPr marL="171450" marR="0" indent="-171450" algn="just">
            <a:spcBef>
              <a:spcPts val="0"/>
            </a:spcBef>
            <a:spcAft>
              <a:spcPts val="0"/>
            </a:spcAft>
          </a:pPr>
          <a:r>
            <a:rPr lang="en-US" sz="1100">
              <a:solidFill>
                <a:srgbClr val="000000"/>
              </a:solidFill>
              <a:effectLst/>
              <a:latin typeface="Arial"/>
              <a:ea typeface="MS Mincho"/>
            </a:rPr>
            <a:t>*	any redistribution and use are licensed by TI for use only with TI Devices.</a:t>
          </a:r>
          <a:endParaRPr lang="en-US" sz="1200">
            <a:effectLst/>
            <a:latin typeface="Times New Roman"/>
            <a:ea typeface="MS Mincho"/>
          </a:endParaRPr>
        </a:p>
        <a:p>
          <a:pPr marL="171450" marR="0" indent="-171450" algn="just">
            <a:spcBef>
              <a:spcPts val="0"/>
            </a:spcBef>
            <a:spcAft>
              <a:spcPts val="0"/>
            </a:spcAft>
          </a:pPr>
          <a:r>
            <a:rPr lang="en-US" sz="1100">
              <a:solidFill>
                <a:srgbClr val="000000"/>
              </a:solidFill>
              <a:effectLst/>
              <a:latin typeface="Arial"/>
              <a:ea typeface="MS Mincho"/>
            </a:rPr>
            <a:t> </a:t>
          </a:r>
          <a:endParaRPr lang="en-US" sz="1200">
            <a:effectLst/>
            <a:latin typeface="Times New Roman"/>
            <a:ea typeface="MS Mincho"/>
          </a:endParaRPr>
        </a:p>
        <a:p>
          <a:pPr marL="171450" marR="0" indent="-171450" algn="just">
            <a:spcBef>
              <a:spcPts val="0"/>
            </a:spcBef>
            <a:spcAft>
              <a:spcPts val="0"/>
            </a:spcAft>
          </a:pPr>
          <a:r>
            <a:rPr lang="en-US" sz="1100">
              <a:solidFill>
                <a:srgbClr val="000000"/>
              </a:solidFill>
              <a:effectLst/>
              <a:latin typeface="Arial"/>
              <a:ea typeface="MS Mincho"/>
            </a:rPr>
            <a:t>*	Nothing shall obligate TI to provide you with source code for the software licensed and provided to you in object code.</a:t>
          </a:r>
          <a:endParaRPr lang="en-US" sz="1200">
            <a:effectLst/>
            <a:latin typeface="Times New Roman"/>
            <a:ea typeface="MS Mincho"/>
          </a:endParaRPr>
        </a:p>
        <a:p>
          <a:pPr marL="171450" marR="0" indent="-171450" algn="just">
            <a:spcBef>
              <a:spcPts val="0"/>
            </a:spcBef>
            <a:spcAft>
              <a:spcPts val="0"/>
            </a:spcAft>
          </a:pPr>
          <a:r>
            <a:rPr lang="en-US" sz="1100">
              <a:solidFill>
                <a:srgbClr val="000000"/>
              </a:solidFill>
              <a:effectLst/>
              <a:latin typeface="Arial"/>
              <a:ea typeface="MS Mincho"/>
            </a:rPr>
            <a:t> </a:t>
          </a:r>
          <a:endParaRPr lang="en-US" sz="1200">
            <a:effectLst/>
            <a:latin typeface="Times New Roman"/>
            <a:ea typeface="MS Mincho"/>
          </a:endParaRPr>
        </a:p>
        <a:p>
          <a:pPr marL="0" marR="0" algn="just">
            <a:spcBef>
              <a:spcPts val="0"/>
            </a:spcBef>
            <a:spcAft>
              <a:spcPts val="0"/>
            </a:spcAft>
          </a:pPr>
          <a:r>
            <a:rPr lang="en-US" sz="1100">
              <a:solidFill>
                <a:srgbClr val="000000"/>
              </a:solidFill>
              <a:effectLst/>
              <a:latin typeface="Arial"/>
              <a:ea typeface="MS Mincho"/>
            </a:rPr>
            <a:t>If software source code is provided to you, modification and redistribution of the source code are permitted provided that the following conditions are met:</a:t>
          </a:r>
          <a:endParaRPr lang="en-US" sz="1200">
            <a:effectLst/>
            <a:latin typeface="Times New Roman"/>
            <a:ea typeface="MS Mincho"/>
          </a:endParaRPr>
        </a:p>
        <a:p>
          <a:pPr marL="0" marR="0" algn="just">
            <a:spcBef>
              <a:spcPts val="0"/>
            </a:spcBef>
            <a:spcAft>
              <a:spcPts val="0"/>
            </a:spcAft>
          </a:pPr>
          <a:r>
            <a:rPr lang="en-US" sz="1100">
              <a:solidFill>
                <a:srgbClr val="000000"/>
              </a:solidFill>
              <a:effectLst/>
              <a:latin typeface="Arial"/>
              <a:ea typeface="MS Mincho"/>
            </a:rPr>
            <a:t> </a:t>
          </a:r>
          <a:endParaRPr lang="en-US" sz="1200">
            <a:effectLst/>
            <a:latin typeface="Times New Roman"/>
            <a:ea typeface="MS Mincho"/>
          </a:endParaRPr>
        </a:p>
        <a:p>
          <a:pPr marL="228600" marR="0" indent="-228600" algn="just">
            <a:spcBef>
              <a:spcPts val="0"/>
            </a:spcBef>
            <a:spcAft>
              <a:spcPts val="0"/>
            </a:spcAft>
          </a:pPr>
          <a:r>
            <a:rPr lang="en-US" sz="1100">
              <a:solidFill>
                <a:srgbClr val="000000"/>
              </a:solidFill>
              <a:effectLst/>
              <a:latin typeface="Arial"/>
              <a:ea typeface="MS Mincho"/>
            </a:rPr>
            <a:t>*	any redistribution and use of the source code, including any resulting derivative works, are licensed by TI for use only with TI Devices.</a:t>
          </a:r>
          <a:endParaRPr lang="en-US" sz="1200">
            <a:effectLst/>
            <a:latin typeface="Times New Roman"/>
            <a:ea typeface="MS Mincho"/>
          </a:endParaRPr>
        </a:p>
        <a:p>
          <a:pPr marL="228600" marR="0" indent="-228600" algn="just">
            <a:spcBef>
              <a:spcPts val="0"/>
            </a:spcBef>
            <a:spcAft>
              <a:spcPts val="0"/>
            </a:spcAft>
          </a:pPr>
          <a:r>
            <a:rPr lang="en-US" sz="1100">
              <a:solidFill>
                <a:srgbClr val="000000"/>
              </a:solidFill>
              <a:effectLst/>
              <a:latin typeface="Arial"/>
              <a:ea typeface="MS Mincho"/>
            </a:rPr>
            <a:t> </a:t>
          </a:r>
          <a:endParaRPr lang="en-US" sz="1200">
            <a:effectLst/>
            <a:latin typeface="Times New Roman"/>
            <a:ea typeface="MS Mincho"/>
          </a:endParaRPr>
        </a:p>
        <a:p>
          <a:pPr marL="228600" marR="0" indent="-228600" algn="just">
            <a:spcBef>
              <a:spcPts val="0"/>
            </a:spcBef>
            <a:spcAft>
              <a:spcPts val="0"/>
            </a:spcAft>
          </a:pPr>
          <a:r>
            <a:rPr lang="en-US" sz="1100">
              <a:solidFill>
                <a:srgbClr val="000000"/>
              </a:solidFill>
              <a:effectLst/>
              <a:latin typeface="Arial"/>
              <a:ea typeface="MS Mincho"/>
            </a:rPr>
            <a:t>*	any redistribution and use of any object code compiled from the source code and any resulting derivative works, are licensed by TI for use only with TI Devices.</a:t>
          </a:r>
          <a:endParaRPr lang="en-US" sz="1200">
            <a:effectLst/>
            <a:latin typeface="Times New Roman"/>
            <a:ea typeface="MS Mincho"/>
          </a:endParaRPr>
        </a:p>
        <a:p>
          <a:pPr marL="0" marR="0" algn="just">
            <a:spcBef>
              <a:spcPts val="0"/>
            </a:spcBef>
            <a:spcAft>
              <a:spcPts val="0"/>
            </a:spcAft>
          </a:pPr>
          <a:r>
            <a:rPr lang="en-US" sz="1100">
              <a:solidFill>
                <a:srgbClr val="000000"/>
              </a:solidFill>
              <a:effectLst/>
              <a:latin typeface="Arial"/>
              <a:ea typeface="MS Mincho"/>
            </a:rPr>
            <a:t> </a:t>
          </a:r>
          <a:endParaRPr lang="en-US" sz="1200">
            <a:effectLst/>
            <a:latin typeface="Times New Roman"/>
            <a:ea typeface="MS Mincho"/>
          </a:endParaRPr>
        </a:p>
        <a:p>
          <a:pPr marL="0" marR="0" algn="just">
            <a:spcBef>
              <a:spcPts val="0"/>
            </a:spcBef>
            <a:spcAft>
              <a:spcPts val="0"/>
            </a:spcAft>
          </a:pPr>
          <a:r>
            <a:rPr lang="en-US" sz="1100">
              <a:solidFill>
                <a:srgbClr val="000000"/>
              </a:solidFill>
              <a:effectLst/>
              <a:latin typeface="Arial"/>
              <a:ea typeface="MS Mincho"/>
            </a:rPr>
            <a:t>Neither the name </a:t>
          </a:r>
          <a:r>
            <a:rPr lang="en-US" sz="1100">
              <a:effectLst/>
              <a:latin typeface="Arial"/>
              <a:ea typeface="MS Mincho"/>
            </a:rPr>
            <a:t>of Texas Instruments Incorporated</a:t>
          </a:r>
          <a:r>
            <a:rPr lang="en-US" sz="1100">
              <a:solidFill>
                <a:srgbClr val="0000FF"/>
              </a:solidFill>
              <a:effectLst/>
              <a:latin typeface="Arial"/>
              <a:ea typeface="MS Mincho"/>
            </a:rPr>
            <a:t> </a:t>
          </a:r>
          <a:r>
            <a:rPr lang="en-US" sz="1100">
              <a:solidFill>
                <a:srgbClr val="000000"/>
              </a:solidFill>
              <a:effectLst/>
              <a:latin typeface="Arial"/>
              <a:ea typeface="MS Mincho"/>
            </a:rPr>
            <a:t>nor the names of its suppliers may be used to endorse or promote products derived from this software without specific prior written permission.</a:t>
          </a:r>
          <a:endParaRPr lang="en-US" sz="1200">
            <a:effectLst/>
            <a:latin typeface="Times New Roman"/>
            <a:ea typeface="MS Mincho"/>
          </a:endParaRPr>
        </a:p>
        <a:p>
          <a:pPr marL="171450" marR="0" indent="-171450" algn="just">
            <a:spcBef>
              <a:spcPts val="0"/>
            </a:spcBef>
            <a:spcAft>
              <a:spcPts val="0"/>
            </a:spcAft>
          </a:pPr>
          <a:r>
            <a:rPr lang="en-US" sz="1100">
              <a:solidFill>
                <a:srgbClr val="000000"/>
              </a:solidFill>
              <a:effectLst/>
              <a:latin typeface="Arial"/>
              <a:ea typeface="MS Mincho"/>
            </a:rPr>
            <a:t> </a:t>
          </a:r>
          <a:endParaRPr lang="en-US" sz="1200">
            <a:effectLst/>
            <a:latin typeface="Times New Roman"/>
            <a:ea typeface="MS Mincho"/>
          </a:endParaRPr>
        </a:p>
        <a:p>
          <a:pPr marL="0" marR="0" algn="just">
            <a:spcBef>
              <a:spcPts val="0"/>
            </a:spcBef>
            <a:spcAft>
              <a:spcPts val="0"/>
            </a:spcAft>
          </a:pPr>
          <a:r>
            <a:rPr lang="en-US" sz="1100" b="1">
              <a:solidFill>
                <a:srgbClr val="000000"/>
              </a:solidFill>
              <a:effectLst/>
              <a:latin typeface="Arial"/>
              <a:ea typeface="MS Mincho"/>
            </a:rPr>
            <a:t>DISCLAIMER.</a:t>
          </a:r>
          <a:endParaRPr lang="en-US" sz="1200" b="1">
            <a:effectLst/>
            <a:latin typeface="Times New Roman"/>
            <a:ea typeface="MS Mincho"/>
          </a:endParaRPr>
        </a:p>
        <a:p>
          <a:pPr marL="0" marR="0" algn="just">
            <a:spcBef>
              <a:spcPts val="0"/>
            </a:spcBef>
            <a:spcAft>
              <a:spcPts val="0"/>
            </a:spcAft>
          </a:pPr>
          <a:r>
            <a:rPr lang="en-US" sz="1100">
              <a:solidFill>
                <a:srgbClr val="000000"/>
              </a:solidFill>
              <a:effectLst/>
              <a:latin typeface="Arial"/>
              <a:ea typeface="MS Mincho"/>
            </a:rPr>
            <a:t> </a:t>
          </a:r>
          <a:endParaRPr lang="en-US" sz="1200">
            <a:effectLst/>
            <a:latin typeface="Times New Roman"/>
            <a:ea typeface="MS Mincho"/>
          </a:endParaRPr>
        </a:p>
        <a:p>
          <a:pPr marL="0" marR="0" algn="just">
            <a:spcBef>
              <a:spcPts val="0"/>
            </a:spcBef>
            <a:spcAft>
              <a:spcPts val="0"/>
            </a:spcAft>
          </a:pPr>
          <a:r>
            <a:rPr lang="en-US" sz="1100">
              <a:solidFill>
                <a:srgbClr val="000000"/>
              </a:solidFill>
              <a:effectLst/>
              <a:latin typeface="Arial"/>
              <a:ea typeface="MS Mincho"/>
            </a:rPr>
            <a:t>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a:t>
          </a:r>
          <a:endParaRPr lang="en-US" sz="1200">
            <a:effectLst/>
            <a:latin typeface="Times New Roman"/>
            <a:ea typeface="MS Mincho"/>
          </a:endParaRPr>
        </a:p>
        <a:p>
          <a:endParaRPr lang="en-US" sz="1100" baseline="0"/>
        </a:p>
        <a:p>
          <a:endParaRPr lang="en-US" sz="1100" baseline="0"/>
        </a:p>
        <a:p>
          <a:endParaRPr lang="en-US" sz="1100" baseline="0"/>
        </a:p>
      </xdr:txBody>
    </xdr:sp>
    <xdr:clientData/>
  </xdr:oneCellAnchor>
  <xdr:twoCellAnchor editAs="oneCell">
    <xdr:from>
      <xdr:col>0</xdr:col>
      <xdr:colOff>149087</xdr:colOff>
      <xdr:row>0</xdr:row>
      <xdr:rowOff>165652</xdr:rowOff>
    </xdr:from>
    <xdr:to>
      <xdr:col>2</xdr:col>
      <xdr:colOff>686214</xdr:colOff>
      <xdr:row>2</xdr:row>
      <xdr:rowOff>79878</xdr:rowOff>
    </xdr:to>
    <xdr:pic>
      <xdr:nvPicPr>
        <xdr:cNvPr id="5" name="Picture 4" descr="ti logo">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9087" y="165652"/>
          <a:ext cx="2318302" cy="295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90208</xdr:colOff>
      <xdr:row>15</xdr:row>
      <xdr:rowOff>142314</xdr:rowOff>
    </xdr:from>
    <xdr:to>
      <xdr:col>20</xdr:col>
      <xdr:colOff>238125</xdr:colOff>
      <xdr:row>31</xdr:row>
      <xdr:rowOff>168648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0</xdr:row>
          <xdr:rowOff>180975</xdr:rowOff>
        </xdr:from>
        <xdr:to>
          <xdr:col>12</xdr:col>
          <xdr:colOff>419100</xdr:colOff>
          <xdr:row>24</xdr:row>
          <xdr:rowOff>47625</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0</xdr:colOff>
      <xdr:row>10</xdr:row>
      <xdr:rowOff>57150</xdr:rowOff>
    </xdr:from>
    <xdr:to>
      <xdr:col>10</xdr:col>
      <xdr:colOff>320542</xdr:colOff>
      <xdr:row>18</xdr:row>
      <xdr:rowOff>171450</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2419350"/>
          <a:ext cx="7664317" cy="1638300"/>
        </a:xfrm>
        <a:prstGeom prst="rect">
          <a:avLst/>
        </a:prstGeom>
      </xdr:spPr>
    </xdr:pic>
    <xdr:clientData/>
  </xdr:twoCellAnchor>
  <xdr:twoCellAnchor editAs="oneCell">
    <xdr:from>
      <xdr:col>1</xdr:col>
      <xdr:colOff>0</xdr:colOff>
      <xdr:row>20</xdr:row>
      <xdr:rowOff>76201</xdr:rowOff>
    </xdr:from>
    <xdr:to>
      <xdr:col>10</xdr:col>
      <xdr:colOff>315267</xdr:colOff>
      <xdr:row>25</xdr:row>
      <xdr:rowOff>180975</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4343401"/>
          <a:ext cx="7659042" cy="1057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7.emf"/><Relationship Id="rId4" Type="http://schemas.openxmlformats.org/officeDocument/2006/relationships/package" Target="../embeddings/Microsoft_Visio_Drawing1111111111111111111111111111111111111111111111111.vsd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93"/>
  <sheetViews>
    <sheetView tabSelected="1" zoomScale="110" zoomScaleNormal="110" workbookViewId="0">
      <pane ySplit="6" topLeftCell="A7" activePane="bottomLeft" state="frozen"/>
      <selection pane="bottomLeft" activeCell="G71" sqref="G71"/>
    </sheetView>
  </sheetViews>
  <sheetFormatPr defaultColWidth="9.140625" defaultRowHeight="15" x14ac:dyDescent="0.25"/>
  <cols>
    <col min="1" max="6" width="9.140625" style="1"/>
    <col min="7" max="7" width="9.7109375" style="1" customWidth="1"/>
    <col min="8" max="8" width="4.85546875" style="1" bestFit="1" customWidth="1"/>
    <col min="9" max="9" width="1.7109375" style="1" customWidth="1"/>
    <col min="10" max="16384" width="9.140625" style="1"/>
  </cols>
  <sheetData>
    <row r="1" spans="1:29" ht="32.25" customHeight="1" thickBot="1" x14ac:dyDescent="0.3">
      <c r="A1" s="32"/>
      <c r="B1" s="33"/>
      <c r="C1" s="33"/>
      <c r="D1" s="202"/>
      <c r="E1" s="33"/>
      <c r="F1" s="33"/>
      <c r="G1" s="299" t="s">
        <v>21</v>
      </c>
      <c r="H1" s="33"/>
      <c r="I1" s="33"/>
      <c r="J1" s="33"/>
      <c r="K1" s="33"/>
      <c r="L1" s="33"/>
      <c r="M1" s="33"/>
      <c r="N1" s="33"/>
      <c r="O1" s="33"/>
      <c r="P1" s="33"/>
      <c r="Q1" s="33"/>
      <c r="R1" s="33"/>
      <c r="S1" s="33"/>
      <c r="T1" s="33"/>
      <c r="U1" s="33"/>
      <c r="V1" s="33"/>
      <c r="W1" s="33"/>
      <c r="X1" s="33"/>
      <c r="Y1" s="33"/>
      <c r="Z1" s="33"/>
      <c r="AA1" s="34"/>
      <c r="AB1" s="2"/>
    </row>
    <row r="2" spans="1:29" ht="8.1" customHeight="1" x14ac:dyDescent="0.25">
      <c r="B2" s="245"/>
      <c r="C2" s="11"/>
      <c r="D2" s="11"/>
      <c r="E2" s="11"/>
      <c r="F2" s="11"/>
      <c r="G2" s="3"/>
      <c r="H2" s="3"/>
      <c r="I2" s="11"/>
      <c r="J2" s="3"/>
      <c r="K2" s="3"/>
      <c r="L2" s="3"/>
      <c r="M2" s="3"/>
      <c r="N2" s="3"/>
      <c r="O2" s="3"/>
      <c r="P2" s="3"/>
      <c r="Q2" s="3"/>
      <c r="R2" s="3"/>
      <c r="S2" s="3"/>
      <c r="T2" s="3"/>
      <c r="U2" s="3"/>
      <c r="V2" s="3"/>
      <c r="W2" s="3"/>
      <c r="X2" s="3"/>
      <c r="Y2" s="3"/>
      <c r="Z2" s="3"/>
      <c r="AA2" s="297"/>
    </row>
    <row r="3" spans="1:29" x14ac:dyDescent="0.25">
      <c r="A3" s="244"/>
      <c r="B3" s="246" t="s">
        <v>0</v>
      </c>
      <c r="C3" s="275" t="s">
        <v>33</v>
      </c>
      <c r="D3" s="275"/>
      <c r="E3" s="276" t="s">
        <v>28</v>
      </c>
      <c r="F3" s="277"/>
      <c r="G3" s="2"/>
      <c r="J3" s="1" t="s">
        <v>330</v>
      </c>
      <c r="AA3" s="296"/>
    </row>
    <row r="4" spans="1:29" x14ac:dyDescent="0.25">
      <c r="A4" s="30"/>
      <c r="B4" s="31"/>
      <c r="C4" s="278" t="s">
        <v>29</v>
      </c>
      <c r="D4" s="278"/>
      <c r="E4" s="279" t="s">
        <v>244</v>
      </c>
      <c r="F4" s="279"/>
      <c r="G4" s="15"/>
      <c r="H4" s="4"/>
      <c r="I4" s="11"/>
      <c r="J4" s="4"/>
      <c r="K4" s="4"/>
      <c r="L4" s="4"/>
      <c r="M4" s="4"/>
      <c r="N4" s="4"/>
      <c r="O4" s="4"/>
      <c r="P4" s="4"/>
      <c r="Q4" s="4"/>
      <c r="R4" s="4"/>
      <c r="S4" s="4"/>
      <c r="T4" s="4"/>
      <c r="U4" s="4"/>
      <c r="V4" s="4"/>
      <c r="W4" s="4"/>
      <c r="X4" s="4"/>
      <c r="Y4" s="4"/>
      <c r="Z4" s="4"/>
      <c r="AA4" s="295"/>
    </row>
    <row r="5" spans="1:29" s="4" customFormat="1" x14ac:dyDescent="0.25">
      <c r="A5" s="16"/>
      <c r="B5" s="16"/>
      <c r="C5" s="280" t="s">
        <v>32</v>
      </c>
      <c r="D5" s="280"/>
      <c r="G5" s="16"/>
      <c r="H5" s="16"/>
      <c r="I5" s="16"/>
      <c r="J5" s="16"/>
      <c r="K5" s="16"/>
      <c r="L5" s="16"/>
      <c r="M5" s="16"/>
      <c r="N5" s="16"/>
      <c r="O5" s="16"/>
      <c r="P5" s="16"/>
      <c r="Q5" s="16"/>
      <c r="R5" s="16"/>
      <c r="S5" s="16"/>
      <c r="T5" s="16"/>
      <c r="U5" s="16"/>
      <c r="V5" s="16"/>
      <c r="W5" s="16"/>
      <c r="X5" s="16"/>
      <c r="Y5" s="16"/>
      <c r="Z5" s="16"/>
      <c r="AA5" s="16"/>
      <c r="AB5" s="15"/>
    </row>
    <row r="6" spans="1:29" s="16" customFormat="1" ht="8.1" customHeight="1" x14ac:dyDescent="0.25"/>
    <row r="7" spans="1:29" s="3" customFormat="1" ht="15.75" thickBot="1" x14ac:dyDescent="0.3">
      <c r="A7" s="7"/>
      <c r="B7" s="19"/>
      <c r="C7" s="10"/>
      <c r="D7" s="10"/>
      <c r="E7" s="10"/>
      <c r="F7" s="10"/>
      <c r="G7" s="10"/>
      <c r="H7" s="10"/>
      <c r="I7" s="10"/>
      <c r="J7" s="10"/>
      <c r="K7" s="204"/>
      <c r="L7" s="10"/>
      <c r="M7" s="10"/>
      <c r="N7" s="10"/>
      <c r="O7" s="10"/>
      <c r="P7" s="10"/>
      <c r="Q7" s="10"/>
      <c r="R7" s="10"/>
      <c r="S7" s="10"/>
      <c r="T7" s="10"/>
      <c r="U7" s="10"/>
      <c r="V7" s="10"/>
      <c r="W7" s="10"/>
      <c r="X7" s="10"/>
      <c r="Y7" s="10"/>
      <c r="Z7" s="10"/>
      <c r="AA7" s="217"/>
      <c r="AB7" s="1"/>
      <c r="AC7" s="17"/>
    </row>
    <row r="8" spans="1:29" ht="15.75" thickBot="1" x14ac:dyDescent="0.3">
      <c r="A8" s="18" t="s">
        <v>22</v>
      </c>
      <c r="B8" s="19"/>
      <c r="C8" s="9"/>
      <c r="D8" s="9"/>
      <c r="E8" s="9"/>
      <c r="F8" s="37" t="s">
        <v>184</v>
      </c>
      <c r="G8" s="13" t="s">
        <v>2</v>
      </c>
      <c r="H8" s="14" t="s">
        <v>3</v>
      </c>
      <c r="I8" s="5"/>
      <c r="J8" s="46" t="s">
        <v>34</v>
      </c>
      <c r="K8" s="5"/>
      <c r="L8" s="5"/>
      <c r="M8" s="5"/>
      <c r="N8" s="5"/>
      <c r="O8" s="5"/>
      <c r="P8" s="5"/>
      <c r="Q8" s="5"/>
      <c r="R8" s="5"/>
      <c r="S8" s="5"/>
      <c r="T8" s="5"/>
      <c r="U8" s="5"/>
      <c r="V8" s="5"/>
      <c r="W8" s="5"/>
      <c r="X8" s="5"/>
      <c r="Y8" s="5"/>
      <c r="Z8" s="5"/>
      <c r="AA8" s="217"/>
      <c r="AC8" s="2"/>
    </row>
    <row r="9" spans="1:29" ht="18" x14ac:dyDescent="0.25">
      <c r="A9" s="152"/>
      <c r="B9" s="21"/>
      <c r="C9" s="21"/>
      <c r="D9" s="21"/>
      <c r="E9" s="21"/>
      <c r="F9" s="22" t="s">
        <v>35</v>
      </c>
      <c r="G9" s="262">
        <v>6</v>
      </c>
      <c r="H9" s="23" t="s">
        <v>4</v>
      </c>
      <c r="I9" s="8"/>
      <c r="J9" s="48" t="s">
        <v>36</v>
      </c>
      <c r="K9" s="5"/>
      <c r="L9" s="5"/>
      <c r="M9" s="5"/>
      <c r="N9" s="5"/>
      <c r="O9" s="5"/>
      <c r="P9" s="5"/>
      <c r="Q9" s="5"/>
      <c r="R9" s="5"/>
      <c r="S9" s="5"/>
      <c r="T9" s="5"/>
      <c r="U9" s="5"/>
      <c r="V9" s="5"/>
      <c r="W9" s="5"/>
      <c r="X9" s="5"/>
      <c r="Y9" s="5"/>
      <c r="Z9" s="5"/>
      <c r="AA9" s="217"/>
      <c r="AC9" s="2"/>
    </row>
    <row r="10" spans="1:29" ht="18" x14ac:dyDescent="0.25">
      <c r="A10" s="153"/>
      <c r="B10" s="5"/>
      <c r="C10" s="5"/>
      <c r="D10" s="5"/>
      <c r="E10" s="5"/>
      <c r="F10" s="12" t="s">
        <v>37</v>
      </c>
      <c r="G10" s="263">
        <v>18</v>
      </c>
      <c r="H10" s="25" t="s">
        <v>4</v>
      </c>
      <c r="I10" s="8"/>
      <c r="J10" s="48" t="s">
        <v>38</v>
      </c>
      <c r="K10" s="5"/>
      <c r="L10" s="5"/>
      <c r="M10" s="5"/>
      <c r="N10" s="5"/>
      <c r="O10" s="5"/>
      <c r="P10" s="5"/>
      <c r="Q10" s="5"/>
      <c r="R10" s="5"/>
      <c r="S10" s="5"/>
      <c r="T10" s="5"/>
      <c r="U10" s="5"/>
      <c r="V10" s="5"/>
      <c r="W10" s="5"/>
      <c r="X10" s="5"/>
      <c r="Y10" s="5"/>
      <c r="Z10" s="5"/>
      <c r="AA10" s="217"/>
      <c r="AC10" s="2"/>
    </row>
    <row r="11" spans="1:29" ht="18" x14ac:dyDescent="0.25">
      <c r="A11" s="153"/>
      <c r="B11" s="5"/>
      <c r="C11" s="5"/>
      <c r="D11" s="5"/>
      <c r="E11" s="5"/>
      <c r="F11" s="12" t="s">
        <v>320</v>
      </c>
      <c r="G11" s="263">
        <v>3.5</v>
      </c>
      <c r="H11" s="25" t="s">
        <v>4</v>
      </c>
      <c r="I11" s="8"/>
      <c r="J11" s="48" t="s">
        <v>321</v>
      </c>
      <c r="K11" s="5"/>
      <c r="L11" s="5"/>
      <c r="M11" s="5"/>
      <c r="N11" s="5"/>
      <c r="O11" s="5"/>
      <c r="P11" s="5"/>
      <c r="Q11" s="5"/>
      <c r="R11" s="5"/>
      <c r="S11" s="5"/>
      <c r="T11" s="5"/>
      <c r="U11" s="5"/>
      <c r="V11" s="5"/>
      <c r="W11" s="5"/>
      <c r="X11" s="5"/>
      <c r="Y11" s="5"/>
      <c r="Z11" s="5"/>
      <c r="AA11" s="217"/>
      <c r="AC11" s="2"/>
    </row>
    <row r="12" spans="1:29" ht="18" x14ac:dyDescent="0.25">
      <c r="A12" s="153"/>
      <c r="B12" s="5"/>
      <c r="C12" s="5"/>
      <c r="D12" s="5"/>
      <c r="E12" s="5"/>
      <c r="F12" s="12" t="s">
        <v>322</v>
      </c>
      <c r="G12" s="263">
        <v>2.7</v>
      </c>
      <c r="H12" s="25" t="s">
        <v>4</v>
      </c>
      <c r="I12" s="8"/>
      <c r="J12" s="48" t="s">
        <v>323</v>
      </c>
      <c r="K12" s="5"/>
      <c r="L12" s="5"/>
      <c r="M12" s="5"/>
      <c r="N12" s="5"/>
      <c r="O12" s="5"/>
      <c r="P12" s="5"/>
      <c r="Q12" s="5"/>
      <c r="R12" s="5"/>
      <c r="S12" s="5"/>
      <c r="T12" s="5"/>
      <c r="U12" s="5"/>
      <c r="V12" s="5"/>
      <c r="W12" s="5"/>
      <c r="X12" s="5"/>
      <c r="Y12" s="5"/>
      <c r="Z12" s="5"/>
      <c r="AA12" s="217"/>
      <c r="AC12" s="2"/>
    </row>
    <row r="13" spans="1:29" ht="18" x14ac:dyDescent="0.25">
      <c r="A13" s="153"/>
      <c r="B13" s="5"/>
      <c r="C13" s="5"/>
      <c r="D13" s="5"/>
      <c r="E13" s="5"/>
      <c r="F13" s="12" t="s">
        <v>316</v>
      </c>
      <c r="G13" s="264">
        <v>0.1</v>
      </c>
      <c r="H13" s="25" t="s">
        <v>5</v>
      </c>
      <c r="I13" s="8"/>
      <c r="J13" s="48" t="s">
        <v>324</v>
      </c>
      <c r="K13" s="5"/>
      <c r="L13" s="5"/>
      <c r="M13" s="5"/>
      <c r="N13" s="5"/>
      <c r="O13" s="5"/>
      <c r="P13" s="5"/>
      <c r="Q13" s="5"/>
      <c r="R13" s="5"/>
      <c r="S13" s="5"/>
      <c r="T13" s="5"/>
      <c r="U13" s="5"/>
      <c r="V13" s="5"/>
      <c r="W13" s="5"/>
      <c r="X13" s="5"/>
      <c r="Y13" s="5"/>
      <c r="Z13" s="5"/>
      <c r="AA13" s="217"/>
      <c r="AC13" s="2"/>
    </row>
    <row r="14" spans="1:29" x14ac:dyDescent="0.25">
      <c r="A14" s="153"/>
      <c r="B14" s="5"/>
      <c r="C14" s="5"/>
      <c r="D14" s="5"/>
      <c r="E14" s="5"/>
      <c r="F14" s="12" t="s">
        <v>23</v>
      </c>
      <c r="G14" s="263">
        <v>6</v>
      </c>
      <c r="H14" s="25" t="s">
        <v>6</v>
      </c>
      <c r="I14" s="8"/>
      <c r="J14" s="47" t="s">
        <v>325</v>
      </c>
      <c r="K14" s="5"/>
      <c r="L14" s="5"/>
      <c r="M14" s="5"/>
      <c r="N14" s="5"/>
      <c r="O14" s="5"/>
      <c r="P14" s="5"/>
      <c r="Q14" s="5"/>
      <c r="R14" s="5"/>
      <c r="S14" s="5"/>
      <c r="T14" s="5"/>
      <c r="U14" s="5"/>
      <c r="V14" s="5"/>
      <c r="W14" s="5"/>
      <c r="X14" s="5"/>
      <c r="Y14" s="5"/>
      <c r="Z14" s="5"/>
      <c r="AA14" s="217"/>
      <c r="AC14" s="2"/>
    </row>
    <row r="15" spans="1:29" x14ac:dyDescent="0.25">
      <c r="A15" s="153"/>
      <c r="B15" s="5"/>
      <c r="C15" s="5"/>
      <c r="D15" s="5"/>
      <c r="E15" s="5"/>
      <c r="F15" s="12" t="s">
        <v>315</v>
      </c>
      <c r="G15" s="265">
        <v>6</v>
      </c>
      <c r="H15" s="25" t="s">
        <v>7</v>
      </c>
      <c r="I15" s="8"/>
      <c r="J15" s="47" t="s">
        <v>326</v>
      </c>
      <c r="K15" s="5"/>
      <c r="L15" s="5"/>
      <c r="M15" s="5"/>
      <c r="N15" s="5"/>
      <c r="O15" s="5"/>
      <c r="P15" s="5"/>
      <c r="Q15" s="5"/>
      <c r="R15" s="5"/>
      <c r="S15" s="5"/>
      <c r="T15" s="5"/>
      <c r="U15" s="5"/>
      <c r="V15" s="5"/>
      <c r="W15" s="5"/>
      <c r="X15" s="5"/>
      <c r="Y15" s="5"/>
      <c r="Z15" s="5"/>
      <c r="AA15" s="217"/>
      <c r="AC15" s="2"/>
    </row>
    <row r="16" spans="1:29" x14ac:dyDescent="0.25">
      <c r="A16" s="153"/>
      <c r="B16" s="5"/>
      <c r="C16" s="5"/>
      <c r="D16" s="5"/>
      <c r="E16" s="5"/>
      <c r="F16" s="12" t="s">
        <v>319</v>
      </c>
      <c r="G16" s="266">
        <v>6</v>
      </c>
      <c r="H16" s="25" t="s">
        <v>8</v>
      </c>
      <c r="I16" s="8"/>
      <c r="J16" s="47" t="s">
        <v>327</v>
      </c>
      <c r="K16" s="5"/>
      <c r="L16" s="5"/>
      <c r="M16" s="5"/>
      <c r="N16" s="5"/>
      <c r="O16" s="5"/>
      <c r="P16" s="5"/>
      <c r="Q16" s="5"/>
      <c r="R16" s="5"/>
      <c r="S16" s="5"/>
      <c r="T16" s="5"/>
      <c r="U16" s="5"/>
      <c r="V16" s="5"/>
      <c r="W16" s="5"/>
      <c r="X16" s="5"/>
      <c r="Y16" s="5"/>
      <c r="Z16" s="5"/>
      <c r="AA16" s="217"/>
      <c r="AC16" s="2"/>
    </row>
    <row r="17" spans="1:29" ht="18" x14ac:dyDescent="0.25">
      <c r="A17" s="153"/>
      <c r="B17" s="5"/>
      <c r="C17" s="5"/>
      <c r="D17" s="5"/>
      <c r="E17" s="5"/>
      <c r="F17" s="12" t="s">
        <v>275</v>
      </c>
      <c r="G17" s="111">
        <f>G14*G11+'FB divider'!C39</f>
        <v>22</v>
      </c>
      <c r="H17" s="25" t="s">
        <v>4</v>
      </c>
      <c r="I17" s="8"/>
      <c r="J17" s="110" t="s">
        <v>276</v>
      </c>
      <c r="K17" s="5"/>
      <c r="L17" s="5"/>
      <c r="M17" s="5"/>
      <c r="N17" s="5"/>
      <c r="O17" s="5"/>
      <c r="P17" s="5"/>
      <c r="Q17" s="5"/>
      <c r="R17" s="5"/>
      <c r="S17" s="5"/>
      <c r="T17" s="5"/>
      <c r="U17" s="5"/>
      <c r="V17" s="5"/>
      <c r="W17" s="5"/>
      <c r="X17" s="5"/>
      <c r="Y17" s="5"/>
      <c r="Z17" s="5"/>
      <c r="AA17" s="217"/>
      <c r="AC17" s="2"/>
    </row>
    <row r="18" spans="1:29" ht="18" x14ac:dyDescent="0.25">
      <c r="A18" s="153"/>
      <c r="B18" s="5"/>
      <c r="C18" s="5"/>
      <c r="D18" s="5"/>
      <c r="E18" s="5"/>
      <c r="F18" s="12" t="s">
        <v>211</v>
      </c>
      <c r="G18" s="112">
        <f>G13*G15/G16</f>
        <v>0.10000000000000002</v>
      </c>
      <c r="H18" s="25" t="s">
        <v>5</v>
      </c>
      <c r="I18" s="8"/>
      <c r="J18" s="110" t="s">
        <v>299</v>
      </c>
      <c r="K18" s="5"/>
      <c r="L18" s="5"/>
      <c r="M18" s="5"/>
      <c r="N18" s="5"/>
      <c r="O18" s="5"/>
      <c r="P18" s="5"/>
      <c r="Q18" s="5"/>
      <c r="R18" s="5"/>
      <c r="S18" s="5"/>
      <c r="T18" s="5"/>
      <c r="U18" s="5"/>
      <c r="V18" s="5"/>
      <c r="W18" s="5"/>
      <c r="X18" s="5"/>
      <c r="Y18" s="5"/>
      <c r="Z18" s="5"/>
      <c r="AA18" s="217"/>
      <c r="AC18" s="2"/>
    </row>
    <row r="19" spans="1:29" ht="18" x14ac:dyDescent="0.35">
      <c r="A19" s="153"/>
      <c r="B19" s="5"/>
      <c r="C19" s="5"/>
      <c r="D19" s="5"/>
      <c r="E19" s="5"/>
      <c r="F19" s="6" t="s">
        <v>314</v>
      </c>
      <c r="G19" s="113">
        <f>2560*'FB divider'!C27/(G13*G15/G16)*0.001</f>
        <v>30.975999999999992</v>
      </c>
      <c r="H19" s="25" t="s">
        <v>10</v>
      </c>
      <c r="I19" s="8"/>
      <c r="J19" s="110" t="s">
        <v>302</v>
      </c>
      <c r="K19" s="5"/>
      <c r="L19" s="5"/>
      <c r="M19" s="5"/>
      <c r="N19" s="5"/>
      <c r="O19" s="5"/>
      <c r="P19" s="5"/>
      <c r="Q19" s="5"/>
      <c r="R19" s="5"/>
      <c r="S19" s="5"/>
      <c r="T19" s="5"/>
      <c r="U19" s="5"/>
      <c r="V19" s="5"/>
      <c r="W19" s="5"/>
      <c r="X19" s="5"/>
      <c r="Y19" s="5"/>
      <c r="Z19" s="5"/>
      <c r="AA19" s="217"/>
      <c r="AC19" s="2"/>
    </row>
    <row r="20" spans="1:29" ht="18" x14ac:dyDescent="0.35">
      <c r="A20" s="153"/>
      <c r="B20" s="5"/>
      <c r="C20" s="5"/>
      <c r="D20" s="5"/>
      <c r="E20" s="5"/>
      <c r="F20" s="6" t="s">
        <v>209</v>
      </c>
      <c r="G20" s="143">
        <v>31.6</v>
      </c>
      <c r="H20" s="25" t="s">
        <v>10</v>
      </c>
      <c r="I20" s="8"/>
      <c r="J20" s="110" t="s">
        <v>303</v>
      </c>
      <c r="K20" s="5"/>
      <c r="L20" s="5"/>
      <c r="M20" s="5"/>
      <c r="N20" s="5"/>
      <c r="O20" s="5"/>
      <c r="P20" s="5"/>
      <c r="Q20" s="5"/>
      <c r="R20" s="5"/>
      <c r="S20" s="5"/>
      <c r="T20" s="5"/>
      <c r="U20" s="5"/>
      <c r="V20" s="5"/>
      <c r="W20" s="5"/>
      <c r="X20" s="5"/>
      <c r="Y20" s="5"/>
      <c r="Z20" s="5"/>
      <c r="AA20" s="217"/>
      <c r="AC20" s="2"/>
    </row>
    <row r="21" spans="1:29" ht="18" x14ac:dyDescent="0.35">
      <c r="A21" s="153"/>
      <c r="B21" s="5"/>
      <c r="C21" s="5"/>
      <c r="D21" s="5"/>
      <c r="E21" s="5"/>
      <c r="F21" s="6" t="s">
        <v>210</v>
      </c>
      <c r="G21" s="113">
        <f>('FB divider'!C27*2560/G20)</f>
        <v>98.025316455696199</v>
      </c>
      <c r="H21" s="25" t="s">
        <v>177</v>
      </c>
      <c r="I21" s="8"/>
      <c r="J21" s="110" t="s">
        <v>213</v>
      </c>
      <c r="K21" s="5"/>
      <c r="L21" s="5"/>
      <c r="M21" s="5"/>
      <c r="N21" s="5"/>
      <c r="O21" s="5"/>
      <c r="P21" s="5"/>
      <c r="Q21" s="5"/>
      <c r="R21" s="5"/>
      <c r="S21" s="5"/>
      <c r="T21" s="5"/>
      <c r="U21" s="5"/>
      <c r="V21" s="5"/>
      <c r="W21" s="5"/>
      <c r="X21" s="5"/>
      <c r="Y21" s="5"/>
      <c r="Z21" s="5"/>
      <c r="AA21" s="217"/>
      <c r="AC21" s="2"/>
    </row>
    <row r="22" spans="1:29" ht="18" x14ac:dyDescent="0.25">
      <c r="A22" s="153"/>
      <c r="B22" s="5"/>
      <c r="C22" s="5"/>
      <c r="D22" s="5"/>
      <c r="E22" s="5"/>
      <c r="F22" s="12" t="s">
        <v>212</v>
      </c>
      <c r="G22" s="113">
        <f>G21*G16</f>
        <v>588.15189873417717</v>
      </c>
      <c r="H22" s="25" t="s">
        <v>177</v>
      </c>
      <c r="I22" s="8"/>
      <c r="J22" s="110" t="s">
        <v>225</v>
      </c>
      <c r="K22" s="5"/>
      <c r="L22" s="5"/>
      <c r="M22" s="5"/>
      <c r="N22" s="5"/>
      <c r="O22" s="5"/>
      <c r="P22" s="5"/>
      <c r="Q22" s="5"/>
      <c r="R22" s="5"/>
      <c r="S22" s="5"/>
      <c r="T22" s="5"/>
      <c r="U22" s="5"/>
      <c r="V22" s="5"/>
      <c r="W22" s="5"/>
      <c r="X22" s="5"/>
      <c r="Y22" s="5"/>
      <c r="Z22" s="5"/>
      <c r="AA22" s="217"/>
      <c r="AC22" s="2"/>
    </row>
    <row r="23" spans="1:29" ht="18" x14ac:dyDescent="0.25">
      <c r="A23" s="153"/>
      <c r="B23" s="5"/>
      <c r="C23" s="5"/>
      <c r="D23" s="5"/>
      <c r="E23" s="5"/>
      <c r="F23" s="12" t="s">
        <v>24</v>
      </c>
      <c r="G23" s="237">
        <f>G17*G22/1000</f>
        <v>12.939341772151899</v>
      </c>
      <c r="H23" s="25" t="s">
        <v>9</v>
      </c>
      <c r="I23" s="8"/>
      <c r="J23" s="199" t="s">
        <v>249</v>
      </c>
      <c r="K23" s="5"/>
      <c r="L23" s="5"/>
      <c r="M23" s="5"/>
      <c r="N23" s="5"/>
      <c r="O23" s="5"/>
      <c r="P23" s="5"/>
      <c r="Q23" s="5"/>
      <c r="R23" s="5"/>
      <c r="S23" s="5"/>
      <c r="T23" s="5"/>
      <c r="U23" s="5"/>
      <c r="V23" s="5"/>
      <c r="W23" s="5"/>
      <c r="X23" s="5"/>
      <c r="Y23" s="5"/>
      <c r="Z23" s="5"/>
      <c r="AA23" s="217"/>
      <c r="AC23" s="2"/>
    </row>
    <row r="24" spans="1:29" ht="18" x14ac:dyDescent="0.25">
      <c r="A24" s="153"/>
      <c r="B24" s="5"/>
      <c r="C24" s="5"/>
      <c r="D24" s="5"/>
      <c r="E24" s="5"/>
      <c r="F24" s="12" t="s">
        <v>25</v>
      </c>
      <c r="G24" s="112">
        <f>G25/G9</f>
        <v>2.4383421127881832</v>
      </c>
      <c r="H24" s="25" t="s">
        <v>5</v>
      </c>
      <c r="I24" s="8"/>
      <c r="J24" s="199" t="s">
        <v>248</v>
      </c>
      <c r="K24" s="5"/>
      <c r="L24" s="5"/>
      <c r="M24" s="5"/>
      <c r="N24" s="5"/>
      <c r="O24" s="5"/>
      <c r="P24" s="5"/>
      <c r="Q24" s="5"/>
      <c r="R24" s="5"/>
      <c r="S24" s="5"/>
      <c r="T24" s="5"/>
      <c r="U24" s="5"/>
      <c r="V24" s="5"/>
      <c r="W24" s="5"/>
      <c r="X24" s="5"/>
      <c r="Y24" s="5"/>
      <c r="Z24" s="5"/>
      <c r="AA24" s="217"/>
      <c r="AC24" s="2"/>
    </row>
    <row r="25" spans="1:29" ht="18.75" thickBot="1" x14ac:dyDescent="0.3">
      <c r="A25" s="26"/>
      <c r="B25" s="27"/>
      <c r="C25" s="27"/>
      <c r="D25" s="27"/>
      <c r="E25" s="27"/>
      <c r="F25" s="28" t="s">
        <v>26</v>
      </c>
      <c r="G25" s="231">
        <f>G23/G37*100</f>
        <v>14.6300526767291</v>
      </c>
      <c r="H25" s="29" t="s">
        <v>9</v>
      </c>
      <c r="I25" s="8"/>
      <c r="J25" s="199" t="s">
        <v>250</v>
      </c>
      <c r="K25" s="5"/>
      <c r="L25" s="5"/>
      <c r="M25" s="5"/>
      <c r="N25" s="5"/>
      <c r="O25" s="5"/>
      <c r="P25" s="5"/>
      <c r="Q25" s="5"/>
      <c r="R25" s="5"/>
      <c r="S25" s="5"/>
      <c r="T25" s="5"/>
      <c r="U25" s="5"/>
      <c r="V25" s="5"/>
      <c r="W25" s="5"/>
      <c r="X25" s="5"/>
      <c r="Y25" s="5"/>
      <c r="Z25" s="5"/>
      <c r="AA25" s="217"/>
      <c r="AC25" s="2"/>
    </row>
    <row r="26" spans="1:29" ht="15.75" thickBot="1" x14ac:dyDescent="0.3">
      <c r="A26" s="7"/>
      <c r="B26" s="19"/>
      <c r="C26" s="19"/>
      <c r="D26" s="19"/>
      <c r="E26" s="19"/>
      <c r="F26" s="19"/>
      <c r="G26" s="19"/>
      <c r="H26" s="19"/>
      <c r="I26" s="5"/>
      <c r="J26" s="5"/>
      <c r="K26" s="5"/>
      <c r="L26" s="5"/>
      <c r="M26" s="5"/>
      <c r="N26" s="5"/>
      <c r="O26" s="5"/>
      <c r="P26" s="5"/>
      <c r="Q26" s="5"/>
      <c r="R26" s="5"/>
      <c r="S26" s="5"/>
      <c r="T26" s="5"/>
      <c r="U26" s="5"/>
      <c r="V26" s="5"/>
      <c r="W26" s="5"/>
      <c r="X26" s="5"/>
      <c r="Y26" s="5"/>
      <c r="Z26" s="5"/>
      <c r="AA26" s="217"/>
      <c r="AC26" s="2"/>
    </row>
    <row r="27" spans="1:29" ht="15.75" thickBot="1" x14ac:dyDescent="0.3">
      <c r="A27" s="35" t="s">
        <v>27</v>
      </c>
      <c r="B27" s="40"/>
      <c r="C27" s="40"/>
      <c r="D27" s="40"/>
      <c r="E27" s="40"/>
      <c r="F27" s="37" t="s">
        <v>184</v>
      </c>
      <c r="G27" s="38" t="s">
        <v>2</v>
      </c>
      <c r="H27" s="39" t="s">
        <v>3</v>
      </c>
      <c r="I27" s="8"/>
      <c r="J27" s="9"/>
      <c r="K27" s="5"/>
      <c r="L27" s="5"/>
      <c r="M27" s="5"/>
      <c r="N27" s="5"/>
      <c r="O27" s="5"/>
      <c r="P27" s="5"/>
      <c r="Q27" s="5"/>
      <c r="R27" s="5"/>
      <c r="S27" s="5"/>
      <c r="T27" s="5"/>
      <c r="U27" s="5"/>
      <c r="V27" s="5"/>
      <c r="W27" s="5"/>
      <c r="X27" s="5"/>
      <c r="Y27" s="5"/>
      <c r="Z27" s="5"/>
      <c r="AA27" s="217"/>
      <c r="AC27" s="2"/>
    </row>
    <row r="28" spans="1:29" ht="18" x14ac:dyDescent="0.25">
      <c r="A28" s="104"/>
      <c r="B28" s="21"/>
      <c r="C28" s="21"/>
      <c r="D28" s="21"/>
      <c r="E28" s="21"/>
      <c r="F28" s="22" t="s">
        <v>217</v>
      </c>
      <c r="G28" s="207">
        <f>'FB divider'!C33</f>
        <v>356.58914728682169</v>
      </c>
      <c r="H28" s="23" t="s">
        <v>10</v>
      </c>
      <c r="I28" s="99"/>
      <c r="J28" s="100" t="s">
        <v>169</v>
      </c>
      <c r="K28" s="8"/>
      <c r="L28" s="5"/>
      <c r="M28" s="5"/>
      <c r="N28" s="169"/>
      <c r="O28" s="5"/>
      <c r="P28" s="5"/>
      <c r="Q28" s="5"/>
      <c r="R28" s="5"/>
      <c r="S28" s="5"/>
      <c r="T28" s="5"/>
      <c r="U28" s="5"/>
      <c r="V28" s="5"/>
      <c r="W28" s="5"/>
      <c r="X28" s="5"/>
      <c r="Y28" s="5"/>
      <c r="Z28" s="5"/>
      <c r="AA28" s="217"/>
      <c r="AC28" s="2"/>
    </row>
    <row r="29" spans="1:29" ht="18" x14ac:dyDescent="0.25">
      <c r="A29" s="105"/>
      <c r="B29" s="10"/>
      <c r="C29" s="10"/>
      <c r="D29" s="10"/>
      <c r="E29" s="10"/>
      <c r="F29" s="12" t="s">
        <v>218</v>
      </c>
      <c r="G29" s="113">
        <f>'FB divider'!C34</f>
        <v>35.986060735367332</v>
      </c>
      <c r="H29" s="25" t="s">
        <v>10</v>
      </c>
      <c r="I29" s="8"/>
      <c r="J29" s="100" t="s">
        <v>170</v>
      </c>
      <c r="K29" s="5"/>
      <c r="L29" s="5"/>
      <c r="M29" s="5"/>
      <c r="N29" s="5"/>
      <c r="O29" s="5"/>
      <c r="P29" s="5"/>
      <c r="Q29" s="5"/>
      <c r="R29" s="5"/>
      <c r="S29" s="5"/>
      <c r="T29" s="5"/>
      <c r="U29" s="5"/>
      <c r="V29" s="5"/>
      <c r="W29" s="5"/>
      <c r="X29" s="5"/>
      <c r="Y29" s="5"/>
      <c r="Z29" s="5"/>
      <c r="AA29" s="217"/>
      <c r="AC29" s="2"/>
    </row>
    <row r="30" spans="1:29" ht="18" x14ac:dyDescent="0.25">
      <c r="A30" s="105"/>
      <c r="B30" s="5"/>
      <c r="C30" s="5"/>
      <c r="D30" s="5"/>
      <c r="E30" s="5"/>
      <c r="F30" s="12" t="s">
        <v>172</v>
      </c>
      <c r="G30" s="208">
        <v>453</v>
      </c>
      <c r="H30" s="25" t="s">
        <v>10</v>
      </c>
      <c r="I30" s="8"/>
      <c r="J30" s="48" t="s">
        <v>216</v>
      </c>
      <c r="K30" s="5"/>
      <c r="L30" s="5"/>
      <c r="M30" s="5"/>
      <c r="N30" s="5"/>
      <c r="O30" s="5"/>
      <c r="P30" s="5"/>
      <c r="Q30" s="5"/>
      <c r="R30" s="5"/>
      <c r="S30" s="5"/>
      <c r="T30" s="5"/>
      <c r="U30" s="5"/>
      <c r="V30" s="5"/>
      <c r="W30" s="5"/>
      <c r="X30" s="5"/>
      <c r="Y30" s="5"/>
      <c r="Z30" s="5"/>
      <c r="AA30" s="217"/>
      <c r="AC30" s="2"/>
    </row>
    <row r="31" spans="1:29" ht="18" x14ac:dyDescent="0.25">
      <c r="A31" s="105"/>
      <c r="B31" s="5"/>
      <c r="C31" s="5"/>
      <c r="D31" s="5"/>
      <c r="E31" s="5"/>
      <c r="F31" s="12" t="s">
        <v>171</v>
      </c>
      <c r="G31" s="208">
        <v>100</v>
      </c>
      <c r="H31" s="25" t="s">
        <v>10</v>
      </c>
      <c r="I31" s="8"/>
      <c r="J31" s="47" t="s">
        <v>219</v>
      </c>
      <c r="K31" s="5"/>
      <c r="L31" s="5"/>
      <c r="M31" s="5"/>
      <c r="N31" s="5"/>
      <c r="O31" s="5"/>
      <c r="P31" s="5"/>
      <c r="Q31" s="5"/>
      <c r="R31" s="5"/>
      <c r="S31" s="5"/>
      <c r="T31" s="5"/>
      <c r="U31" s="5"/>
      <c r="V31" s="5"/>
      <c r="W31" s="5"/>
      <c r="X31" s="5"/>
      <c r="Y31" s="5"/>
      <c r="Z31" s="5"/>
      <c r="AA31" s="217"/>
      <c r="AC31" s="2"/>
    </row>
    <row r="32" spans="1:29" ht="18" x14ac:dyDescent="0.25">
      <c r="A32" s="105"/>
      <c r="B32" s="5"/>
      <c r="C32" s="5"/>
      <c r="D32" s="5"/>
      <c r="E32" s="5"/>
      <c r="F32" s="12" t="s">
        <v>173</v>
      </c>
      <c r="G32" s="208">
        <v>0</v>
      </c>
      <c r="H32" s="25" t="s">
        <v>10</v>
      </c>
      <c r="I32" s="8"/>
      <c r="J32" s="47" t="s">
        <v>305</v>
      </c>
      <c r="K32" s="5"/>
      <c r="L32" s="5"/>
      <c r="M32" s="5"/>
      <c r="N32" s="5"/>
      <c r="O32" s="5"/>
      <c r="P32" s="5"/>
      <c r="Q32" s="5"/>
      <c r="R32" s="5"/>
      <c r="S32" s="5"/>
      <c r="T32" s="5"/>
      <c r="U32" s="5"/>
      <c r="V32" s="5"/>
      <c r="W32" s="5"/>
      <c r="X32" s="5"/>
      <c r="Y32" s="5"/>
      <c r="Z32" s="5"/>
      <c r="AA32" s="217"/>
      <c r="AC32" s="2"/>
    </row>
    <row r="33" spans="1:29" ht="18" x14ac:dyDescent="0.35">
      <c r="A33" s="105"/>
      <c r="B33" s="5"/>
      <c r="C33" s="5"/>
      <c r="D33" s="5"/>
      <c r="E33" s="5"/>
      <c r="F33" s="6" t="s">
        <v>31</v>
      </c>
      <c r="G33" s="113">
        <f>'FB divider'!C18</f>
        <v>24.2224</v>
      </c>
      <c r="H33" s="25" t="s">
        <v>4</v>
      </c>
      <c r="I33" s="8"/>
      <c r="J33" s="47" t="s">
        <v>291</v>
      </c>
      <c r="K33" s="5"/>
      <c r="L33" s="5"/>
      <c r="M33" s="5"/>
      <c r="N33" s="5"/>
      <c r="O33" s="5"/>
      <c r="P33" s="224"/>
      <c r="Q33" s="5"/>
      <c r="R33" s="5"/>
      <c r="S33" s="5"/>
      <c r="T33" s="5"/>
      <c r="U33" s="5"/>
      <c r="V33" s="5"/>
      <c r="W33" s="5"/>
      <c r="X33" s="5"/>
      <c r="Y33" s="5"/>
      <c r="Z33" s="5"/>
      <c r="AA33" s="217"/>
      <c r="AC33" s="2"/>
    </row>
    <row r="34" spans="1:29" ht="18" x14ac:dyDescent="0.35">
      <c r="A34" s="105"/>
      <c r="B34" s="5"/>
      <c r="C34" s="5"/>
      <c r="D34" s="5"/>
      <c r="E34" s="5"/>
      <c r="F34" s="6" t="s">
        <v>30</v>
      </c>
      <c r="G34" s="113">
        <f>'FB divider'!C19</f>
        <v>6.6913</v>
      </c>
      <c r="H34" s="226" t="s">
        <v>4</v>
      </c>
      <c r="I34" s="8"/>
      <c r="J34" s="47" t="s">
        <v>285</v>
      </c>
      <c r="K34" s="5"/>
      <c r="L34" s="5"/>
      <c r="M34" s="5"/>
      <c r="N34" s="5"/>
      <c r="O34" s="5"/>
      <c r="P34" s="5"/>
      <c r="Q34" s="5"/>
      <c r="R34" s="224"/>
      <c r="S34" s="5"/>
      <c r="T34" s="5"/>
      <c r="U34" s="5"/>
      <c r="V34" s="5"/>
      <c r="W34" s="5"/>
      <c r="X34" s="5"/>
      <c r="Y34" s="5"/>
      <c r="Z34" s="5"/>
      <c r="AA34" s="217"/>
      <c r="AC34" s="2"/>
    </row>
    <row r="35" spans="1:29" ht="18" x14ac:dyDescent="0.35">
      <c r="A35" s="105"/>
      <c r="B35" s="5"/>
      <c r="C35" s="5"/>
      <c r="D35" s="5"/>
      <c r="E35" s="5"/>
      <c r="F35" s="6" t="s">
        <v>176</v>
      </c>
      <c r="G35" s="113">
        <f>'FB divider'!C21</f>
        <v>23.401744600000001</v>
      </c>
      <c r="H35" s="25" t="s">
        <v>4</v>
      </c>
      <c r="I35" s="8"/>
      <c r="J35" s="47" t="s">
        <v>174</v>
      </c>
      <c r="K35" s="5"/>
      <c r="L35" s="5"/>
      <c r="M35" s="5"/>
      <c r="N35" s="5"/>
      <c r="O35" s="5"/>
      <c r="P35" s="5"/>
      <c r="Q35" s="5"/>
      <c r="R35" s="5"/>
      <c r="S35" s="5"/>
      <c r="T35" s="5"/>
      <c r="U35" s="5"/>
      <c r="V35" s="5"/>
      <c r="W35" s="5"/>
      <c r="X35" s="5"/>
      <c r="Y35" s="5"/>
      <c r="Z35" s="5"/>
      <c r="AA35" s="217"/>
      <c r="AC35" s="2"/>
    </row>
    <row r="36" spans="1:29" ht="18" x14ac:dyDescent="0.35">
      <c r="A36" s="105"/>
      <c r="B36" s="5"/>
      <c r="C36" s="5"/>
      <c r="D36" s="5"/>
      <c r="E36" s="5"/>
      <c r="F36" s="6" t="s">
        <v>270</v>
      </c>
      <c r="G36" s="113">
        <f>'FB divider'!C22</f>
        <v>22.430679999999999</v>
      </c>
      <c r="H36" s="25" t="s">
        <v>4</v>
      </c>
      <c r="I36" s="8"/>
      <c r="J36" s="47" t="s">
        <v>277</v>
      </c>
      <c r="K36" s="5"/>
      <c r="L36" s="5"/>
      <c r="M36" s="5"/>
      <c r="N36" s="5"/>
      <c r="O36" s="5"/>
      <c r="P36" s="5"/>
      <c r="Q36" s="5"/>
      <c r="R36" s="5"/>
      <c r="S36" s="5"/>
      <c r="T36" s="5"/>
      <c r="U36" s="5"/>
      <c r="V36" s="5"/>
      <c r="W36" s="5"/>
      <c r="X36" s="5"/>
      <c r="Y36" s="5"/>
      <c r="Z36" s="5"/>
      <c r="AA36" s="217"/>
      <c r="AC36" s="2"/>
    </row>
    <row r="37" spans="1:29" x14ac:dyDescent="0.25">
      <c r="A37" s="105"/>
      <c r="B37" s="5"/>
      <c r="C37" s="5"/>
      <c r="D37" s="5"/>
      <c r="E37" s="5"/>
      <c r="F37" s="6" t="s">
        <v>175</v>
      </c>
      <c r="G37" s="113">
        <f>Boost!J12*100</f>
        <v>88.443576096848346</v>
      </c>
      <c r="H37" s="25" t="s">
        <v>12</v>
      </c>
      <c r="I37" s="8"/>
      <c r="J37" s="47" t="s">
        <v>267</v>
      </c>
      <c r="K37" s="5"/>
      <c r="L37" s="5"/>
      <c r="M37" s="5"/>
      <c r="N37" s="5"/>
      <c r="O37" s="5"/>
      <c r="P37" s="5"/>
      <c r="Q37" s="5"/>
      <c r="R37" s="5"/>
      <c r="S37" s="5"/>
      <c r="T37" s="5"/>
      <c r="U37" s="5"/>
      <c r="V37" s="5"/>
      <c r="W37" s="5"/>
      <c r="X37" s="5"/>
      <c r="Y37" s="5"/>
      <c r="Z37" s="5"/>
      <c r="AA37" s="217"/>
      <c r="AC37" s="2"/>
    </row>
    <row r="38" spans="1:29" ht="18" x14ac:dyDescent="0.35">
      <c r="A38" s="42"/>
      <c r="B38" s="8"/>
      <c r="C38" s="5"/>
      <c r="D38" s="5"/>
      <c r="E38" s="5"/>
      <c r="F38" s="6" t="s">
        <v>223</v>
      </c>
      <c r="G38" s="266">
        <v>400</v>
      </c>
      <c r="H38" s="25" t="s">
        <v>13</v>
      </c>
      <c r="I38" s="8"/>
      <c r="J38" s="132" t="s">
        <v>220</v>
      </c>
      <c r="K38" s="5"/>
      <c r="L38" s="5"/>
      <c r="M38" s="5"/>
      <c r="N38" s="5"/>
      <c r="O38" s="5"/>
      <c r="P38" s="5"/>
      <c r="Q38" s="5"/>
      <c r="R38" s="5"/>
      <c r="S38" s="5"/>
      <c r="T38" s="5"/>
      <c r="U38" s="5"/>
      <c r="V38" s="5"/>
      <c r="W38" s="5"/>
      <c r="X38" s="5"/>
      <c r="Y38" s="5"/>
      <c r="Z38" s="5"/>
      <c r="AA38" s="217"/>
      <c r="AC38" s="2"/>
    </row>
    <row r="39" spans="1:29" ht="18" x14ac:dyDescent="0.35">
      <c r="A39" s="42"/>
      <c r="B39" s="8"/>
      <c r="C39" s="5"/>
      <c r="D39" s="5"/>
      <c r="E39" s="5"/>
      <c r="F39" s="6" t="s">
        <v>178</v>
      </c>
      <c r="G39" s="209">
        <f>IF(G38=303,3.92,IF(G38=400,4.75,IF(G38=606,5.76,IF(G38=800,7.87,IF(G38=1000,11,IF(G38=12500,17.8,IF(G38=1667,42.2,140)))))))</f>
        <v>4.75</v>
      </c>
      <c r="H39" s="25" t="s">
        <v>10</v>
      </c>
      <c r="I39" s="8"/>
      <c r="J39" s="132" t="s">
        <v>268</v>
      </c>
      <c r="K39" s="5"/>
      <c r="L39" s="5"/>
      <c r="M39" s="5"/>
      <c r="N39" s="5"/>
      <c r="O39" s="5"/>
      <c r="P39" s="5"/>
      <c r="Q39" s="5"/>
      <c r="R39" s="5"/>
      <c r="S39" s="5"/>
      <c r="T39" s="5"/>
      <c r="U39" s="5"/>
      <c r="V39" s="5"/>
      <c r="W39" s="5"/>
      <c r="X39" s="5"/>
      <c r="Y39" s="5"/>
      <c r="Z39" s="5"/>
      <c r="AA39" s="217"/>
      <c r="AC39" s="2"/>
    </row>
    <row r="40" spans="1:29" x14ac:dyDescent="0.25">
      <c r="A40" s="42"/>
      <c r="B40" s="8"/>
      <c r="C40" s="5"/>
      <c r="D40" s="5"/>
      <c r="E40" s="5"/>
      <c r="F40" s="6" t="s">
        <v>237</v>
      </c>
      <c r="G40" s="200">
        <f>IF(G38 &lt;= 400,22, IF(G38 &lt;= 800, 15,10))</f>
        <v>22</v>
      </c>
      <c r="H40" s="25" t="s">
        <v>239</v>
      </c>
      <c r="I40" s="8"/>
      <c r="J40" s="47" t="s">
        <v>261</v>
      </c>
      <c r="K40" s="5"/>
      <c r="L40" s="5"/>
      <c r="M40" s="5"/>
      <c r="N40" s="5"/>
      <c r="O40" s="5"/>
      <c r="P40" s="5"/>
      <c r="Q40" s="5"/>
      <c r="R40" s="5"/>
      <c r="S40" s="5"/>
      <c r="T40" s="5"/>
      <c r="U40" s="5"/>
      <c r="V40" s="5"/>
      <c r="W40" s="5"/>
      <c r="X40" s="5"/>
      <c r="Y40" s="5"/>
      <c r="Z40" s="5"/>
      <c r="AA40" s="217"/>
      <c r="AC40" s="2"/>
    </row>
    <row r="41" spans="1:29" x14ac:dyDescent="0.25">
      <c r="A41" s="153"/>
      <c r="B41" s="8"/>
      <c r="C41" s="5"/>
      <c r="D41" s="5"/>
      <c r="E41" s="5"/>
      <c r="F41" s="6" t="s">
        <v>238</v>
      </c>
      <c r="G41" s="210">
        <v>22</v>
      </c>
      <c r="H41" s="25" t="s">
        <v>239</v>
      </c>
      <c r="I41" s="8"/>
      <c r="J41" s="47" t="s">
        <v>240</v>
      </c>
      <c r="K41" s="5"/>
      <c r="L41" s="5"/>
      <c r="M41" s="5"/>
      <c r="N41" s="5"/>
      <c r="O41" s="5"/>
      <c r="P41" s="5"/>
      <c r="Q41" s="5"/>
      <c r="R41" s="5"/>
      <c r="S41" s="5"/>
      <c r="T41" s="5"/>
      <c r="U41" s="5"/>
      <c r="V41" s="5"/>
      <c r="W41" s="5"/>
      <c r="X41" s="5"/>
      <c r="Y41" s="5"/>
      <c r="Z41" s="5"/>
      <c r="AA41" s="217"/>
      <c r="AC41" s="2"/>
    </row>
    <row r="42" spans="1:29" x14ac:dyDescent="0.25">
      <c r="A42" s="105"/>
      <c r="B42" s="8"/>
      <c r="C42" s="5"/>
      <c r="D42" s="5"/>
      <c r="E42" s="5"/>
      <c r="F42" s="6" t="s">
        <v>179</v>
      </c>
      <c r="G42" s="267">
        <v>25</v>
      </c>
      <c r="H42" s="25" t="s">
        <v>15</v>
      </c>
      <c r="I42" s="8"/>
      <c r="J42" s="47" t="s">
        <v>224</v>
      </c>
      <c r="K42" s="5"/>
      <c r="L42" s="5"/>
      <c r="M42" s="5"/>
      <c r="N42" s="5"/>
      <c r="O42" s="5"/>
      <c r="P42" s="5"/>
      <c r="Q42" s="5"/>
      <c r="R42" s="5"/>
      <c r="S42" s="5"/>
      <c r="T42" s="5"/>
      <c r="U42" s="5"/>
      <c r="V42" s="5"/>
      <c r="W42" s="5"/>
      <c r="X42" s="5"/>
      <c r="Y42" s="5"/>
      <c r="Z42" s="5"/>
      <c r="AA42" s="217"/>
      <c r="AC42" s="2"/>
    </row>
    <row r="43" spans="1:29" ht="18" x14ac:dyDescent="0.35">
      <c r="A43" s="42"/>
      <c r="B43" s="8"/>
      <c r="C43" s="5"/>
      <c r="D43" s="5"/>
      <c r="E43" s="5"/>
      <c r="F43" s="6" t="s">
        <v>207</v>
      </c>
      <c r="G43" s="212">
        <f>Boost!Ipp</f>
        <v>0.45226829181207862</v>
      </c>
      <c r="H43" s="25" t="s">
        <v>5</v>
      </c>
      <c r="I43" s="8"/>
      <c r="J43" s="47" t="s">
        <v>264</v>
      </c>
      <c r="K43" s="5"/>
      <c r="L43" s="5"/>
      <c r="M43" s="5"/>
      <c r="N43" s="5"/>
      <c r="O43" s="5"/>
      <c r="P43" s="5"/>
      <c r="Q43" s="5"/>
      <c r="R43" s="5"/>
      <c r="S43" s="5"/>
      <c r="T43" s="5"/>
      <c r="U43" s="5"/>
      <c r="V43" s="5"/>
      <c r="W43" s="5"/>
      <c r="X43" s="5"/>
      <c r="Y43" s="5"/>
      <c r="Z43" s="5"/>
      <c r="AA43" s="217"/>
      <c r="AC43" s="2"/>
    </row>
    <row r="44" spans="1:29" ht="18" x14ac:dyDescent="0.35">
      <c r="A44" s="42"/>
      <c r="B44" s="8"/>
      <c r="C44" s="5"/>
      <c r="D44" s="5"/>
      <c r="E44" s="5"/>
      <c r="F44" s="6" t="s">
        <v>206</v>
      </c>
      <c r="G44" s="212">
        <f>Boost!E10</f>
        <v>2.6644762319897546</v>
      </c>
      <c r="H44" s="25" t="s">
        <v>5</v>
      </c>
      <c r="I44" s="8"/>
      <c r="J44" s="47" t="s">
        <v>262</v>
      </c>
      <c r="K44" s="5"/>
      <c r="L44" s="5"/>
      <c r="M44" s="5"/>
      <c r="N44" s="5"/>
      <c r="O44" s="5"/>
      <c r="P44" s="5"/>
      <c r="Q44" s="5"/>
      <c r="R44" s="5"/>
      <c r="S44" s="5"/>
      <c r="T44" s="5"/>
      <c r="U44" s="5"/>
      <c r="V44" s="5"/>
      <c r="W44" s="5"/>
      <c r="X44" s="5"/>
      <c r="Y44" s="5"/>
      <c r="Z44" s="5"/>
      <c r="AA44" s="217"/>
      <c r="AC44" s="2"/>
    </row>
    <row r="45" spans="1:29" ht="18" x14ac:dyDescent="0.35">
      <c r="A45" s="42"/>
      <c r="B45" s="8"/>
      <c r="C45" s="5"/>
      <c r="D45" s="5"/>
      <c r="E45" s="5"/>
      <c r="F45" s="6" t="s">
        <v>235</v>
      </c>
      <c r="G45" s="213">
        <f>180/(G44*1.3)</f>
        <v>51.965762275964963</v>
      </c>
      <c r="H45" s="25" t="s">
        <v>15</v>
      </c>
      <c r="I45" s="8"/>
      <c r="J45" s="47" t="s">
        <v>329</v>
      </c>
      <c r="K45" s="5"/>
      <c r="L45" s="5"/>
      <c r="M45" s="5"/>
      <c r="N45" s="5"/>
      <c r="O45" s="5"/>
      <c r="P45" s="5"/>
      <c r="Q45" s="5"/>
      <c r="R45" s="5"/>
      <c r="S45" s="5"/>
      <c r="T45" s="5"/>
      <c r="U45" s="5"/>
      <c r="V45" s="5"/>
      <c r="W45" s="5"/>
      <c r="X45" s="5"/>
      <c r="Y45" s="5"/>
      <c r="Z45" s="5"/>
      <c r="AA45" s="217"/>
      <c r="AC45" s="2"/>
    </row>
    <row r="46" spans="1:29" ht="18" x14ac:dyDescent="0.35">
      <c r="A46" s="42"/>
      <c r="B46" s="8"/>
      <c r="C46" s="5"/>
      <c r="D46" s="5"/>
      <c r="E46" s="5"/>
      <c r="F46" s="6" t="s">
        <v>205</v>
      </c>
      <c r="G46" s="214">
        <v>50</v>
      </c>
      <c r="H46" s="25" t="s">
        <v>15</v>
      </c>
      <c r="I46" s="8"/>
      <c r="J46" s="47" t="s">
        <v>251</v>
      </c>
      <c r="K46" s="5"/>
      <c r="L46" s="5"/>
      <c r="M46" s="5"/>
      <c r="N46" s="5"/>
      <c r="O46" s="5"/>
      <c r="P46" s="5"/>
      <c r="Q46" s="5"/>
      <c r="R46" s="5"/>
      <c r="S46" s="5"/>
      <c r="T46" s="5"/>
      <c r="U46" s="5"/>
      <c r="V46" s="5"/>
      <c r="W46" s="5"/>
      <c r="X46" s="5"/>
      <c r="Y46" s="5"/>
      <c r="Z46" s="5"/>
      <c r="AA46" s="217"/>
      <c r="AC46" s="2"/>
    </row>
    <row r="47" spans="1:29" ht="18" x14ac:dyDescent="0.35">
      <c r="A47" s="42"/>
      <c r="B47" s="8"/>
      <c r="C47" s="5"/>
      <c r="D47" s="5"/>
      <c r="E47" s="5"/>
      <c r="F47" s="6" t="s">
        <v>293</v>
      </c>
      <c r="G47" s="215">
        <f>G44^2*G46*0.001</f>
        <v>0.35497167954191605</v>
      </c>
      <c r="H47" s="25" t="s">
        <v>9</v>
      </c>
      <c r="I47" s="8"/>
      <c r="J47" s="47" t="s">
        <v>294</v>
      </c>
      <c r="K47" s="5"/>
      <c r="L47" s="5"/>
      <c r="M47" s="5"/>
      <c r="N47" s="5"/>
      <c r="O47" s="5"/>
      <c r="P47" s="5"/>
      <c r="Q47" s="5"/>
      <c r="R47" s="5"/>
      <c r="S47" s="5"/>
      <c r="T47" s="5"/>
      <c r="U47" s="5"/>
      <c r="V47" s="5"/>
      <c r="W47" s="5"/>
      <c r="X47" s="5"/>
      <c r="Y47" s="5"/>
      <c r="Z47" s="5"/>
      <c r="AA47" s="217"/>
      <c r="AC47" s="2"/>
    </row>
    <row r="48" spans="1:29" ht="18" x14ac:dyDescent="0.35">
      <c r="A48" s="42"/>
      <c r="B48" s="8"/>
      <c r="C48" s="5"/>
      <c r="D48" s="5"/>
      <c r="E48" s="5"/>
      <c r="F48" s="6" t="s">
        <v>271</v>
      </c>
      <c r="G48" s="216">
        <f>180/G46</f>
        <v>3.6</v>
      </c>
      <c r="H48" s="25" t="s">
        <v>5</v>
      </c>
      <c r="I48" s="8"/>
      <c r="J48" s="47" t="s">
        <v>295</v>
      </c>
      <c r="K48" s="5"/>
      <c r="L48" s="5"/>
      <c r="M48" s="5"/>
      <c r="N48" s="5"/>
      <c r="O48" s="5"/>
      <c r="P48" s="5"/>
      <c r="Q48" s="5"/>
      <c r="R48" s="5"/>
      <c r="S48" s="5"/>
      <c r="T48" s="5"/>
      <c r="U48" s="5"/>
      <c r="V48" s="5"/>
      <c r="W48" s="5"/>
      <c r="X48" s="5"/>
      <c r="Y48" s="5"/>
      <c r="Z48" s="5"/>
      <c r="AA48" s="217"/>
      <c r="AC48" s="2"/>
    </row>
    <row r="49" spans="1:29" ht="18" x14ac:dyDescent="0.35">
      <c r="A49" s="108"/>
      <c r="B49" s="109"/>
      <c r="C49" s="9"/>
      <c r="D49" s="9"/>
      <c r="E49" s="9"/>
      <c r="F49" s="6" t="s">
        <v>228</v>
      </c>
      <c r="G49" s="216">
        <f>Boost!IL*1.3</f>
        <v>3.16984471190883</v>
      </c>
      <c r="H49" s="25" t="s">
        <v>5</v>
      </c>
      <c r="I49" s="8"/>
      <c r="J49" s="47" t="s">
        <v>296</v>
      </c>
      <c r="K49" s="5"/>
      <c r="L49" s="5"/>
      <c r="M49" s="5"/>
      <c r="N49" s="5"/>
      <c r="O49" s="5"/>
      <c r="P49" s="5"/>
      <c r="Q49" s="5"/>
      <c r="R49" s="5"/>
      <c r="S49" s="5"/>
      <c r="T49" s="5"/>
      <c r="U49" s="5"/>
      <c r="V49" s="5"/>
      <c r="W49" s="5"/>
      <c r="X49" s="5"/>
      <c r="Y49" s="5"/>
      <c r="Z49" s="5"/>
      <c r="AA49" s="217"/>
      <c r="AC49" s="2"/>
    </row>
    <row r="50" spans="1:29" x14ac:dyDescent="0.25">
      <c r="A50" s="42"/>
      <c r="B50" s="5"/>
      <c r="C50" s="5"/>
      <c r="D50" s="5"/>
      <c r="E50" s="5"/>
      <c r="F50" s="6" t="s">
        <v>263</v>
      </c>
      <c r="G50" s="216">
        <f>G44*1.3</f>
        <v>3.4638191015866813</v>
      </c>
      <c r="H50" s="25" t="s">
        <v>5</v>
      </c>
      <c r="I50" s="109"/>
      <c r="J50" s="47" t="s">
        <v>297</v>
      </c>
      <c r="K50" s="5"/>
      <c r="L50" s="5"/>
      <c r="M50" s="5"/>
      <c r="N50" s="5"/>
      <c r="O50" s="5"/>
      <c r="P50" s="5"/>
      <c r="Q50" s="5"/>
      <c r="R50" s="5"/>
      <c r="S50" s="5"/>
      <c r="T50" s="5"/>
      <c r="U50" s="5"/>
      <c r="V50" s="5"/>
      <c r="W50" s="5"/>
      <c r="X50" s="5"/>
      <c r="Y50" s="5"/>
      <c r="Z50" s="5"/>
      <c r="AA50" s="217"/>
      <c r="AC50" s="2"/>
    </row>
    <row r="51" spans="1:29" ht="15.75" thickBot="1" x14ac:dyDescent="0.3">
      <c r="A51" s="115"/>
      <c r="B51" s="107"/>
      <c r="C51" s="19"/>
      <c r="D51" s="19"/>
      <c r="E51" s="19"/>
      <c r="F51" s="6" t="s">
        <v>221</v>
      </c>
      <c r="G51" s="268">
        <v>25</v>
      </c>
      <c r="H51" s="29" t="s">
        <v>15</v>
      </c>
      <c r="I51" s="7"/>
      <c r="J51" s="221" t="s">
        <v>328</v>
      </c>
      <c r="K51" s="5"/>
      <c r="L51" s="5"/>
      <c r="M51" s="5"/>
      <c r="N51" s="5"/>
      <c r="O51" s="5"/>
      <c r="P51" s="5"/>
      <c r="Q51" s="5"/>
      <c r="R51" s="5"/>
      <c r="S51" s="5"/>
      <c r="T51" s="5"/>
      <c r="U51" s="5"/>
      <c r="V51" s="5"/>
      <c r="W51" s="5"/>
      <c r="X51" s="5"/>
      <c r="Y51" s="5"/>
      <c r="Z51" s="5"/>
      <c r="AA51" s="217"/>
      <c r="AC51" s="2"/>
    </row>
    <row r="52" spans="1:29" ht="15.75" thickBot="1" x14ac:dyDescent="0.3">
      <c r="A52" s="115"/>
      <c r="B52" s="107"/>
      <c r="C52" s="19"/>
      <c r="D52" s="19"/>
      <c r="E52" s="19"/>
      <c r="F52" s="6"/>
      <c r="G52" s="114"/>
      <c r="H52" s="220"/>
      <c r="I52" s="7"/>
      <c r="J52" s="131"/>
      <c r="K52" s="5"/>
      <c r="L52" s="5"/>
      <c r="M52" s="5"/>
      <c r="N52" s="5"/>
      <c r="O52" s="5"/>
      <c r="P52" s="5"/>
      <c r="Q52" s="5"/>
      <c r="R52" s="5"/>
      <c r="S52" s="5"/>
      <c r="T52" s="5"/>
      <c r="U52" s="5"/>
      <c r="V52" s="5"/>
      <c r="W52" s="5"/>
      <c r="X52" s="5"/>
      <c r="Y52" s="5"/>
      <c r="Z52" s="5"/>
      <c r="AA52" s="217"/>
      <c r="AC52" s="2"/>
    </row>
    <row r="53" spans="1:29" ht="15.75" thickBot="1" x14ac:dyDescent="0.3">
      <c r="A53" s="116" t="s">
        <v>265</v>
      </c>
      <c r="B53" s="107"/>
      <c r="C53" s="19"/>
      <c r="D53" s="19"/>
      <c r="E53" s="19"/>
      <c r="F53" s="37" t="s">
        <v>184</v>
      </c>
      <c r="G53" s="38" t="s">
        <v>2</v>
      </c>
      <c r="H53" s="39" t="s">
        <v>3</v>
      </c>
      <c r="I53" s="7"/>
      <c r="J53" s="131"/>
      <c r="K53" s="5"/>
      <c r="L53" s="5"/>
      <c r="M53" s="5"/>
      <c r="N53" s="5"/>
      <c r="O53" s="5"/>
      <c r="P53" s="5"/>
      <c r="Q53" s="5"/>
      <c r="R53" s="5"/>
      <c r="S53" s="5"/>
      <c r="T53" s="5"/>
      <c r="U53" s="5"/>
      <c r="V53" s="5"/>
      <c r="W53" s="5"/>
      <c r="X53" s="5"/>
      <c r="Y53" s="5"/>
      <c r="Z53" s="5"/>
      <c r="AA53" s="217"/>
      <c r="AC53" s="2"/>
    </row>
    <row r="54" spans="1:29" x14ac:dyDescent="0.25">
      <c r="A54" s="174"/>
      <c r="B54" s="175"/>
      <c r="C54" s="176"/>
      <c r="D54" s="177"/>
      <c r="E54" s="177"/>
      <c r="F54" s="22" t="s">
        <v>180</v>
      </c>
      <c r="G54" s="269">
        <v>25</v>
      </c>
      <c r="H54" s="120" t="s">
        <v>15</v>
      </c>
      <c r="I54" s="36"/>
      <c r="J54" s="47" t="s">
        <v>185</v>
      </c>
      <c r="K54" s="5"/>
      <c r="L54" s="5"/>
      <c r="M54" s="5"/>
      <c r="N54" s="5"/>
      <c r="O54" s="5"/>
      <c r="P54" s="5"/>
      <c r="Q54" s="5"/>
      <c r="R54" s="5"/>
      <c r="S54" s="5"/>
      <c r="T54" s="5"/>
      <c r="U54" s="5"/>
      <c r="V54" s="5"/>
      <c r="W54" s="5"/>
      <c r="X54" s="5"/>
      <c r="Y54" s="5"/>
      <c r="Z54" s="5"/>
      <c r="AA54" s="217"/>
      <c r="AC54" s="2"/>
    </row>
    <row r="55" spans="1:29" ht="18" x14ac:dyDescent="0.25">
      <c r="A55" s="115"/>
      <c r="B55" s="107"/>
      <c r="C55" s="19"/>
      <c r="D55" s="173"/>
      <c r="E55" s="173"/>
      <c r="F55" s="12" t="s">
        <v>241</v>
      </c>
      <c r="G55" s="270">
        <v>4.5</v>
      </c>
      <c r="H55" s="121" t="s">
        <v>4</v>
      </c>
      <c r="I55" s="8"/>
      <c r="J55" s="47" t="s">
        <v>214</v>
      </c>
      <c r="K55" s="5"/>
      <c r="L55" s="5"/>
      <c r="M55" s="5"/>
      <c r="N55" s="5"/>
      <c r="O55" s="5"/>
      <c r="P55" s="5"/>
      <c r="Q55" s="5"/>
      <c r="R55" s="5"/>
      <c r="S55" s="5"/>
      <c r="T55" s="5"/>
      <c r="U55" s="5"/>
      <c r="V55" s="5"/>
      <c r="W55" s="5"/>
      <c r="X55" s="5"/>
      <c r="Y55" s="5"/>
      <c r="Z55" s="5"/>
      <c r="AA55" s="217"/>
      <c r="AC55" s="2"/>
    </row>
    <row r="56" spans="1:29" ht="18" x14ac:dyDescent="0.25">
      <c r="A56" s="115"/>
      <c r="B56" s="107"/>
      <c r="C56" s="19"/>
      <c r="D56" s="173"/>
      <c r="E56" s="173"/>
      <c r="F56" s="12" t="s">
        <v>236</v>
      </c>
      <c r="G56" s="163">
        <f>G55/('FB divider'!C40*10^-6)*0.001</f>
        <v>13.846153846153848</v>
      </c>
      <c r="H56" s="121" t="s">
        <v>10</v>
      </c>
      <c r="I56" s="8"/>
      <c r="J56" s="47" t="s">
        <v>215</v>
      </c>
      <c r="K56" s="5"/>
      <c r="L56" s="5"/>
      <c r="M56" s="5"/>
      <c r="N56" s="5"/>
      <c r="O56" s="5"/>
      <c r="P56" s="5"/>
      <c r="Q56" s="5"/>
      <c r="R56" s="5"/>
      <c r="S56" s="5"/>
      <c r="T56" s="5"/>
      <c r="U56" s="5"/>
      <c r="V56" s="5"/>
      <c r="W56" s="5"/>
      <c r="X56" s="5"/>
      <c r="Y56" s="5"/>
      <c r="Z56" s="5"/>
      <c r="AA56" s="217"/>
      <c r="AC56" s="2"/>
    </row>
    <row r="57" spans="1:29" ht="18" x14ac:dyDescent="0.25">
      <c r="A57" s="115"/>
      <c r="B57" s="107"/>
      <c r="C57" s="19"/>
      <c r="D57" s="173"/>
      <c r="E57" s="173"/>
      <c r="F57" s="12" t="s">
        <v>273</v>
      </c>
      <c r="G57" s="243">
        <f>G46</f>
        <v>50</v>
      </c>
      <c r="H57" s="121" t="s">
        <v>15</v>
      </c>
      <c r="I57" s="8"/>
      <c r="J57" s="101" t="s">
        <v>300</v>
      </c>
      <c r="K57" s="5"/>
      <c r="L57" s="5"/>
      <c r="M57" s="5"/>
      <c r="N57" s="5"/>
      <c r="O57" s="5"/>
      <c r="P57" s="5"/>
      <c r="Q57" s="5"/>
      <c r="R57" s="5"/>
      <c r="S57" s="5"/>
      <c r="T57" s="5"/>
      <c r="U57" s="5"/>
      <c r="V57" s="5"/>
      <c r="W57" s="5"/>
      <c r="X57" s="5"/>
      <c r="Y57" s="5"/>
      <c r="Z57" s="5"/>
      <c r="AA57" s="217"/>
      <c r="AC57" s="2"/>
    </row>
    <row r="58" spans="1:29" ht="18" x14ac:dyDescent="0.25">
      <c r="A58" s="115"/>
      <c r="B58" s="107"/>
      <c r="C58" s="19"/>
      <c r="D58" s="173"/>
      <c r="E58" s="173"/>
      <c r="F58" s="12" t="s">
        <v>204</v>
      </c>
      <c r="G58" s="222">
        <v>30</v>
      </c>
      <c r="H58" s="121" t="s">
        <v>15</v>
      </c>
      <c r="I58" s="8"/>
      <c r="J58" s="101" t="s">
        <v>272</v>
      </c>
      <c r="K58" s="5"/>
      <c r="L58" s="5"/>
      <c r="M58" s="5"/>
      <c r="N58" s="5"/>
      <c r="O58" s="5"/>
      <c r="P58" s="5"/>
      <c r="Q58" s="5"/>
      <c r="R58" s="5"/>
      <c r="S58" s="5"/>
      <c r="T58" s="5"/>
      <c r="U58" s="5"/>
      <c r="V58" s="5"/>
      <c r="W58" s="5"/>
      <c r="X58" s="5"/>
      <c r="Y58" s="5"/>
      <c r="Z58" s="5"/>
      <c r="AA58" s="217"/>
      <c r="AC58" s="2"/>
    </row>
    <row r="59" spans="1:29" ht="18.75" thickBot="1" x14ac:dyDescent="0.4">
      <c r="A59" s="117"/>
      <c r="B59" s="118"/>
      <c r="C59" s="119"/>
      <c r="D59" s="119"/>
      <c r="E59" s="119"/>
      <c r="F59" s="45" t="s">
        <v>278</v>
      </c>
      <c r="G59" s="183">
        <f>187/G58</f>
        <v>6.2333333333333334</v>
      </c>
      <c r="H59" s="122" t="s">
        <v>5</v>
      </c>
      <c r="I59" s="8"/>
      <c r="J59" s="47" t="s">
        <v>186</v>
      </c>
      <c r="K59" s="5"/>
      <c r="L59" s="5"/>
      <c r="M59" s="5"/>
      <c r="N59" s="5"/>
      <c r="O59" s="5"/>
      <c r="P59" s="5"/>
      <c r="Q59" s="5"/>
      <c r="R59" s="5"/>
      <c r="S59" s="5"/>
      <c r="T59" s="5"/>
      <c r="U59" s="5"/>
      <c r="V59" s="5"/>
      <c r="W59" s="5"/>
      <c r="X59" s="5"/>
      <c r="Y59" s="5"/>
      <c r="Z59" s="5"/>
      <c r="AA59" s="217"/>
      <c r="AC59" s="2"/>
    </row>
    <row r="60" spans="1:29" x14ac:dyDescent="0.25">
      <c r="A60" s="10"/>
      <c r="B60" s="36"/>
      <c r="C60" s="10"/>
      <c r="D60" s="10"/>
      <c r="E60" s="10"/>
      <c r="F60" s="10"/>
      <c r="G60" s="10"/>
      <c r="H60" s="10"/>
      <c r="I60" s="5"/>
      <c r="J60" s="5"/>
      <c r="K60" s="5"/>
      <c r="L60" s="5"/>
      <c r="M60" s="5"/>
      <c r="N60" s="5"/>
      <c r="O60" s="5"/>
      <c r="P60" s="5"/>
      <c r="Q60" s="5"/>
      <c r="R60" s="5"/>
      <c r="S60" s="5"/>
      <c r="T60" s="5"/>
      <c r="U60" s="5"/>
      <c r="V60" s="5"/>
      <c r="W60" s="5"/>
      <c r="X60" s="5"/>
      <c r="Y60" s="5"/>
      <c r="Z60" s="5"/>
      <c r="AA60" s="217"/>
      <c r="AC60" s="2"/>
    </row>
    <row r="61" spans="1:29" ht="15.75" thickBot="1" x14ac:dyDescent="0.3">
      <c r="A61" s="35" t="s">
        <v>181</v>
      </c>
      <c r="B61" s="8"/>
      <c r="C61" s="5"/>
      <c r="D61" s="5"/>
      <c r="E61" s="5"/>
      <c r="F61" s="5"/>
      <c r="G61" s="5"/>
      <c r="H61" s="5"/>
      <c r="I61" s="5"/>
      <c r="J61" s="5"/>
      <c r="K61" s="5"/>
      <c r="L61" s="5"/>
      <c r="M61" s="5"/>
      <c r="N61" s="5"/>
      <c r="O61" s="5"/>
      <c r="P61" s="5"/>
      <c r="Q61" s="5"/>
      <c r="R61" s="5"/>
      <c r="S61" s="5"/>
      <c r="T61" s="5"/>
      <c r="U61" s="5"/>
      <c r="V61" s="5"/>
      <c r="W61" s="5"/>
      <c r="X61" s="5"/>
      <c r="Y61" s="5"/>
      <c r="Z61" s="5"/>
      <c r="AA61" s="217"/>
      <c r="AC61" s="2"/>
    </row>
    <row r="62" spans="1:29" ht="15.75" thickBot="1" x14ac:dyDescent="0.3">
      <c r="A62" s="9"/>
      <c r="B62" s="109"/>
      <c r="C62" s="9"/>
      <c r="D62" s="9"/>
      <c r="E62" s="9"/>
      <c r="F62" s="189" t="s">
        <v>184</v>
      </c>
      <c r="G62" s="190" t="s">
        <v>2</v>
      </c>
      <c r="H62" s="236" t="s">
        <v>3</v>
      </c>
      <c r="I62" s="5"/>
      <c r="J62" s="5"/>
      <c r="K62" s="5"/>
      <c r="L62" s="5"/>
      <c r="M62" s="5"/>
      <c r="N62" s="5"/>
      <c r="O62" s="5"/>
      <c r="P62" s="5"/>
      <c r="Q62" s="5"/>
      <c r="R62" s="5"/>
      <c r="S62" s="5"/>
      <c r="T62" s="5"/>
      <c r="U62" s="5"/>
      <c r="V62" s="5"/>
      <c r="W62" s="5"/>
      <c r="X62" s="5"/>
      <c r="Y62" s="5"/>
      <c r="Z62" s="5"/>
      <c r="AA62" s="217"/>
      <c r="AC62" s="2"/>
    </row>
    <row r="63" spans="1:29" ht="18" x14ac:dyDescent="0.35">
      <c r="A63" s="129"/>
      <c r="B63" s="130"/>
      <c r="C63" s="21"/>
      <c r="D63" s="21"/>
      <c r="E63" s="21"/>
      <c r="F63" s="41" t="s">
        <v>187</v>
      </c>
      <c r="G63" s="184">
        <v>10</v>
      </c>
      <c r="H63" s="185" t="s">
        <v>17</v>
      </c>
      <c r="I63" s="8"/>
      <c r="J63" s="48" t="s">
        <v>334</v>
      </c>
      <c r="K63" s="5"/>
      <c r="L63" s="5"/>
      <c r="M63" s="5"/>
      <c r="N63" s="5"/>
      <c r="O63" s="5"/>
      <c r="P63" s="5"/>
      <c r="Q63" s="5"/>
      <c r="R63" s="5"/>
      <c r="S63" s="5"/>
      <c r="T63" s="5"/>
      <c r="U63" s="5"/>
      <c r="V63" s="5"/>
      <c r="W63" s="5"/>
      <c r="X63" s="5"/>
      <c r="Y63" s="5"/>
      <c r="Z63" s="5"/>
      <c r="AA63" s="217"/>
      <c r="AC63" s="2"/>
    </row>
    <row r="64" spans="1:29" ht="18" x14ac:dyDescent="0.35">
      <c r="A64" s="42"/>
      <c r="B64" s="8"/>
      <c r="C64" s="5"/>
      <c r="D64" s="5"/>
      <c r="E64" s="5"/>
      <c r="F64" s="6" t="s">
        <v>188</v>
      </c>
      <c r="G64" s="162">
        <f ca="1">OFFSET(Cout!D24, Cout!O6+Cout!P6*3,Cout!N6)</f>
        <v>51.21039999367612</v>
      </c>
      <c r="H64" s="186" t="s">
        <v>17</v>
      </c>
      <c r="I64" s="8"/>
      <c r="J64" s="48" t="s">
        <v>335</v>
      </c>
      <c r="K64" s="5"/>
      <c r="L64" s="5"/>
      <c r="M64" s="5"/>
      <c r="N64" s="5"/>
      <c r="O64" s="5"/>
      <c r="P64" s="5"/>
      <c r="Q64" s="5"/>
      <c r="R64" s="5"/>
      <c r="S64" s="5"/>
      <c r="T64" s="5"/>
      <c r="U64" s="5"/>
      <c r="V64" s="5"/>
      <c r="W64" s="5"/>
      <c r="X64" s="5"/>
      <c r="Y64" s="5"/>
      <c r="Z64" s="5"/>
      <c r="AA64" s="217"/>
      <c r="AC64" s="2"/>
    </row>
    <row r="65" spans="1:29" x14ac:dyDescent="0.25">
      <c r="A65" s="42"/>
      <c r="B65" s="8"/>
      <c r="C65" s="5"/>
      <c r="D65" s="5"/>
      <c r="E65" s="5"/>
      <c r="F65" s="6" t="s">
        <v>189</v>
      </c>
      <c r="G65" s="162">
        <f>Boost!C12*1000</f>
        <v>27.210097684662646</v>
      </c>
      <c r="H65" s="186" t="s">
        <v>16</v>
      </c>
      <c r="I65" s="8"/>
      <c r="J65" s="48" t="s">
        <v>304</v>
      </c>
      <c r="K65" s="5"/>
      <c r="L65" s="5"/>
      <c r="M65" s="5"/>
      <c r="N65" s="5"/>
      <c r="O65" s="5"/>
      <c r="P65" s="5"/>
      <c r="Q65" s="5"/>
      <c r="R65" s="5"/>
      <c r="S65" s="5"/>
      <c r="T65" s="5"/>
      <c r="U65" s="5"/>
      <c r="V65" s="5"/>
      <c r="W65" s="5"/>
      <c r="X65" s="5"/>
      <c r="Y65" s="5"/>
      <c r="Z65" s="5"/>
      <c r="AA65" s="217"/>
      <c r="AC65" s="2"/>
    </row>
    <row r="66" spans="1:29" x14ac:dyDescent="0.25">
      <c r="A66" s="42"/>
      <c r="B66" s="8"/>
      <c r="C66" s="5"/>
      <c r="D66" s="5"/>
      <c r="E66" s="5"/>
      <c r="F66" s="6" t="s">
        <v>202</v>
      </c>
      <c r="G66" s="271">
        <v>10</v>
      </c>
      <c r="H66" s="186" t="s">
        <v>15</v>
      </c>
      <c r="I66" s="8"/>
      <c r="J66" s="48" t="s">
        <v>266</v>
      </c>
      <c r="K66" s="5"/>
      <c r="L66" s="5"/>
      <c r="M66" s="5"/>
      <c r="N66" s="5"/>
      <c r="O66" s="5"/>
      <c r="P66" s="5"/>
      <c r="Q66" s="5"/>
      <c r="R66" s="5"/>
      <c r="S66" s="5"/>
      <c r="T66" s="5"/>
      <c r="U66" s="5"/>
      <c r="V66" s="5"/>
      <c r="W66" s="5"/>
      <c r="X66" s="5"/>
      <c r="Y66" s="5"/>
      <c r="Z66" s="5"/>
      <c r="AA66" s="217"/>
      <c r="AC66" s="2"/>
    </row>
    <row r="67" spans="1:29" ht="15.75" thickBot="1" x14ac:dyDescent="0.3">
      <c r="A67" s="43"/>
      <c r="B67" s="44"/>
      <c r="C67" s="27"/>
      <c r="D67" s="27"/>
      <c r="E67" s="27"/>
      <c r="F67" s="45" t="s">
        <v>190</v>
      </c>
      <c r="G67" s="201">
        <v>50</v>
      </c>
      <c r="H67" s="187" t="s">
        <v>18</v>
      </c>
      <c r="I67" s="8"/>
      <c r="J67" s="48" t="s">
        <v>286</v>
      </c>
      <c r="K67" s="5"/>
      <c r="L67" s="5"/>
      <c r="M67" s="5"/>
      <c r="N67" s="5"/>
      <c r="O67" s="5"/>
      <c r="P67" s="5"/>
      <c r="Q67" s="5"/>
      <c r="R67" s="5"/>
      <c r="S67" s="5"/>
      <c r="T67" s="5"/>
      <c r="U67" s="5"/>
      <c r="V67" s="5"/>
      <c r="W67" s="5"/>
      <c r="X67" s="5"/>
      <c r="Y67" s="5"/>
      <c r="Z67" s="5"/>
      <c r="AA67" s="217"/>
      <c r="AC67" s="2"/>
    </row>
    <row r="68" spans="1:29" ht="15.75" thickBot="1" x14ac:dyDescent="0.3">
      <c r="A68" s="178"/>
      <c r="B68" s="36"/>
      <c r="C68" s="10"/>
      <c r="D68" s="10"/>
      <c r="E68" s="10"/>
      <c r="F68" s="6"/>
      <c r="G68" s="19"/>
      <c r="H68" s="179"/>
      <c r="I68" s="48"/>
      <c r="J68" s="48"/>
      <c r="K68" s="5"/>
      <c r="L68" s="5"/>
      <c r="M68" s="5"/>
      <c r="N68" s="5"/>
      <c r="O68" s="5"/>
      <c r="P68" s="5"/>
      <c r="Q68" s="5"/>
      <c r="R68" s="5"/>
      <c r="S68" s="5"/>
      <c r="T68" s="5"/>
      <c r="U68" s="5"/>
      <c r="V68" s="5"/>
      <c r="W68" s="5"/>
      <c r="X68" s="5"/>
      <c r="Y68" s="5"/>
      <c r="Z68" s="5"/>
      <c r="AA68" s="217"/>
      <c r="AC68" s="2"/>
    </row>
    <row r="69" spans="1:29" ht="15.75" thickBot="1" x14ac:dyDescent="0.3">
      <c r="A69" s="35" t="s">
        <v>229</v>
      </c>
      <c r="B69" s="109"/>
      <c r="C69" s="9"/>
      <c r="D69" s="9"/>
      <c r="E69" s="9"/>
      <c r="F69" s="6"/>
      <c r="G69" s="188" t="s">
        <v>2</v>
      </c>
      <c r="H69" s="235" t="s">
        <v>3</v>
      </c>
      <c r="I69" s="48"/>
      <c r="J69" s="5"/>
      <c r="K69" s="5"/>
      <c r="L69" s="5"/>
      <c r="M69" s="5"/>
      <c r="N69" s="5"/>
      <c r="O69" s="5"/>
      <c r="P69" s="5"/>
      <c r="Q69" s="5"/>
      <c r="R69" s="5"/>
      <c r="S69" s="5"/>
      <c r="T69" s="5"/>
      <c r="U69" s="5"/>
      <c r="V69" s="5"/>
      <c r="W69" s="5"/>
      <c r="X69" s="5"/>
      <c r="Y69" s="5"/>
      <c r="Z69" s="5"/>
      <c r="AA69" s="217"/>
      <c r="AC69" s="2"/>
    </row>
    <row r="70" spans="1:29" x14ac:dyDescent="0.25">
      <c r="A70" s="129"/>
      <c r="B70" s="130"/>
      <c r="C70" s="21"/>
      <c r="D70" s="21"/>
      <c r="E70" s="21"/>
      <c r="F70" s="41" t="s">
        <v>192</v>
      </c>
      <c r="G70" s="161">
        <f ca="1">'FB divider'!C7</f>
        <v>0.20776327389174132</v>
      </c>
      <c r="H70" s="185" t="s">
        <v>85</v>
      </c>
      <c r="I70" s="8"/>
      <c r="J70" s="47" t="s">
        <v>306</v>
      </c>
      <c r="K70" s="5"/>
      <c r="L70" s="5"/>
      <c r="M70" s="5"/>
      <c r="N70" s="5"/>
      <c r="O70" s="5"/>
      <c r="P70" s="5"/>
      <c r="Q70" s="5"/>
      <c r="R70" s="5"/>
      <c r="S70" s="5"/>
      <c r="T70" s="5"/>
      <c r="U70" s="5"/>
      <c r="V70" s="5"/>
      <c r="W70" s="5"/>
      <c r="X70" s="5"/>
      <c r="Y70" s="5"/>
      <c r="Z70" s="5"/>
      <c r="AA70" s="217"/>
      <c r="AC70" s="2"/>
    </row>
    <row r="71" spans="1:29" x14ac:dyDescent="0.25">
      <c r="A71" s="42"/>
      <c r="B71" s="8"/>
      <c r="C71" s="5"/>
      <c r="D71" s="5"/>
      <c r="E71" s="5"/>
      <c r="F71" s="6" t="s">
        <v>191</v>
      </c>
      <c r="G71" s="270" t="s">
        <v>193</v>
      </c>
      <c r="H71" s="186"/>
      <c r="I71" s="8"/>
      <c r="J71" s="47"/>
      <c r="K71" s="5"/>
      <c r="L71" s="5"/>
      <c r="M71" s="5"/>
      <c r="N71" s="5"/>
      <c r="O71" s="5"/>
      <c r="P71" s="5"/>
      <c r="Q71" s="5"/>
      <c r="R71" s="5"/>
      <c r="S71" s="5"/>
      <c r="T71" s="5"/>
      <c r="U71" s="5"/>
      <c r="V71" s="5"/>
      <c r="W71" s="5"/>
      <c r="X71" s="5"/>
      <c r="Y71" s="5"/>
      <c r="Z71" s="5"/>
      <c r="AA71" s="217"/>
      <c r="AC71" s="2"/>
    </row>
    <row r="72" spans="1:29" x14ac:dyDescent="0.25">
      <c r="A72" s="42"/>
      <c r="B72" s="8"/>
      <c r="C72" s="5"/>
      <c r="D72" s="5"/>
      <c r="E72" s="5"/>
      <c r="F72" s="6" t="s">
        <v>194</v>
      </c>
      <c r="G72" s="162" t="str">
        <f>IF(G71="No", "N/A", 'FB divider'!C14)</f>
        <v>N/A</v>
      </c>
      <c r="H72" s="186" t="s">
        <v>10</v>
      </c>
      <c r="I72" s="8"/>
      <c r="J72" s="47"/>
      <c r="K72" s="5"/>
      <c r="L72" s="5"/>
      <c r="M72" s="5"/>
      <c r="N72" s="5"/>
      <c r="O72" s="5"/>
      <c r="P72" s="5"/>
      <c r="Q72" s="5"/>
      <c r="R72" s="5"/>
      <c r="S72" s="5"/>
      <c r="T72" s="5"/>
      <c r="U72" s="5"/>
      <c r="V72" s="5"/>
      <c r="W72" s="5"/>
      <c r="X72" s="5"/>
      <c r="Y72" s="5"/>
      <c r="Z72" s="5"/>
      <c r="AA72" s="217"/>
      <c r="AC72" s="2"/>
    </row>
    <row r="73" spans="1:29" ht="18" x14ac:dyDescent="0.35">
      <c r="A73" s="42"/>
      <c r="B73" s="8"/>
      <c r="C73" s="5"/>
      <c r="D73" s="5"/>
      <c r="E73" s="5"/>
      <c r="F73" s="6" t="s">
        <v>203</v>
      </c>
      <c r="G73" s="162" t="str">
        <f>IF(G71="No", "N/A",'FB divider'!C15)</f>
        <v>N/A</v>
      </c>
      <c r="H73" s="186" t="s">
        <v>83</v>
      </c>
      <c r="I73" s="8"/>
      <c r="J73" s="47"/>
      <c r="K73" s="5"/>
      <c r="L73" s="5"/>
      <c r="M73" s="5"/>
      <c r="N73" s="5"/>
      <c r="O73" s="5"/>
      <c r="P73" s="5"/>
      <c r="Q73" s="5"/>
      <c r="R73" s="5"/>
      <c r="S73" s="5"/>
      <c r="T73" s="5"/>
      <c r="U73" s="5"/>
      <c r="V73" s="5"/>
      <c r="W73" s="5"/>
      <c r="X73" s="5"/>
      <c r="Y73" s="5"/>
      <c r="Z73" s="5"/>
      <c r="AA73" s="217"/>
      <c r="AC73" s="2"/>
    </row>
    <row r="74" spans="1:29" x14ac:dyDescent="0.25">
      <c r="A74" s="42"/>
      <c r="B74" s="8"/>
      <c r="C74" s="5"/>
      <c r="D74" s="5"/>
      <c r="E74" s="5"/>
      <c r="F74" s="6" t="s">
        <v>195</v>
      </c>
      <c r="G74" s="180">
        <v>200</v>
      </c>
      <c r="H74" s="186" t="s">
        <v>10</v>
      </c>
      <c r="I74" s="8"/>
      <c r="J74" s="47" t="s">
        <v>287</v>
      </c>
      <c r="K74" s="5"/>
      <c r="L74" s="5"/>
      <c r="M74" s="5"/>
      <c r="N74" s="5"/>
      <c r="O74" s="5"/>
      <c r="P74" s="5"/>
      <c r="Q74" s="5"/>
      <c r="R74" s="5"/>
      <c r="S74" s="5"/>
      <c r="T74" s="5"/>
      <c r="U74" s="5"/>
      <c r="V74" s="5"/>
      <c r="W74" s="5"/>
      <c r="X74" s="5"/>
      <c r="Y74" s="5"/>
      <c r="Z74" s="5"/>
      <c r="AA74" s="217"/>
      <c r="AC74" s="2"/>
    </row>
    <row r="75" spans="1:29" ht="18" x14ac:dyDescent="0.35">
      <c r="A75" s="42"/>
      <c r="B75" s="8"/>
      <c r="C75" s="5"/>
      <c r="D75" s="5"/>
      <c r="E75" s="5"/>
      <c r="F75" s="6" t="s">
        <v>196</v>
      </c>
      <c r="G75" s="180">
        <v>1</v>
      </c>
      <c r="H75" s="186" t="s">
        <v>83</v>
      </c>
      <c r="I75" s="8"/>
      <c r="J75" s="47" t="s">
        <v>288</v>
      </c>
      <c r="K75" s="5"/>
      <c r="L75" s="5"/>
      <c r="M75" s="5"/>
      <c r="N75" s="5"/>
      <c r="O75" s="5"/>
      <c r="P75" s="5"/>
      <c r="Q75" s="5"/>
      <c r="R75" s="5"/>
      <c r="S75" s="5"/>
      <c r="T75" s="5"/>
      <c r="U75" s="5"/>
      <c r="V75" s="5"/>
      <c r="W75" s="5"/>
      <c r="X75" s="5"/>
      <c r="Y75" s="5"/>
      <c r="Z75" s="5"/>
      <c r="AA75" s="217"/>
      <c r="AC75" s="2"/>
    </row>
    <row r="76" spans="1:29" ht="18" x14ac:dyDescent="0.35">
      <c r="A76" s="108"/>
      <c r="B76" s="109"/>
      <c r="C76" s="9"/>
      <c r="D76" s="9"/>
      <c r="E76" s="9"/>
      <c r="F76" s="6" t="s">
        <v>198</v>
      </c>
      <c r="G76" s="162" t="str">
        <f>IF(G71="No", "N/A",'FB divider'!C16)</f>
        <v>N/A</v>
      </c>
      <c r="H76" s="186" t="s">
        <v>11</v>
      </c>
      <c r="I76" s="8"/>
      <c r="J76" s="47" t="s">
        <v>200</v>
      </c>
      <c r="K76" s="5"/>
      <c r="L76" s="5"/>
      <c r="M76" s="5"/>
      <c r="N76" s="5"/>
      <c r="O76" s="5"/>
      <c r="P76" s="5"/>
      <c r="Q76" s="5"/>
      <c r="R76" s="5"/>
      <c r="S76" s="5"/>
      <c r="T76" s="5"/>
      <c r="U76" s="5"/>
      <c r="V76" s="5"/>
      <c r="W76" s="5"/>
      <c r="X76" s="5"/>
      <c r="Y76" s="5"/>
      <c r="Z76" s="5"/>
      <c r="AA76" s="217"/>
      <c r="AC76" s="2"/>
    </row>
    <row r="77" spans="1:29" ht="18" x14ac:dyDescent="0.35">
      <c r="A77" s="108"/>
      <c r="B77" s="109"/>
      <c r="C77" s="9"/>
      <c r="D77" s="9"/>
      <c r="E77" s="9"/>
      <c r="F77" s="6" t="s">
        <v>197</v>
      </c>
      <c r="G77" s="162" t="str">
        <f>IF(G71="No", "N/A", 'FB divider'!C17)</f>
        <v>N/A</v>
      </c>
      <c r="H77" s="186" t="s">
        <v>11</v>
      </c>
      <c r="I77" s="8"/>
      <c r="J77" s="47" t="s">
        <v>201</v>
      </c>
      <c r="K77" s="5"/>
      <c r="L77" s="5"/>
      <c r="M77" s="5"/>
      <c r="N77" s="5"/>
      <c r="O77" s="5"/>
      <c r="P77" s="5"/>
      <c r="Q77" s="5"/>
      <c r="R77" s="5"/>
      <c r="S77" s="5"/>
      <c r="T77" s="5"/>
      <c r="U77" s="5"/>
      <c r="V77" s="5"/>
      <c r="W77" s="5"/>
      <c r="X77" s="5"/>
      <c r="Y77" s="5"/>
      <c r="Z77" s="5"/>
      <c r="AA77" s="217"/>
      <c r="AC77" s="2"/>
    </row>
    <row r="78" spans="1:29" ht="15.75" thickBot="1" x14ac:dyDescent="0.3">
      <c r="A78" s="43"/>
      <c r="B78" s="44"/>
      <c r="C78" s="27"/>
      <c r="D78" s="27"/>
      <c r="E78" s="27"/>
      <c r="F78" s="45" t="s">
        <v>199</v>
      </c>
      <c r="G78" s="183">
        <f ca="1">IF(G71="No", G70,-'FB divider'!C23+G70)</f>
        <v>0.20776327389174132</v>
      </c>
      <c r="H78" s="187" t="s">
        <v>85</v>
      </c>
      <c r="I78" s="8"/>
      <c r="J78" s="47" t="s">
        <v>227</v>
      </c>
      <c r="K78" s="5"/>
      <c r="L78" s="5"/>
      <c r="M78" s="5"/>
      <c r="N78" s="5"/>
      <c r="O78" s="5"/>
      <c r="P78" s="5"/>
      <c r="Q78" s="5"/>
      <c r="R78" s="5"/>
      <c r="S78" s="5"/>
      <c r="T78" s="5"/>
      <c r="U78" s="5"/>
      <c r="V78" s="5"/>
      <c r="W78" s="5"/>
      <c r="X78" s="5"/>
      <c r="Y78" s="5"/>
      <c r="Z78" s="5"/>
      <c r="AA78" s="217"/>
      <c r="AC78" s="2"/>
    </row>
    <row r="79" spans="1:29" ht="15.75" thickBot="1" x14ac:dyDescent="0.3">
      <c r="A79" s="109"/>
      <c r="B79" s="109"/>
      <c r="C79" s="9"/>
      <c r="D79" s="9"/>
      <c r="E79" s="9"/>
      <c r="F79" s="6"/>
      <c r="G79" s="5"/>
      <c r="H79" s="10"/>
      <c r="I79" s="8"/>
      <c r="J79" s="47"/>
      <c r="K79" s="5"/>
      <c r="L79" s="5"/>
      <c r="M79" s="5"/>
      <c r="N79" s="5"/>
      <c r="O79" s="5"/>
      <c r="P79" s="5"/>
      <c r="Q79" s="5"/>
      <c r="R79" s="5"/>
      <c r="S79" s="5"/>
      <c r="T79" s="5"/>
      <c r="U79" s="5"/>
      <c r="V79" s="5"/>
      <c r="W79" s="5"/>
      <c r="X79" s="5"/>
      <c r="Y79" s="5"/>
      <c r="Z79" s="5"/>
      <c r="AA79" s="217"/>
      <c r="AC79" s="2"/>
    </row>
    <row r="80" spans="1:29" ht="15.75" thickBot="1" x14ac:dyDescent="0.3">
      <c r="A80" s="35" t="s">
        <v>233</v>
      </c>
      <c r="B80" s="109"/>
      <c r="C80" s="9"/>
      <c r="D80" s="9"/>
      <c r="E80" s="9"/>
      <c r="F80" s="6"/>
      <c r="G80" s="188" t="s">
        <v>2</v>
      </c>
      <c r="H80" s="235" t="s">
        <v>3</v>
      </c>
      <c r="I80" s="8"/>
      <c r="J80" s="47"/>
      <c r="K80" s="5"/>
      <c r="L80" s="5"/>
      <c r="M80" s="5"/>
      <c r="N80" s="5"/>
      <c r="O80" s="5"/>
      <c r="P80" s="5"/>
      <c r="Q80" s="5"/>
      <c r="R80" s="5"/>
      <c r="S80" s="5"/>
      <c r="T80" s="5"/>
      <c r="U80" s="5"/>
      <c r="V80" s="5"/>
      <c r="W80" s="5"/>
      <c r="X80" s="5"/>
      <c r="Y80" s="5"/>
      <c r="Z80" s="5"/>
      <c r="AA80" s="217"/>
      <c r="AC80" s="2"/>
    </row>
    <row r="81" spans="1:29" x14ac:dyDescent="0.25">
      <c r="A81" s="152"/>
      <c r="B81" s="21"/>
      <c r="C81" s="21"/>
      <c r="D81" s="21"/>
      <c r="E81" s="21"/>
      <c r="F81" s="41" t="s">
        <v>289</v>
      </c>
      <c r="G81" s="273">
        <v>19531</v>
      </c>
      <c r="H81" s="23" t="s">
        <v>11</v>
      </c>
      <c r="I81" s="8"/>
      <c r="J81" s="132" t="s">
        <v>259</v>
      </c>
      <c r="K81" s="5"/>
      <c r="L81" s="5"/>
      <c r="M81" s="5"/>
      <c r="N81" s="5"/>
      <c r="O81" s="5"/>
      <c r="P81" s="5"/>
      <c r="Q81" s="5"/>
      <c r="R81" s="5"/>
      <c r="S81" s="5"/>
      <c r="T81" s="5"/>
      <c r="U81" s="5"/>
      <c r="V81" s="5"/>
      <c r="W81" s="5"/>
      <c r="X81" s="5"/>
      <c r="Y81" s="5"/>
      <c r="Z81" s="5"/>
      <c r="AA81" s="217"/>
      <c r="AC81" s="2"/>
    </row>
    <row r="82" spans="1:29" ht="18" x14ac:dyDescent="0.35">
      <c r="A82" s="153"/>
      <c r="B82" s="5"/>
      <c r="C82" s="5"/>
      <c r="D82" s="5"/>
      <c r="E82" s="5"/>
      <c r="F82" s="6" t="s">
        <v>208</v>
      </c>
      <c r="G82" s="209">
        <f>IF(G41=152,3.92,IF(G41=305,4.75,IF(G41=610,5.76,IF(G41=1221,7.87,IF(G41=2441,11,IF(G41=4883,17.8,IF(G41=9766,42.2,140)))))))</f>
        <v>140</v>
      </c>
      <c r="H82" s="25" t="s">
        <v>10</v>
      </c>
      <c r="I82" s="8"/>
      <c r="J82" s="132" t="s">
        <v>269</v>
      </c>
      <c r="K82" s="5"/>
      <c r="L82" s="5"/>
      <c r="M82" s="5"/>
      <c r="N82" s="5"/>
      <c r="O82" s="5"/>
      <c r="P82" s="5"/>
      <c r="Q82" s="5"/>
      <c r="R82" s="5"/>
      <c r="S82" s="5"/>
      <c r="T82" s="5"/>
      <c r="U82" s="5"/>
      <c r="V82" s="5"/>
      <c r="W82" s="5"/>
      <c r="X82" s="5"/>
      <c r="Y82" s="5"/>
      <c r="Z82" s="5"/>
      <c r="AA82" s="217"/>
      <c r="AC82" s="2"/>
    </row>
    <row r="83" spans="1:29" x14ac:dyDescent="0.25">
      <c r="A83" s="153"/>
      <c r="B83" s="5"/>
      <c r="C83" s="5"/>
      <c r="D83" s="5"/>
      <c r="E83" s="217"/>
      <c r="F83" s="6" t="s">
        <v>284</v>
      </c>
      <c r="G83" s="211" t="str">
        <f>IF('PWM Dimming cal'!$N$8&lt;=20000, "Yes","No")</f>
        <v>No</v>
      </c>
      <c r="H83" s="25"/>
      <c r="I83" s="8"/>
      <c r="J83" s="132" t="s">
        <v>331</v>
      </c>
      <c r="K83" s="5"/>
      <c r="L83" s="5"/>
      <c r="M83" s="5"/>
      <c r="N83" s="5"/>
      <c r="O83" s="5"/>
      <c r="P83" s="5"/>
      <c r="Q83" s="5"/>
      <c r="R83" s="5"/>
      <c r="S83" s="5"/>
      <c r="T83" s="5"/>
      <c r="U83" s="5"/>
      <c r="V83" s="5"/>
      <c r="W83" s="5"/>
      <c r="X83" s="5"/>
      <c r="Y83" s="5"/>
      <c r="Z83" s="5"/>
      <c r="AA83" s="217"/>
      <c r="AC83" s="2"/>
    </row>
    <row r="84" spans="1:29" x14ac:dyDescent="0.25">
      <c r="A84" s="153"/>
      <c r="B84" s="5"/>
      <c r="C84" s="5"/>
      <c r="D84" s="5"/>
      <c r="E84" s="217"/>
      <c r="F84" s="6" t="s">
        <v>279</v>
      </c>
      <c r="G84" s="274" t="s">
        <v>274</v>
      </c>
      <c r="H84" s="203"/>
      <c r="I84" s="8"/>
      <c r="J84" s="47" t="s">
        <v>280</v>
      </c>
      <c r="K84" s="5"/>
      <c r="L84" s="5"/>
      <c r="M84" s="5"/>
      <c r="N84" s="5"/>
      <c r="O84" s="5"/>
      <c r="P84" s="5"/>
      <c r="Q84" s="5"/>
      <c r="R84" s="5"/>
      <c r="S84" s="5"/>
      <c r="T84" s="5"/>
      <c r="U84" s="5"/>
      <c r="V84" s="5"/>
      <c r="W84" s="5"/>
      <c r="X84" s="5"/>
      <c r="Y84" s="5"/>
      <c r="Z84" s="5"/>
      <c r="AA84" s="217"/>
      <c r="AC84" s="2"/>
    </row>
    <row r="85" spans="1:29" x14ac:dyDescent="0.25">
      <c r="A85" s="116"/>
      <c r="B85" s="109"/>
      <c r="C85" s="9"/>
      <c r="D85" s="9"/>
      <c r="E85" s="9"/>
      <c r="F85" s="6" t="s">
        <v>281</v>
      </c>
      <c r="G85" s="272">
        <v>152</v>
      </c>
      <c r="H85" s="182" t="s">
        <v>11</v>
      </c>
      <c r="I85" s="8"/>
      <c r="J85" s="47" t="s">
        <v>257</v>
      </c>
      <c r="K85" s="5"/>
      <c r="L85" s="5"/>
      <c r="M85" s="5"/>
      <c r="N85" s="5"/>
      <c r="O85" s="5"/>
      <c r="P85" s="5"/>
      <c r="Q85" s="5"/>
      <c r="R85" s="5"/>
      <c r="S85" s="5"/>
      <c r="T85" s="5"/>
      <c r="U85" s="5"/>
      <c r="V85" s="5"/>
      <c r="W85" s="5"/>
      <c r="X85" s="5"/>
      <c r="Y85" s="5"/>
      <c r="Z85" s="5"/>
      <c r="AA85" s="217"/>
      <c r="AC85" s="2"/>
    </row>
    <row r="86" spans="1:29" x14ac:dyDescent="0.25">
      <c r="A86" s="116"/>
      <c r="B86" s="109"/>
      <c r="C86" s="9"/>
      <c r="D86" s="9"/>
      <c r="E86" s="9"/>
      <c r="F86" s="6" t="s">
        <v>282</v>
      </c>
      <c r="G86" s="200">
        <f>'PWM Dimming cal'!G6</f>
        <v>32894.73684210526</v>
      </c>
      <c r="H86" s="181" t="s">
        <v>231</v>
      </c>
      <c r="I86" s="8"/>
      <c r="J86" s="47" t="s">
        <v>332</v>
      </c>
      <c r="K86" s="5"/>
      <c r="L86" s="5"/>
      <c r="M86" s="5"/>
      <c r="N86" s="5"/>
      <c r="O86" s="5"/>
      <c r="P86" s="5"/>
      <c r="Q86" s="5"/>
      <c r="R86" s="5"/>
      <c r="S86" s="5"/>
      <c r="T86" s="5"/>
      <c r="U86" s="5"/>
      <c r="V86" s="5"/>
      <c r="W86" s="5"/>
      <c r="X86" s="5"/>
      <c r="Y86" s="5"/>
      <c r="Z86" s="5"/>
      <c r="AA86" s="217"/>
      <c r="AC86" s="2"/>
    </row>
    <row r="87" spans="1:29" x14ac:dyDescent="0.25">
      <c r="A87" s="108"/>
      <c r="B87" s="109"/>
      <c r="C87" s="9"/>
      <c r="D87" s="9"/>
      <c r="E87" s="9"/>
      <c r="F87" s="6" t="s">
        <v>247</v>
      </c>
      <c r="G87" s="200">
        <f>'PWM Dimming cal'!H8</f>
        <v>16</v>
      </c>
      <c r="H87" s="182" t="s">
        <v>232</v>
      </c>
      <c r="I87" s="8"/>
      <c r="J87" s="47" t="s">
        <v>256</v>
      </c>
      <c r="K87" s="5"/>
      <c r="L87" s="5"/>
      <c r="M87" s="5"/>
      <c r="N87" s="5"/>
      <c r="O87" s="5"/>
      <c r="P87" s="5"/>
      <c r="Q87" s="5"/>
      <c r="R87" s="5"/>
      <c r="S87" s="5"/>
      <c r="T87" s="5"/>
      <c r="U87" s="5"/>
      <c r="V87" s="5"/>
      <c r="W87" s="5"/>
      <c r="X87" s="5"/>
      <c r="Y87" s="5"/>
      <c r="Z87" s="5"/>
      <c r="AA87" s="217"/>
      <c r="AC87" s="2"/>
    </row>
    <row r="88" spans="1:29" x14ac:dyDescent="0.25">
      <c r="A88" s="108"/>
      <c r="B88" s="109"/>
      <c r="C88" s="9"/>
      <c r="D88" s="9"/>
      <c r="E88" s="9"/>
      <c r="F88" s="6" t="s">
        <v>252</v>
      </c>
      <c r="G88" s="266" t="s">
        <v>193</v>
      </c>
      <c r="H88" s="203"/>
      <c r="I88" s="8"/>
      <c r="J88" s="47" t="s">
        <v>298</v>
      </c>
      <c r="K88" s="5"/>
      <c r="L88" s="5"/>
      <c r="M88" s="5"/>
      <c r="N88" s="5"/>
      <c r="O88" s="5"/>
      <c r="P88" s="5"/>
      <c r="Q88" s="5"/>
      <c r="R88" s="5"/>
      <c r="S88" s="5"/>
      <c r="T88" s="5"/>
      <c r="U88" s="5"/>
      <c r="V88" s="5"/>
      <c r="W88" s="5"/>
      <c r="X88" s="5"/>
      <c r="Y88" s="5"/>
      <c r="Z88" s="5"/>
      <c r="AA88" s="217"/>
      <c r="AC88" s="2"/>
    </row>
    <row r="89" spans="1:29" ht="15.75" thickBot="1" x14ac:dyDescent="0.3">
      <c r="A89" s="43"/>
      <c r="B89" s="44"/>
      <c r="C89" s="27"/>
      <c r="D89" s="27"/>
      <c r="E89" s="27"/>
      <c r="F89" s="45" t="s">
        <v>333</v>
      </c>
      <c r="G89" s="218">
        <f>'PWM Dimming cal'!L11</f>
        <v>256.00327684194355</v>
      </c>
      <c r="H89" s="219" t="s">
        <v>258</v>
      </c>
      <c r="I89" s="8"/>
      <c r="J89" s="47" t="s">
        <v>317</v>
      </c>
      <c r="K89" s="5"/>
      <c r="L89" s="5"/>
      <c r="M89" s="5"/>
      <c r="N89" s="5"/>
      <c r="O89" s="5"/>
      <c r="P89" s="5"/>
      <c r="Q89" s="5"/>
      <c r="R89" s="5"/>
      <c r="S89" s="5"/>
      <c r="T89" s="5"/>
      <c r="U89" s="5"/>
      <c r="V89" s="5"/>
      <c r="W89" s="5"/>
      <c r="X89" s="5"/>
      <c r="Y89" s="5"/>
      <c r="Z89" s="5"/>
      <c r="AA89" s="217"/>
      <c r="AC89" s="2"/>
    </row>
    <row r="90" spans="1:29" x14ac:dyDescent="0.25">
      <c r="A90" s="107"/>
      <c r="B90" s="107"/>
      <c r="C90" s="19"/>
      <c r="D90" s="19"/>
      <c r="E90" s="19"/>
      <c r="F90" s="6"/>
      <c r="G90" s="10"/>
      <c r="H90" s="10"/>
      <c r="I90" s="8"/>
      <c r="J90" s="47"/>
      <c r="K90" s="5"/>
      <c r="L90" s="5"/>
      <c r="M90" s="5"/>
      <c r="N90" s="5"/>
      <c r="O90" s="5"/>
      <c r="P90" s="5"/>
      <c r="Q90" s="5"/>
      <c r="R90" s="5"/>
      <c r="S90" s="5"/>
      <c r="T90" s="5"/>
      <c r="U90" s="5"/>
      <c r="V90" s="5"/>
      <c r="W90" s="5"/>
      <c r="X90" s="5"/>
      <c r="Y90" s="5"/>
      <c r="Z90" s="5"/>
      <c r="AA90" s="217"/>
      <c r="AC90" s="2"/>
    </row>
    <row r="91" spans="1:29" x14ac:dyDescent="0.25">
      <c r="A91" s="5"/>
      <c r="B91" s="8"/>
      <c r="C91" s="5"/>
      <c r="D91" s="5"/>
      <c r="E91" s="5"/>
      <c r="F91" s="5"/>
      <c r="G91" s="5"/>
      <c r="H91" s="5"/>
      <c r="I91" s="5"/>
      <c r="J91" s="5"/>
      <c r="K91" s="5"/>
      <c r="L91" s="5"/>
      <c r="M91" s="5"/>
      <c r="N91" s="5"/>
      <c r="O91" s="5"/>
      <c r="P91" s="5"/>
      <c r="Q91" s="5"/>
      <c r="R91" s="5"/>
      <c r="S91" s="5"/>
      <c r="T91" s="5"/>
      <c r="U91" s="5"/>
      <c r="V91" s="5"/>
      <c r="W91" s="5"/>
      <c r="X91" s="5"/>
      <c r="Y91" s="5"/>
      <c r="Z91" s="5"/>
      <c r="AA91" s="217"/>
      <c r="AC91" s="2"/>
    </row>
    <row r="92" spans="1:29"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298"/>
      <c r="AC92" s="2"/>
    </row>
    <row r="93" spans="1:29" x14ac:dyDescent="0.25">
      <c r="AB93" s="3"/>
    </row>
  </sheetData>
  <sheetProtection password="E2CF" sheet="1" objects="1" scenarios="1" selectLockedCells="1"/>
  <mergeCells count="5">
    <mergeCell ref="C3:D3"/>
    <mergeCell ref="E3:F3"/>
    <mergeCell ref="C4:D4"/>
    <mergeCell ref="E4:F4"/>
    <mergeCell ref="C5:D5"/>
  </mergeCells>
  <conditionalFormatting sqref="G70">
    <cfRule type="expression" dxfId="30" priority="38" stopIfTrue="1">
      <formula>AND($G$70&gt;=3, $G$71="No")</formula>
    </cfRule>
  </conditionalFormatting>
  <conditionalFormatting sqref="G78">
    <cfRule type="expression" dxfId="29" priority="37" stopIfTrue="1">
      <formula>OR($G$78&lt;-3, $G$78&gt;3)</formula>
    </cfRule>
  </conditionalFormatting>
  <conditionalFormatting sqref="G74">
    <cfRule type="expression" dxfId="28" priority="35" stopIfTrue="1">
      <formula>$G$71="No"</formula>
    </cfRule>
    <cfRule type="expression" dxfId="27" priority="36" stopIfTrue="1">
      <formula>$G$71="Yes"</formula>
    </cfRule>
  </conditionalFormatting>
  <conditionalFormatting sqref="G75">
    <cfRule type="expression" dxfId="26" priority="33" stopIfTrue="1">
      <formula>$G$71="Yes"</formula>
    </cfRule>
    <cfRule type="expression" dxfId="25" priority="34" stopIfTrue="1">
      <formula>$G$71="No"</formula>
    </cfRule>
  </conditionalFormatting>
  <conditionalFormatting sqref="G33">
    <cfRule type="expression" dxfId="24" priority="32" stopIfTrue="1">
      <formula>$G$33&lt;$G$17+2</formula>
    </cfRule>
  </conditionalFormatting>
  <conditionalFormatting sqref="G36">
    <cfRule type="expression" dxfId="23" priority="31" stopIfTrue="1">
      <formula>$G$36&lt;=$G$17</formula>
    </cfRule>
  </conditionalFormatting>
  <conditionalFormatting sqref="G16">
    <cfRule type="expression" dxfId="22" priority="30" stopIfTrue="1">
      <formula>$G$16&gt;6</formula>
    </cfRule>
  </conditionalFormatting>
  <conditionalFormatting sqref="G85">
    <cfRule type="expression" dxfId="21" priority="28" stopIfTrue="1">
      <formula>$G$84="Digital"</formula>
    </cfRule>
  </conditionalFormatting>
  <conditionalFormatting sqref="G86">
    <cfRule type="expression" dxfId="20" priority="26" stopIfTrue="1">
      <formula>$G$84="Digital"</formula>
    </cfRule>
  </conditionalFormatting>
  <conditionalFormatting sqref="G87">
    <cfRule type="expression" dxfId="19" priority="24" stopIfTrue="1">
      <formula>$G$84="Digital"</formula>
    </cfRule>
  </conditionalFormatting>
  <conditionalFormatting sqref="H86">
    <cfRule type="expression" dxfId="18" priority="23" stopIfTrue="1">
      <formula>$G$84="Digital"</formula>
    </cfRule>
  </conditionalFormatting>
  <conditionalFormatting sqref="H85">
    <cfRule type="expression" dxfId="17" priority="22" stopIfTrue="1">
      <formula>$G$84="Digital"</formula>
    </cfRule>
  </conditionalFormatting>
  <conditionalFormatting sqref="H87:H88">
    <cfRule type="expression" dxfId="16" priority="21" stopIfTrue="1">
      <formula>$G$84="Digital"</formula>
    </cfRule>
  </conditionalFormatting>
  <conditionalFormatting sqref="G88">
    <cfRule type="expression" dxfId="15" priority="20" stopIfTrue="1">
      <formula>$G$84="Analog"</formula>
    </cfRule>
  </conditionalFormatting>
  <conditionalFormatting sqref="G46">
    <cfRule type="expression" dxfId="14" priority="14" stopIfTrue="1">
      <formula>(G46&gt;G45)</formula>
    </cfRule>
  </conditionalFormatting>
  <conditionalFormatting sqref="G58">
    <cfRule type="expression" dxfId="13" priority="13" stopIfTrue="1">
      <formula>(G58&gt;G46)</formula>
    </cfRule>
  </conditionalFormatting>
  <conditionalFormatting sqref="H84">
    <cfRule type="expression" dxfId="12" priority="12" stopIfTrue="1">
      <formula>$G$84="Digital"</formula>
    </cfRule>
  </conditionalFormatting>
  <conditionalFormatting sqref="G35">
    <cfRule type="expression" dxfId="11" priority="11" stopIfTrue="1">
      <formula>G35&gt;48</formula>
    </cfRule>
  </conditionalFormatting>
  <conditionalFormatting sqref="G34">
    <cfRule type="expression" dxfId="10" priority="10" stopIfTrue="1">
      <formula>$G$34&gt;$G$12*$G$14+0.4</formula>
    </cfRule>
  </conditionalFormatting>
  <conditionalFormatting sqref="J33">
    <cfRule type="expression" dxfId="9" priority="9" stopIfTrue="1">
      <formula>"&lt;$G$17+2"</formula>
    </cfRule>
  </conditionalFormatting>
  <conditionalFormatting sqref="G76">
    <cfRule type="expression" dxfId="8" priority="8" stopIfTrue="1">
      <formula>AND($G$71="Yes",$G$76&lt;500)</formula>
    </cfRule>
  </conditionalFormatting>
  <conditionalFormatting sqref="G77">
    <cfRule type="expression" dxfId="7" priority="7" stopIfTrue="1">
      <formula>AND($G$71="Yes",$G$77&gt;2000)</formula>
    </cfRule>
  </conditionalFormatting>
  <conditionalFormatting sqref="G63">
    <cfRule type="expression" dxfId="6" priority="6" stopIfTrue="1">
      <formula>$G$63&lt;10</formula>
    </cfRule>
  </conditionalFormatting>
  <conditionalFormatting sqref="G21">
    <cfRule type="expression" dxfId="5" priority="4" stopIfTrue="1">
      <formula>$G$21&gt;150</formula>
    </cfRule>
  </conditionalFormatting>
  <conditionalFormatting sqref="G22">
    <cfRule type="expression" dxfId="4" priority="3" stopIfTrue="1">
      <formula>$G$22&gt;900</formula>
    </cfRule>
  </conditionalFormatting>
  <conditionalFormatting sqref="G18">
    <cfRule type="expression" dxfId="3" priority="2" stopIfTrue="1">
      <formula>$G$18&gt;0.15</formula>
    </cfRule>
  </conditionalFormatting>
  <conditionalFormatting sqref="G17">
    <cfRule type="expression" dxfId="2" priority="1" stopIfTrue="1">
      <formula>$G$17&gt;48</formula>
    </cfRule>
  </conditionalFormatting>
  <conditionalFormatting sqref="G65">
    <cfRule type="expression" dxfId="1" priority="41" stopIfTrue="1">
      <formula>$G$65&gt;#REF!</formula>
    </cfRule>
  </conditionalFormatting>
  <dataValidations count="30">
    <dataValidation allowBlank="1" showErrorMessage="1" prompt="最小輸入電壓" sqref="G9"/>
    <dataValidation allowBlank="1" showErrorMessage="1" prompt="最高輸入電壓" sqref="G10"/>
    <dataValidation allowBlank="1" showErrorMessage="1" prompt="單顆LED的最高順向偏壓" sqref="G11:G12"/>
    <dataValidation allowBlank="1" showErrorMessage="1" prompt="驅動LED背光所需最小輸出電壓" sqref="G17"/>
    <dataValidation allowBlank="1" showErrorMessage="1" prompt="LP8863每通道最大所需沉入電流" sqref="G18"/>
    <dataValidation allowBlank="1" showErrorMessage="1" prompt="最大輸出電流" sqref="G22"/>
    <dataValidation allowBlank="1" showErrorMessage="1" prompt="最大輸入電流" sqref="G24"/>
    <dataValidation allowBlank="1" showErrorMessage="1" prompt="最大輸出功率" sqref="G23"/>
    <dataValidation allowBlank="1" showErrorMessage="1" prompt="每串的LED的數量" sqref="G14"/>
    <dataValidation allowBlank="1" showErrorMessage="1" prompt="LED串的並聯數量" sqref="G15"/>
    <dataValidation allowBlank="1" showErrorMessage="1" prompt="LP8863每通道所驅動的並聯LED組" sqref="G16"/>
    <dataValidation allowBlank="1" showErrorMessage="1" sqref="G13 G54 G56:G58 G51"/>
    <dataValidation allowBlank="1" showErrorMessage="1" prompt="最大輸入功率" sqref="G25"/>
    <dataValidation type="list" allowBlank="1" showErrorMessage="1" prompt="下拉選擇升壓的切換頻率" sqref="G38">
      <formula1>"303,400,606,800,1000,1250,1667,2200"</formula1>
    </dataValidation>
    <dataValidation showDropDown="1" showInputMessage="1" showErrorMessage="1" sqref="G39"/>
    <dataValidation type="list" allowBlank="1" showErrorMessage="1" prompt="下拉選擇LED的PWM調光頻率" sqref="G81">
      <formula1>"152,305,610,1221,2441,4883,9766,19531"</formula1>
    </dataValidation>
    <dataValidation allowBlank="1" showErrorMessage="1" prompt="輸入RISET實際使用的阻值" sqref="G20"/>
    <dataValidation allowBlank="1" showErrorMessage="1" prompt="建議最小電感值(min)" sqref="G40:G42"/>
    <dataValidation allowBlank="1" showErrorMessage="1" prompt="電感與MOSFET的額定電流下限值" sqref="G49"/>
    <dataValidation allowBlank="1" showInputMessage="1" showErrorMessage="1" prompt="電感的飽和電流下限值" sqref="G52"/>
    <dataValidation allowBlank="1" showErrorMessage="1" prompt="升壓OCP的最大觸發電流" sqref="G48"/>
    <dataValidation allowBlank="1" showErrorMessage="1" prompt="上側回授電阻的下限值" sqref="G28:G29"/>
    <dataValidation allowBlank="1" showErrorMessage="1" prompt="LP8863每通道最大沉入電流" sqref="G21"/>
    <dataValidation allowBlank="1" showErrorMessage="1" prompt="BOOST OCP感測電阻的上限值" sqref="G45"/>
    <dataValidation allowBlank="1" showErrorMessage="1" prompt="輸入所設計的 Boost OCP 感測電阻" sqref="G46"/>
    <dataValidation type="list" allowBlank="1" showInputMessage="1" showErrorMessage="1" sqref="G71">
      <formula1>"Yes, No"</formula1>
    </dataValidation>
    <dataValidation type="list" allowBlank="1" showInputMessage="1" showErrorMessage="1" sqref="G84">
      <formula1>"PWM, Digital"</formula1>
    </dataValidation>
    <dataValidation allowBlank="1" showErrorMessage="1" prompt="電感的飽和電流下限值" sqref="G50 G59"/>
    <dataValidation type="list" allowBlank="1" showInputMessage="1" showErrorMessage="1" sqref="G88">
      <formula1>"No, Yes"</formula1>
    </dataValidation>
    <dataValidation allowBlank="1" showErrorMessage="1" prompt="下拉選擇LED的PWM調光頻率" sqref="G83"/>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5" stopIfTrue="1" id="{78755CE0-E8F3-4E14-8815-EA0587D9C5CD}">
            <xm:f>'PWM Dimming cal'!$N$8&lt;=20000</xm:f>
            <x14:dxf>
              <fill>
                <patternFill>
                  <bgColor rgb="FFFF5050"/>
                </patternFill>
              </fill>
            </x14:dxf>
          </x14:cfRule>
          <xm:sqref>G83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zoomScale="85" zoomScaleNormal="85" workbookViewId="0">
      <selection activeCell="G13" sqref="G13"/>
    </sheetView>
  </sheetViews>
  <sheetFormatPr defaultRowHeight="15" x14ac:dyDescent="0.25"/>
  <cols>
    <col min="1" max="1" width="3.7109375" style="249" customWidth="1"/>
    <col min="2" max="2" width="23" style="249" customWidth="1"/>
    <col min="3" max="3" width="65.28515625" style="249" customWidth="1"/>
    <col min="4" max="16384" width="9.140625" style="249"/>
  </cols>
  <sheetData>
    <row r="1" spans="1:21" x14ac:dyDescent="0.25">
      <c r="A1" s="281"/>
      <c r="B1" s="281"/>
      <c r="C1" s="281"/>
      <c r="D1" s="281"/>
      <c r="E1" s="281"/>
      <c r="F1" s="281"/>
      <c r="G1" s="281"/>
      <c r="H1" s="281"/>
      <c r="I1" s="281"/>
      <c r="J1" s="281"/>
      <c r="K1" s="281"/>
      <c r="L1" s="281"/>
      <c r="M1" s="281"/>
      <c r="N1" s="281"/>
      <c r="O1" s="281"/>
      <c r="P1" s="281"/>
      <c r="Q1" s="281"/>
      <c r="R1" s="281"/>
      <c r="S1" s="281"/>
      <c r="T1" s="281"/>
      <c r="U1" s="281"/>
    </row>
    <row r="2" spans="1:21" x14ac:dyDescent="0.25">
      <c r="A2" s="281"/>
      <c r="B2" s="281"/>
      <c r="C2" s="281"/>
      <c r="D2" s="281"/>
      <c r="E2" s="281"/>
      <c r="F2" s="281"/>
      <c r="G2" s="281"/>
      <c r="H2" s="281"/>
      <c r="I2" s="281"/>
      <c r="J2" s="281"/>
      <c r="K2" s="281"/>
      <c r="L2" s="281"/>
      <c r="M2" s="281"/>
      <c r="N2" s="281"/>
      <c r="O2" s="281"/>
      <c r="P2" s="281"/>
      <c r="Q2" s="281"/>
      <c r="R2" s="281"/>
      <c r="S2" s="281"/>
      <c r="T2" s="281"/>
      <c r="U2" s="281"/>
    </row>
    <row r="3" spans="1:21" x14ac:dyDescent="0.25">
      <c r="A3" s="281"/>
      <c r="B3" s="281"/>
      <c r="C3" s="281"/>
      <c r="D3" s="281"/>
      <c r="E3" s="281"/>
      <c r="F3" s="281"/>
      <c r="G3" s="281"/>
      <c r="H3" s="281"/>
      <c r="I3" s="281"/>
      <c r="J3" s="281"/>
      <c r="K3" s="281"/>
      <c r="L3" s="281"/>
      <c r="M3" s="281"/>
      <c r="N3" s="281"/>
      <c r="O3" s="281"/>
      <c r="P3" s="281"/>
      <c r="Q3" s="281"/>
      <c r="R3" s="281"/>
      <c r="S3" s="281"/>
      <c r="T3" s="281"/>
      <c r="U3" s="281"/>
    </row>
    <row r="4" spans="1:21" x14ac:dyDescent="0.25">
      <c r="A4" s="282"/>
      <c r="B4" s="282"/>
      <c r="C4" s="282"/>
      <c r="D4" s="282"/>
      <c r="E4" s="282"/>
      <c r="F4" s="282"/>
      <c r="G4" s="282"/>
      <c r="H4" s="282"/>
      <c r="I4" s="282"/>
      <c r="J4" s="282"/>
      <c r="K4" s="282"/>
      <c r="L4" s="282"/>
      <c r="M4" s="282"/>
      <c r="N4" s="282"/>
      <c r="O4" s="282"/>
      <c r="P4" s="282"/>
      <c r="Q4" s="282"/>
      <c r="R4" s="282"/>
      <c r="S4" s="250"/>
      <c r="T4" s="250"/>
      <c r="U4" s="250"/>
    </row>
    <row r="5" spans="1:21" ht="15.75" x14ac:dyDescent="0.25">
      <c r="A5" s="251"/>
      <c r="B5" s="252" t="s">
        <v>308</v>
      </c>
      <c r="C5" s="253" t="s">
        <v>309</v>
      </c>
      <c r="D5" s="7"/>
      <c r="E5" s="7"/>
      <c r="F5" s="7"/>
      <c r="G5" s="7"/>
      <c r="H5" s="7"/>
      <c r="I5" s="7"/>
      <c r="J5" s="7"/>
      <c r="K5" s="7"/>
      <c r="L5" s="7"/>
      <c r="M5" s="7"/>
      <c r="N5" s="7"/>
      <c r="O5" s="7"/>
      <c r="P5" s="7"/>
      <c r="Q5" s="7"/>
      <c r="R5" s="7"/>
      <c r="S5" s="7"/>
      <c r="T5" s="7"/>
      <c r="U5" s="7"/>
    </row>
    <row r="6" spans="1:21" x14ac:dyDescent="0.25">
      <c r="A6" s="150"/>
      <c r="B6" s="150"/>
      <c r="C6" s="150"/>
      <c r="D6" s="150"/>
      <c r="E6" s="150"/>
      <c r="F6" s="150"/>
      <c r="G6" s="254" t="s">
        <v>310</v>
      </c>
      <c r="H6" s="255"/>
      <c r="O6" s="150"/>
      <c r="P6" s="150"/>
      <c r="Q6" s="150"/>
      <c r="R6" s="150"/>
      <c r="S6" s="150"/>
      <c r="T6" s="150"/>
      <c r="U6" s="150"/>
    </row>
    <row r="7" spans="1:21" x14ac:dyDescent="0.25">
      <c r="A7" s="150"/>
      <c r="B7" s="150"/>
      <c r="C7" s="150"/>
      <c r="D7" s="150"/>
      <c r="E7" s="150"/>
      <c r="F7" s="150"/>
      <c r="G7" s="256" t="s">
        <v>311</v>
      </c>
      <c r="H7" s="257" t="s">
        <v>312</v>
      </c>
      <c r="I7" s="257"/>
      <c r="J7" s="257"/>
      <c r="K7" s="257"/>
      <c r="L7" s="257"/>
      <c r="M7" s="257"/>
      <c r="N7" s="257"/>
      <c r="O7" s="150"/>
      <c r="P7" s="150"/>
      <c r="Q7" s="150"/>
      <c r="R7" s="150"/>
      <c r="S7" s="150"/>
      <c r="T7" s="150"/>
      <c r="U7" s="150"/>
    </row>
    <row r="8" spans="1:21" x14ac:dyDescent="0.25">
      <c r="A8" s="150"/>
      <c r="B8" s="150"/>
      <c r="C8" s="150"/>
      <c r="D8" s="150"/>
      <c r="E8" s="150"/>
      <c r="F8" s="150"/>
      <c r="G8" s="258" t="s">
        <v>309</v>
      </c>
      <c r="H8" s="259" t="s">
        <v>313</v>
      </c>
      <c r="I8" s="259"/>
      <c r="J8" s="259"/>
      <c r="K8" s="259"/>
      <c r="L8" s="259"/>
      <c r="M8" s="259"/>
      <c r="N8" s="259"/>
      <c r="O8" s="150"/>
      <c r="P8" s="150"/>
      <c r="Q8" s="150"/>
      <c r="R8" s="150"/>
      <c r="S8" s="150"/>
      <c r="T8" s="150"/>
      <c r="U8" s="150"/>
    </row>
    <row r="9" spans="1:21" x14ac:dyDescent="0.25">
      <c r="A9" s="150"/>
      <c r="B9" s="150"/>
      <c r="C9" s="150"/>
      <c r="D9" s="150"/>
      <c r="E9" s="150"/>
      <c r="F9" s="150"/>
      <c r="G9" s="150"/>
      <c r="H9" s="150"/>
      <c r="I9" s="150"/>
      <c r="J9" s="150"/>
      <c r="K9" s="150"/>
      <c r="L9" s="150"/>
      <c r="M9" s="150"/>
      <c r="N9" s="150"/>
      <c r="O9" s="150"/>
      <c r="P9" s="150"/>
      <c r="Q9" s="150"/>
      <c r="R9" s="150"/>
      <c r="S9" s="150"/>
      <c r="T9" s="150"/>
      <c r="U9" s="150"/>
    </row>
    <row r="10" spans="1:21" x14ac:dyDescent="0.25">
      <c r="A10" s="150"/>
      <c r="B10" s="150"/>
      <c r="C10" s="150"/>
      <c r="D10" s="150"/>
      <c r="E10" s="150"/>
      <c r="F10" s="150"/>
      <c r="G10" s="150"/>
      <c r="H10" s="150"/>
      <c r="I10" s="150"/>
      <c r="J10" s="150"/>
      <c r="K10" s="150"/>
      <c r="L10" s="150"/>
      <c r="M10" s="150"/>
      <c r="N10" s="150"/>
      <c r="O10" s="150"/>
      <c r="P10" s="150"/>
      <c r="Q10" s="150"/>
      <c r="R10" s="150"/>
      <c r="S10" s="150"/>
      <c r="T10" s="150"/>
      <c r="U10" s="150"/>
    </row>
    <row r="11" spans="1:21" x14ac:dyDescent="0.25">
      <c r="A11" s="150"/>
      <c r="B11" s="150"/>
      <c r="C11" s="150"/>
      <c r="D11" s="150"/>
      <c r="E11" s="150"/>
      <c r="F11" s="150"/>
      <c r="G11" s="150"/>
      <c r="H11" s="150"/>
      <c r="I11" s="150"/>
      <c r="J11" s="150"/>
      <c r="K11" s="150"/>
      <c r="L11" s="150"/>
      <c r="M11" s="150"/>
      <c r="N11" s="150"/>
      <c r="O11" s="150"/>
      <c r="P11" s="150"/>
      <c r="Q11" s="150"/>
      <c r="R11" s="150"/>
      <c r="S11" s="150"/>
      <c r="T11" s="150"/>
      <c r="U11" s="150"/>
    </row>
    <row r="12" spans="1:21" x14ac:dyDescent="0.25">
      <c r="A12" s="150"/>
      <c r="B12" s="150"/>
      <c r="C12" s="150"/>
      <c r="D12" s="150"/>
      <c r="E12" s="150"/>
      <c r="F12" s="150"/>
      <c r="G12" s="150"/>
      <c r="H12" s="150"/>
      <c r="I12" s="150"/>
      <c r="J12" s="150"/>
      <c r="K12" s="150"/>
      <c r="L12" s="150"/>
      <c r="M12" s="150"/>
      <c r="N12" s="150"/>
      <c r="O12" s="150"/>
      <c r="P12" s="150"/>
      <c r="Q12" s="150"/>
      <c r="R12" s="150"/>
      <c r="S12" s="150"/>
      <c r="T12" s="150"/>
      <c r="U12" s="150"/>
    </row>
    <row r="13" spans="1:21" x14ac:dyDescent="0.25">
      <c r="A13" s="150"/>
      <c r="B13" s="150"/>
      <c r="C13" s="150"/>
      <c r="D13" s="150"/>
      <c r="E13" s="150"/>
      <c r="F13" s="150"/>
      <c r="G13" s="150"/>
      <c r="H13" s="150"/>
      <c r="I13" s="150"/>
      <c r="J13" s="150"/>
      <c r="K13" s="150"/>
      <c r="L13" s="150"/>
      <c r="M13" s="150"/>
      <c r="N13" s="150"/>
      <c r="O13" s="150"/>
      <c r="P13" s="150"/>
      <c r="Q13" s="150"/>
      <c r="R13" s="150"/>
      <c r="S13" s="150"/>
      <c r="T13" s="150"/>
      <c r="U13" s="150"/>
    </row>
    <row r="14" spans="1:21" x14ac:dyDescent="0.25">
      <c r="A14" s="150"/>
      <c r="B14" s="150"/>
      <c r="C14" s="150"/>
      <c r="D14" s="150"/>
      <c r="E14" s="150"/>
      <c r="F14" s="150"/>
      <c r="G14" s="150"/>
      <c r="H14" s="150"/>
      <c r="I14" s="150"/>
      <c r="J14" s="150"/>
      <c r="K14" s="150"/>
      <c r="L14" s="150"/>
      <c r="M14" s="150"/>
      <c r="N14" s="150"/>
      <c r="O14" s="150"/>
      <c r="P14" s="150"/>
      <c r="Q14" s="150"/>
      <c r="R14" s="150"/>
      <c r="S14" s="150"/>
      <c r="T14" s="150"/>
      <c r="U14" s="150"/>
    </row>
    <row r="15" spans="1:21" x14ac:dyDescent="0.25">
      <c r="A15" s="150"/>
      <c r="B15" s="150"/>
      <c r="C15" s="150"/>
      <c r="D15" s="150"/>
      <c r="E15" s="150"/>
      <c r="F15" s="150"/>
      <c r="G15" s="150"/>
      <c r="H15" s="150"/>
      <c r="I15" s="150"/>
      <c r="J15" s="150"/>
      <c r="K15" s="150"/>
      <c r="L15" s="150"/>
      <c r="M15" s="150"/>
      <c r="N15" s="150"/>
      <c r="O15" s="150"/>
      <c r="P15" s="150"/>
      <c r="Q15" s="150"/>
      <c r="R15" s="150"/>
      <c r="S15" s="150"/>
      <c r="T15" s="150"/>
      <c r="U15" s="150"/>
    </row>
    <row r="16" spans="1:21" x14ac:dyDescent="0.25">
      <c r="A16" s="150"/>
      <c r="B16" s="150"/>
      <c r="C16" s="150"/>
      <c r="D16" s="150"/>
      <c r="E16" s="150"/>
      <c r="F16" s="150"/>
      <c r="G16" s="260"/>
      <c r="H16" s="150"/>
      <c r="I16" s="150"/>
      <c r="J16" s="150"/>
      <c r="K16" s="150"/>
      <c r="L16" s="150"/>
      <c r="M16" s="150"/>
      <c r="N16" s="150"/>
      <c r="O16" s="150"/>
      <c r="P16" s="150"/>
      <c r="Q16" s="150"/>
      <c r="R16" s="150"/>
      <c r="S16" s="150"/>
      <c r="T16" s="150"/>
      <c r="U16" s="150"/>
    </row>
    <row r="17" spans="1:21" x14ac:dyDescent="0.25">
      <c r="A17" s="150"/>
      <c r="B17" s="150"/>
      <c r="C17" s="150"/>
      <c r="D17" s="150"/>
      <c r="E17" s="150"/>
      <c r="F17" s="150"/>
      <c r="G17" s="150"/>
      <c r="H17" s="150"/>
      <c r="I17" s="150"/>
      <c r="J17" s="150"/>
      <c r="K17" s="150"/>
      <c r="L17" s="150"/>
      <c r="M17" s="150"/>
      <c r="N17" s="150"/>
      <c r="O17" s="150"/>
      <c r="P17" s="150"/>
      <c r="Q17" s="150"/>
      <c r="R17" s="150"/>
      <c r="S17" s="150"/>
      <c r="T17" s="150"/>
      <c r="U17" s="150"/>
    </row>
    <row r="18" spans="1:21" x14ac:dyDescent="0.25">
      <c r="A18" s="150"/>
      <c r="B18" s="150"/>
      <c r="C18" s="150"/>
      <c r="D18" s="150"/>
      <c r="E18" s="150"/>
      <c r="F18" s="150"/>
      <c r="G18" s="150"/>
      <c r="H18" s="150"/>
      <c r="I18" s="150"/>
      <c r="J18" s="150"/>
      <c r="K18" s="150"/>
      <c r="L18" s="150"/>
      <c r="M18" s="150"/>
      <c r="N18" s="150"/>
      <c r="O18" s="150"/>
      <c r="P18" s="150"/>
      <c r="Q18" s="150"/>
      <c r="R18" s="150"/>
      <c r="S18" s="150"/>
      <c r="T18" s="150"/>
      <c r="U18" s="150"/>
    </row>
    <row r="19" spans="1:21" x14ac:dyDescent="0.25">
      <c r="A19" s="150"/>
      <c r="B19" s="150"/>
      <c r="C19" s="150"/>
      <c r="D19" s="150"/>
      <c r="E19" s="150"/>
      <c r="F19" s="150"/>
      <c r="G19" s="150"/>
      <c r="H19" s="150"/>
      <c r="I19" s="150"/>
      <c r="J19" s="150"/>
      <c r="K19" s="150"/>
      <c r="L19" s="150"/>
      <c r="M19" s="150"/>
      <c r="N19" s="150"/>
      <c r="O19" s="150"/>
      <c r="P19" s="150"/>
      <c r="Q19" s="150"/>
      <c r="R19" s="150"/>
      <c r="S19" s="150"/>
      <c r="T19" s="150"/>
      <c r="U19" s="150"/>
    </row>
    <row r="20" spans="1:21" x14ac:dyDescent="0.25">
      <c r="A20" s="261" t="s">
        <v>310</v>
      </c>
      <c r="B20" s="261" t="s">
        <v>311</v>
      </c>
      <c r="C20" s="261" t="s">
        <v>312</v>
      </c>
      <c r="D20" s="150"/>
      <c r="E20" s="150"/>
      <c r="F20" s="150"/>
      <c r="G20" s="150"/>
      <c r="H20" s="150"/>
      <c r="I20" s="150"/>
      <c r="J20" s="150"/>
      <c r="K20" s="150"/>
      <c r="L20" s="150"/>
      <c r="M20" s="150"/>
      <c r="N20" s="150"/>
      <c r="O20" s="150"/>
      <c r="P20" s="150"/>
      <c r="Q20" s="150"/>
      <c r="R20" s="150"/>
      <c r="S20" s="150"/>
      <c r="T20" s="150"/>
      <c r="U20" s="150"/>
    </row>
    <row r="21" spans="1:21" x14ac:dyDescent="0.25">
      <c r="A21" s="150"/>
      <c r="B21" s="150"/>
      <c r="C21" s="150"/>
      <c r="D21" s="150"/>
      <c r="E21" s="150"/>
      <c r="F21" s="150"/>
      <c r="G21" s="150"/>
      <c r="H21" s="150"/>
      <c r="I21" s="150"/>
      <c r="J21" s="150"/>
      <c r="K21" s="150"/>
      <c r="L21" s="150"/>
      <c r="M21" s="150"/>
      <c r="N21" s="150"/>
      <c r="O21" s="150"/>
      <c r="P21" s="150"/>
      <c r="Q21" s="150"/>
      <c r="R21" s="150"/>
      <c r="S21" s="150"/>
      <c r="T21" s="150"/>
      <c r="U21" s="150"/>
    </row>
    <row r="22" spans="1:21" x14ac:dyDescent="0.25">
      <c r="A22" s="150"/>
      <c r="B22" s="150"/>
      <c r="C22" s="150"/>
      <c r="D22" s="150"/>
      <c r="E22" s="150"/>
      <c r="F22" s="150"/>
      <c r="G22" s="150"/>
      <c r="H22" s="150"/>
      <c r="I22" s="150"/>
      <c r="J22" s="150"/>
      <c r="K22" s="150"/>
      <c r="L22" s="150"/>
      <c r="M22" s="150"/>
      <c r="N22" s="150"/>
      <c r="O22" s="150"/>
      <c r="P22" s="150"/>
      <c r="Q22" s="150"/>
      <c r="R22" s="150"/>
      <c r="S22" s="150"/>
      <c r="T22" s="150"/>
      <c r="U22" s="150"/>
    </row>
    <row r="23" spans="1:21" x14ac:dyDescent="0.25">
      <c r="A23" s="150"/>
      <c r="B23" s="150"/>
      <c r="C23" s="150"/>
      <c r="D23" s="150"/>
      <c r="E23" s="150"/>
      <c r="F23" s="150"/>
      <c r="G23" s="150"/>
      <c r="H23" s="150"/>
      <c r="I23" s="150"/>
      <c r="J23" s="150"/>
      <c r="K23" s="150"/>
      <c r="L23" s="150"/>
      <c r="M23" s="150"/>
      <c r="N23" s="150"/>
      <c r="O23" s="150"/>
      <c r="P23" s="150"/>
      <c r="Q23" s="150"/>
      <c r="R23" s="150"/>
      <c r="S23" s="150"/>
      <c r="T23" s="150"/>
      <c r="U23" s="150"/>
    </row>
    <row r="24" spans="1:21" x14ac:dyDescent="0.25">
      <c r="A24" s="150"/>
      <c r="B24" s="150"/>
      <c r="C24" s="150"/>
      <c r="D24" s="150"/>
      <c r="E24" s="150"/>
      <c r="F24" s="150"/>
      <c r="G24" s="150"/>
      <c r="H24" s="150"/>
      <c r="I24" s="150"/>
      <c r="J24" s="150"/>
      <c r="K24" s="150"/>
      <c r="L24" s="150"/>
      <c r="M24" s="150"/>
      <c r="N24" s="150"/>
      <c r="O24" s="150"/>
      <c r="P24" s="150"/>
      <c r="Q24" s="150"/>
      <c r="R24" s="150"/>
      <c r="S24" s="150"/>
      <c r="T24" s="150"/>
      <c r="U24" s="150"/>
    </row>
    <row r="25" spans="1:21" x14ac:dyDescent="0.25">
      <c r="A25" s="150"/>
      <c r="B25" s="150"/>
      <c r="C25" s="150"/>
      <c r="D25" s="150"/>
      <c r="E25" s="150"/>
      <c r="F25" s="150"/>
      <c r="G25" s="150"/>
      <c r="H25" s="150"/>
      <c r="I25" s="150"/>
      <c r="J25" s="150"/>
      <c r="K25" s="150"/>
      <c r="L25" s="150"/>
      <c r="M25" s="150"/>
      <c r="N25" s="150"/>
      <c r="O25" s="150"/>
      <c r="P25" s="150"/>
      <c r="Q25" s="150"/>
      <c r="R25" s="150"/>
      <c r="S25" s="150"/>
      <c r="T25" s="150"/>
      <c r="U25" s="150"/>
    </row>
    <row r="26" spans="1:21" x14ac:dyDescent="0.25">
      <c r="A26" s="150"/>
      <c r="B26" s="150"/>
      <c r="C26" s="150"/>
      <c r="D26" s="150"/>
      <c r="E26" s="150"/>
      <c r="F26" s="150"/>
      <c r="G26" s="150"/>
      <c r="H26" s="150"/>
      <c r="I26" s="150"/>
      <c r="J26" s="150"/>
      <c r="K26" s="150"/>
      <c r="L26" s="150"/>
      <c r="M26" s="150"/>
      <c r="N26" s="150"/>
      <c r="O26" s="150"/>
      <c r="P26" s="150"/>
      <c r="Q26" s="150"/>
      <c r="R26" s="150"/>
      <c r="S26" s="150"/>
      <c r="T26" s="150"/>
      <c r="U26" s="150"/>
    </row>
    <row r="27" spans="1:21" x14ac:dyDescent="0.25">
      <c r="A27" s="150"/>
      <c r="B27" s="150"/>
      <c r="C27" s="150"/>
      <c r="D27" s="150"/>
      <c r="E27" s="150"/>
      <c r="F27" s="150"/>
      <c r="G27" s="150"/>
      <c r="H27" s="150"/>
      <c r="I27" s="150"/>
      <c r="J27" s="150"/>
      <c r="K27" s="150"/>
      <c r="L27" s="150"/>
      <c r="M27" s="150"/>
      <c r="N27" s="150"/>
      <c r="O27" s="150"/>
      <c r="P27" s="150"/>
      <c r="Q27" s="150"/>
      <c r="R27" s="150"/>
      <c r="S27" s="150"/>
      <c r="T27" s="150"/>
      <c r="U27" s="150"/>
    </row>
    <row r="28" spans="1:21" x14ac:dyDescent="0.25">
      <c r="A28" s="150"/>
      <c r="B28" s="150"/>
      <c r="C28" s="150"/>
      <c r="D28" s="150"/>
      <c r="E28" s="150"/>
      <c r="F28" s="150"/>
      <c r="G28" s="150"/>
      <c r="H28" s="150"/>
      <c r="I28" s="150"/>
      <c r="J28" s="150"/>
      <c r="K28" s="150"/>
      <c r="L28" s="150"/>
      <c r="M28" s="150"/>
      <c r="N28" s="150"/>
      <c r="O28" s="150"/>
      <c r="P28" s="150"/>
      <c r="Q28" s="150"/>
      <c r="R28" s="150"/>
      <c r="S28" s="150"/>
      <c r="T28" s="150"/>
      <c r="U28" s="150"/>
    </row>
    <row r="29" spans="1:21" x14ac:dyDescent="0.25">
      <c r="A29" s="150"/>
      <c r="B29" s="150"/>
      <c r="C29" s="150"/>
      <c r="D29" s="150"/>
      <c r="E29" s="150"/>
      <c r="F29" s="150"/>
      <c r="G29" s="150"/>
      <c r="H29" s="150"/>
      <c r="I29" s="150"/>
      <c r="J29" s="150"/>
      <c r="K29" s="150"/>
      <c r="L29" s="150"/>
      <c r="M29" s="150"/>
      <c r="N29" s="150"/>
      <c r="O29" s="150"/>
      <c r="P29" s="150"/>
      <c r="Q29" s="150"/>
      <c r="R29" s="150"/>
      <c r="S29" s="150"/>
      <c r="T29" s="150"/>
      <c r="U29" s="150"/>
    </row>
    <row r="30" spans="1:21" x14ac:dyDescent="0.25">
      <c r="A30" s="150"/>
      <c r="B30" s="150"/>
      <c r="C30" s="150"/>
      <c r="D30" s="150"/>
      <c r="E30" s="150"/>
      <c r="F30" s="150"/>
      <c r="G30" s="150"/>
      <c r="H30" s="150"/>
      <c r="I30" s="150"/>
      <c r="J30" s="150"/>
      <c r="K30" s="150"/>
      <c r="L30" s="150"/>
      <c r="M30" s="150"/>
      <c r="N30" s="150"/>
      <c r="O30" s="150"/>
      <c r="P30" s="150"/>
      <c r="Q30" s="150"/>
      <c r="R30" s="150"/>
      <c r="S30" s="150"/>
      <c r="T30" s="150"/>
      <c r="U30" s="150"/>
    </row>
    <row r="31" spans="1:21" x14ac:dyDescent="0.25">
      <c r="A31" s="150"/>
      <c r="B31" s="150"/>
      <c r="C31" s="150"/>
      <c r="D31" s="150"/>
      <c r="E31" s="150"/>
      <c r="F31" s="150"/>
      <c r="G31" s="150"/>
      <c r="H31" s="150"/>
      <c r="I31" s="150"/>
      <c r="J31" s="150"/>
      <c r="K31" s="150"/>
      <c r="L31" s="150"/>
      <c r="M31" s="150"/>
      <c r="N31" s="150"/>
      <c r="O31" s="150"/>
      <c r="P31" s="150"/>
      <c r="Q31" s="150"/>
      <c r="R31" s="150"/>
      <c r="S31" s="150"/>
      <c r="T31" s="150"/>
      <c r="U31" s="150"/>
    </row>
    <row r="32" spans="1:21" x14ac:dyDescent="0.25">
      <c r="A32" s="150"/>
      <c r="B32" s="150"/>
      <c r="C32" s="150"/>
      <c r="D32" s="150"/>
      <c r="E32" s="150"/>
      <c r="F32" s="150"/>
      <c r="G32" s="150"/>
      <c r="H32" s="150"/>
      <c r="I32" s="150"/>
      <c r="J32" s="150"/>
      <c r="K32" s="150"/>
      <c r="L32" s="150"/>
      <c r="M32" s="150"/>
      <c r="N32" s="150"/>
      <c r="O32" s="150"/>
      <c r="P32" s="150"/>
      <c r="Q32" s="150"/>
      <c r="R32" s="150"/>
      <c r="S32" s="150"/>
      <c r="T32" s="150"/>
      <c r="U32" s="150"/>
    </row>
    <row r="33" spans="1:21" x14ac:dyDescent="0.25">
      <c r="A33" s="150"/>
      <c r="B33" s="150"/>
      <c r="C33" s="150"/>
      <c r="D33" s="150"/>
      <c r="E33" s="150"/>
      <c r="F33" s="150"/>
      <c r="G33" s="150"/>
      <c r="H33" s="150"/>
      <c r="I33" s="150"/>
      <c r="J33" s="150"/>
      <c r="K33" s="150"/>
      <c r="L33" s="150"/>
      <c r="M33" s="150"/>
      <c r="N33" s="150"/>
      <c r="O33" s="150"/>
      <c r="P33" s="150"/>
      <c r="Q33" s="150"/>
      <c r="R33" s="150"/>
      <c r="S33" s="150"/>
      <c r="T33" s="150"/>
      <c r="U33" s="150"/>
    </row>
    <row r="34" spans="1:21" x14ac:dyDescent="0.25">
      <c r="A34" s="150"/>
      <c r="B34" s="150"/>
      <c r="C34" s="150"/>
      <c r="D34" s="150"/>
      <c r="E34" s="150"/>
      <c r="F34" s="150"/>
      <c r="G34" s="150"/>
      <c r="H34" s="150"/>
      <c r="I34" s="150"/>
      <c r="J34" s="150"/>
      <c r="K34" s="150"/>
      <c r="L34" s="150"/>
      <c r="M34" s="150"/>
      <c r="N34" s="150"/>
      <c r="O34" s="150"/>
      <c r="P34" s="150"/>
      <c r="Q34" s="150"/>
      <c r="R34" s="150"/>
      <c r="S34" s="150"/>
      <c r="T34" s="150"/>
      <c r="U34" s="150"/>
    </row>
    <row r="35" spans="1:21" x14ac:dyDescent="0.25">
      <c r="A35" s="150"/>
      <c r="B35" s="150"/>
      <c r="C35" s="150"/>
      <c r="D35" s="150"/>
      <c r="E35" s="150"/>
      <c r="F35" s="150"/>
      <c r="G35" s="150"/>
      <c r="H35" s="150"/>
      <c r="I35" s="150"/>
      <c r="J35" s="150"/>
      <c r="K35" s="150"/>
      <c r="L35" s="150"/>
      <c r="M35" s="150"/>
      <c r="N35" s="150"/>
      <c r="O35" s="150"/>
      <c r="P35" s="150"/>
      <c r="Q35" s="150"/>
      <c r="R35" s="150"/>
      <c r="S35" s="150"/>
      <c r="T35" s="150"/>
      <c r="U35" s="150"/>
    </row>
    <row r="36" spans="1:21" x14ac:dyDescent="0.25">
      <c r="A36" s="150"/>
      <c r="B36" s="150"/>
      <c r="C36" s="150"/>
      <c r="D36" s="150"/>
      <c r="E36" s="150"/>
      <c r="F36" s="150"/>
      <c r="G36" s="150"/>
      <c r="H36" s="150"/>
      <c r="I36" s="150"/>
      <c r="J36" s="150"/>
      <c r="K36" s="150"/>
      <c r="L36" s="150"/>
      <c r="M36" s="150"/>
      <c r="N36" s="150"/>
      <c r="O36" s="150"/>
      <c r="P36" s="150"/>
      <c r="Q36" s="150"/>
      <c r="R36" s="150"/>
      <c r="S36" s="150"/>
      <c r="T36" s="150"/>
      <c r="U36" s="150"/>
    </row>
    <row r="37" spans="1:21" x14ac:dyDescent="0.25">
      <c r="A37" s="150"/>
      <c r="B37" s="150"/>
      <c r="C37" s="150"/>
      <c r="D37" s="150"/>
      <c r="E37" s="150"/>
      <c r="F37" s="150"/>
      <c r="G37" s="150"/>
      <c r="H37" s="150"/>
      <c r="I37" s="150"/>
      <c r="J37" s="150"/>
      <c r="K37" s="150"/>
      <c r="L37" s="150"/>
      <c r="M37" s="150"/>
      <c r="N37" s="150"/>
      <c r="O37" s="150"/>
      <c r="P37" s="150"/>
      <c r="Q37" s="150"/>
      <c r="R37" s="150"/>
      <c r="S37" s="150"/>
      <c r="T37" s="150"/>
      <c r="U37" s="150"/>
    </row>
    <row r="38" spans="1:21" x14ac:dyDescent="0.25">
      <c r="A38" s="150"/>
      <c r="B38" s="150"/>
      <c r="C38" s="150"/>
      <c r="D38" s="150"/>
      <c r="E38" s="150"/>
      <c r="F38" s="150"/>
      <c r="G38" s="150"/>
      <c r="H38" s="150"/>
      <c r="I38" s="150"/>
      <c r="J38" s="150"/>
      <c r="K38" s="150"/>
      <c r="L38" s="150"/>
      <c r="M38" s="150"/>
      <c r="N38" s="150"/>
      <c r="O38" s="150"/>
      <c r="P38" s="150"/>
      <c r="Q38" s="150"/>
      <c r="R38" s="150"/>
      <c r="S38" s="150"/>
      <c r="T38" s="150"/>
      <c r="U38" s="150"/>
    </row>
    <row r="39" spans="1:21" x14ac:dyDescent="0.25">
      <c r="A39" s="150"/>
      <c r="B39" s="150"/>
      <c r="C39" s="150"/>
      <c r="D39" s="150"/>
      <c r="E39" s="150"/>
      <c r="F39" s="150"/>
      <c r="G39" s="150"/>
      <c r="H39" s="150"/>
      <c r="I39" s="150"/>
      <c r="J39" s="150"/>
      <c r="K39" s="150"/>
      <c r="L39" s="150"/>
      <c r="M39" s="150"/>
      <c r="N39" s="150"/>
      <c r="O39" s="150"/>
      <c r="P39" s="150"/>
      <c r="Q39" s="150"/>
      <c r="R39" s="150"/>
      <c r="S39" s="150"/>
      <c r="T39" s="150"/>
      <c r="U39" s="150"/>
    </row>
    <row r="40" spans="1:21" x14ac:dyDescent="0.25">
      <c r="A40" s="150"/>
      <c r="B40" s="150"/>
      <c r="C40" s="150"/>
      <c r="D40" s="150"/>
      <c r="E40" s="150"/>
      <c r="F40" s="150"/>
      <c r="G40" s="150"/>
      <c r="H40" s="150"/>
      <c r="I40" s="150"/>
      <c r="J40" s="150"/>
      <c r="K40" s="150"/>
      <c r="L40" s="150"/>
      <c r="M40" s="150"/>
      <c r="N40" s="150"/>
      <c r="O40" s="150"/>
      <c r="P40" s="150"/>
      <c r="Q40" s="150"/>
      <c r="R40" s="150"/>
      <c r="S40" s="150"/>
      <c r="T40" s="150"/>
      <c r="U40" s="150"/>
    </row>
    <row r="41" spans="1:21" x14ac:dyDescent="0.25">
      <c r="A41" s="150"/>
      <c r="B41" s="150"/>
      <c r="C41" s="150"/>
      <c r="D41" s="150"/>
      <c r="E41" s="150"/>
      <c r="F41" s="150"/>
      <c r="G41" s="150"/>
      <c r="H41" s="150"/>
      <c r="I41" s="150"/>
      <c r="J41" s="150"/>
      <c r="K41" s="150"/>
      <c r="L41" s="150"/>
      <c r="M41" s="150"/>
      <c r="N41" s="150"/>
      <c r="O41" s="150"/>
      <c r="P41" s="150"/>
      <c r="Q41" s="150"/>
      <c r="R41" s="150"/>
      <c r="S41" s="150"/>
      <c r="T41" s="150"/>
      <c r="U41" s="150"/>
    </row>
    <row r="42" spans="1:21" x14ac:dyDescent="0.25">
      <c r="A42" s="150"/>
      <c r="B42" s="150"/>
      <c r="C42" s="150"/>
      <c r="D42" s="150"/>
      <c r="E42" s="150"/>
      <c r="F42" s="150"/>
      <c r="G42" s="150"/>
      <c r="H42" s="150"/>
      <c r="I42" s="150"/>
      <c r="J42" s="150"/>
      <c r="K42" s="150"/>
      <c r="L42" s="150"/>
      <c r="M42" s="150"/>
      <c r="N42" s="150"/>
      <c r="O42" s="150"/>
      <c r="P42" s="150"/>
      <c r="Q42" s="150"/>
      <c r="R42" s="150"/>
      <c r="S42" s="150"/>
      <c r="T42" s="150"/>
      <c r="U42" s="150"/>
    </row>
    <row r="43" spans="1:21" x14ac:dyDescent="0.25">
      <c r="A43" s="150"/>
      <c r="B43" s="150"/>
      <c r="C43" s="150"/>
      <c r="D43" s="150"/>
      <c r="E43" s="150"/>
      <c r="F43" s="150"/>
      <c r="G43" s="150"/>
      <c r="H43" s="150"/>
      <c r="I43" s="150"/>
      <c r="J43" s="150"/>
      <c r="K43" s="150"/>
      <c r="L43" s="150"/>
      <c r="M43" s="150"/>
      <c r="N43" s="150"/>
      <c r="O43" s="150"/>
      <c r="P43" s="150"/>
      <c r="Q43" s="150"/>
      <c r="R43" s="150"/>
      <c r="S43" s="150"/>
      <c r="T43" s="150"/>
      <c r="U43" s="150"/>
    </row>
    <row r="44" spans="1:21" x14ac:dyDescent="0.25">
      <c r="A44" s="150"/>
      <c r="B44" s="150"/>
      <c r="C44" s="150"/>
      <c r="D44" s="150"/>
      <c r="E44" s="150"/>
      <c r="F44" s="150"/>
      <c r="G44" s="150"/>
      <c r="H44" s="150"/>
      <c r="I44" s="150"/>
      <c r="J44" s="150"/>
      <c r="K44" s="150"/>
      <c r="L44" s="150"/>
      <c r="M44" s="150"/>
      <c r="N44" s="150"/>
      <c r="O44" s="150"/>
      <c r="P44" s="150"/>
      <c r="Q44" s="150"/>
      <c r="R44" s="150"/>
      <c r="S44" s="150"/>
      <c r="T44" s="150"/>
      <c r="U44" s="150"/>
    </row>
    <row r="45" spans="1:21" x14ac:dyDescent="0.25">
      <c r="A45" s="150"/>
      <c r="B45" s="150"/>
      <c r="C45" s="150"/>
      <c r="D45" s="150"/>
      <c r="E45" s="150"/>
      <c r="F45" s="150"/>
      <c r="G45" s="150"/>
      <c r="H45" s="150"/>
      <c r="I45" s="150"/>
      <c r="J45" s="150"/>
      <c r="K45" s="150"/>
      <c r="L45" s="150"/>
      <c r="M45" s="150"/>
      <c r="N45" s="150"/>
      <c r="O45" s="150"/>
      <c r="P45" s="150"/>
      <c r="Q45" s="150"/>
      <c r="R45" s="150"/>
      <c r="S45" s="150"/>
      <c r="T45" s="150"/>
      <c r="U45" s="150"/>
    </row>
    <row r="46" spans="1:21" x14ac:dyDescent="0.25">
      <c r="A46" s="150"/>
      <c r="B46" s="150"/>
      <c r="C46" s="150"/>
      <c r="D46" s="150"/>
      <c r="E46" s="150"/>
      <c r="F46" s="150"/>
      <c r="G46" s="150"/>
      <c r="H46" s="150"/>
      <c r="I46" s="150"/>
      <c r="J46" s="150"/>
      <c r="K46" s="150"/>
      <c r="L46" s="150"/>
      <c r="M46" s="150"/>
      <c r="N46" s="150"/>
      <c r="O46" s="150"/>
      <c r="P46" s="150"/>
      <c r="Q46" s="150"/>
      <c r="R46" s="150"/>
      <c r="S46" s="150"/>
      <c r="T46" s="150"/>
      <c r="U46" s="150"/>
    </row>
    <row r="47" spans="1:21" x14ac:dyDescent="0.25">
      <c r="A47" s="150"/>
      <c r="B47" s="150"/>
      <c r="C47" s="150"/>
      <c r="D47" s="150"/>
      <c r="E47" s="150"/>
      <c r="F47" s="150"/>
      <c r="G47" s="150"/>
      <c r="H47" s="150"/>
      <c r="I47" s="150"/>
      <c r="J47" s="150"/>
      <c r="K47" s="150"/>
      <c r="L47" s="150"/>
      <c r="M47" s="150"/>
      <c r="N47" s="150"/>
      <c r="O47" s="150"/>
      <c r="P47" s="150"/>
      <c r="Q47" s="150"/>
      <c r="R47" s="150"/>
      <c r="S47" s="150"/>
      <c r="T47" s="150"/>
      <c r="U47" s="150"/>
    </row>
    <row r="48" spans="1:21" x14ac:dyDescent="0.25">
      <c r="A48" s="150"/>
      <c r="B48" s="150"/>
      <c r="C48" s="150"/>
      <c r="D48" s="150"/>
      <c r="E48" s="150"/>
      <c r="F48" s="150"/>
      <c r="G48" s="150"/>
      <c r="H48" s="150"/>
      <c r="I48" s="150"/>
      <c r="J48" s="150"/>
      <c r="K48" s="150"/>
      <c r="L48" s="150"/>
      <c r="M48" s="150"/>
      <c r="N48" s="150"/>
      <c r="O48" s="150"/>
      <c r="P48" s="150"/>
      <c r="Q48" s="150"/>
      <c r="R48" s="150"/>
      <c r="S48" s="150"/>
      <c r="T48" s="150"/>
      <c r="U48" s="150"/>
    </row>
    <row r="49" spans="1:21" x14ac:dyDescent="0.25">
      <c r="A49" s="150"/>
      <c r="B49" s="150"/>
      <c r="C49" s="150"/>
      <c r="D49" s="150"/>
      <c r="E49" s="150"/>
      <c r="F49" s="150"/>
      <c r="G49" s="150"/>
      <c r="H49" s="150"/>
      <c r="I49" s="150"/>
      <c r="J49" s="150"/>
      <c r="K49" s="150"/>
      <c r="L49" s="150"/>
      <c r="M49" s="150"/>
      <c r="N49" s="150"/>
      <c r="O49" s="150"/>
      <c r="P49" s="150"/>
      <c r="Q49" s="150"/>
      <c r="R49" s="150"/>
      <c r="S49" s="150"/>
      <c r="T49" s="150"/>
      <c r="U49" s="150"/>
    </row>
    <row r="50" spans="1:21" x14ac:dyDescent="0.25">
      <c r="A50" s="150"/>
      <c r="B50" s="150"/>
      <c r="C50" s="150"/>
      <c r="D50" s="150"/>
      <c r="E50" s="150"/>
      <c r="F50" s="150"/>
      <c r="G50" s="150"/>
      <c r="H50" s="150"/>
      <c r="I50" s="150"/>
      <c r="J50" s="150"/>
      <c r="K50" s="150"/>
      <c r="L50" s="150"/>
      <c r="M50" s="150"/>
      <c r="N50" s="150"/>
      <c r="O50" s="150"/>
      <c r="P50" s="150"/>
      <c r="Q50" s="150"/>
      <c r="R50" s="150"/>
      <c r="S50" s="150"/>
      <c r="T50" s="150"/>
      <c r="U50" s="150"/>
    </row>
    <row r="51" spans="1:21" x14ac:dyDescent="0.25">
      <c r="A51" s="150"/>
      <c r="B51" s="150"/>
      <c r="C51" s="150"/>
      <c r="D51" s="150"/>
      <c r="E51" s="150"/>
      <c r="F51" s="150"/>
      <c r="G51" s="150"/>
      <c r="H51" s="150"/>
      <c r="I51" s="150"/>
      <c r="J51" s="150"/>
      <c r="K51" s="150"/>
      <c r="L51" s="150"/>
      <c r="M51" s="150"/>
      <c r="N51" s="150"/>
      <c r="O51" s="150"/>
      <c r="P51" s="150"/>
      <c r="Q51" s="150"/>
      <c r="R51" s="150"/>
      <c r="S51" s="150"/>
      <c r="T51" s="150"/>
      <c r="U51" s="150"/>
    </row>
    <row r="52" spans="1:21" x14ac:dyDescent="0.25">
      <c r="A52" s="150"/>
      <c r="B52" s="150"/>
      <c r="C52" s="150"/>
      <c r="D52" s="150"/>
      <c r="E52" s="150"/>
      <c r="F52" s="150"/>
      <c r="G52" s="150"/>
      <c r="H52" s="150"/>
      <c r="I52" s="150"/>
      <c r="J52" s="150"/>
      <c r="K52" s="150"/>
      <c r="L52" s="150"/>
      <c r="M52" s="150"/>
      <c r="N52" s="150"/>
      <c r="O52" s="150"/>
      <c r="P52" s="150"/>
      <c r="Q52" s="150"/>
      <c r="R52" s="150"/>
      <c r="S52" s="150"/>
      <c r="T52" s="150"/>
      <c r="U52" s="150"/>
    </row>
  </sheetData>
  <mergeCells count="2">
    <mergeCell ref="A1:U3"/>
    <mergeCell ref="A4:R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S48"/>
  <sheetViews>
    <sheetView zoomScale="70" zoomScaleNormal="70" workbookViewId="0">
      <selection activeCell="C12" sqref="C12"/>
    </sheetView>
  </sheetViews>
  <sheetFormatPr defaultColWidth="9.140625" defaultRowHeight="15" x14ac:dyDescent="0.25"/>
  <cols>
    <col min="1" max="1" width="9.140625" style="74"/>
    <col min="2" max="2" width="10.5703125" style="74" customWidth="1"/>
    <col min="3" max="3" width="15" style="74" customWidth="1"/>
    <col min="4" max="4" width="33.42578125" style="74" customWidth="1"/>
    <col min="5" max="5" width="20" style="74" customWidth="1"/>
    <col min="6" max="6" width="11.140625" style="74" customWidth="1"/>
    <col min="7" max="7" width="13.7109375" style="74" bestFit="1" customWidth="1"/>
    <col min="8" max="8" width="11.85546875" style="74" customWidth="1"/>
    <col min="9" max="9" width="27.85546875" style="74" bestFit="1" customWidth="1"/>
    <col min="10" max="10" width="12.7109375" style="74" customWidth="1"/>
    <col min="11" max="11" width="10.28515625" style="74" customWidth="1"/>
    <col min="12" max="12" width="5.85546875" style="150" customWidth="1"/>
    <col min="13" max="13" width="12" style="74" bestFit="1" customWidth="1"/>
    <col min="14" max="14" width="12.140625" style="74" customWidth="1"/>
    <col min="15" max="15" width="12" style="74" customWidth="1"/>
    <col min="16" max="16" width="20.140625" style="74" customWidth="1"/>
    <col min="17" max="17" width="5.42578125" style="74" customWidth="1"/>
    <col min="18" max="18" width="11.28515625" style="74" customWidth="1"/>
    <col min="19" max="23" width="9.140625" style="74"/>
    <col min="24" max="24" width="11" style="74" customWidth="1"/>
    <col min="25" max="16384" width="9.140625" style="74"/>
  </cols>
  <sheetData>
    <row r="1" spans="2:19" x14ac:dyDescent="0.25">
      <c r="D1" s="160" t="s">
        <v>163</v>
      </c>
      <c r="E1" s="77"/>
      <c r="F1" s="77"/>
      <c r="G1" s="77"/>
    </row>
    <row r="3" spans="2:19" ht="17.25" x14ac:dyDescent="0.3">
      <c r="B3" s="93" t="s">
        <v>162</v>
      </c>
      <c r="C3" s="93" t="s">
        <v>161</v>
      </c>
      <c r="D3" s="93" t="s">
        <v>222</v>
      </c>
      <c r="E3" s="93" t="s">
        <v>160</v>
      </c>
      <c r="F3" s="93" t="s">
        <v>159</v>
      </c>
      <c r="G3" s="93" t="s">
        <v>158</v>
      </c>
      <c r="H3" s="93" t="s">
        <v>157</v>
      </c>
      <c r="I3" s="93" t="s">
        <v>156</v>
      </c>
      <c r="J3" s="93" t="s">
        <v>155</v>
      </c>
      <c r="K3" s="93" t="s">
        <v>154</v>
      </c>
      <c r="L3" s="7"/>
      <c r="M3" s="78" t="s">
        <v>153</v>
      </c>
      <c r="N3" s="156" t="s">
        <v>152</v>
      </c>
      <c r="O3" s="95" t="s">
        <v>151</v>
      </c>
      <c r="P3" s="78" t="s">
        <v>150</v>
      </c>
      <c r="Q3" s="95" t="s">
        <v>149</v>
      </c>
      <c r="R3" s="95" t="s">
        <v>148</v>
      </c>
      <c r="S3" s="74" t="s">
        <v>147</v>
      </c>
    </row>
    <row r="4" spans="2:19" x14ac:dyDescent="0.25">
      <c r="B4" s="154">
        <f>'LP8863-Q1_Cal'!G9</f>
        <v>6</v>
      </c>
      <c r="C4" s="155">
        <f>'LP8863-Q1_Cal'!G17</f>
        <v>22</v>
      </c>
      <c r="D4" s="154">
        <f>('LP8863-Q1_Cal'!G42+'LP8863-Q1_Cal'!G54+'LP8863-Q1_Cal'!G46)*0.001</f>
        <v>0.1</v>
      </c>
      <c r="E4" s="154">
        <f>('LP8863-Q1_Cal'!G51+'LP8863-Q1_Cal'!G46)*0.001</f>
        <v>7.4999999999999997E-2</v>
      </c>
      <c r="F4" s="94">
        <v>0.05</v>
      </c>
      <c r="G4" s="94">
        <v>0.5</v>
      </c>
      <c r="H4" s="144">
        <f>'LP8863-Q1_Cal'!G22*0.001</f>
        <v>0.58815189873417717</v>
      </c>
      <c r="I4" s="145">
        <f>'LP8863-Q1_Cal'!G40*0.000001</f>
        <v>2.1999999999999999E-5</v>
      </c>
      <c r="J4" s="145">
        <f>'LP8863-Q1_Cal'!G38*1000</f>
        <v>400000</v>
      </c>
      <c r="K4" s="93">
        <v>0.8</v>
      </c>
      <c r="L4" s="7"/>
      <c r="M4" s="78">
        <f>1/FS</f>
        <v>2.5000000000000002E-6</v>
      </c>
      <c r="N4" s="156" t="str">
        <f>IF(Ivalley&gt;=0,"CCM","DCM")</f>
        <v>CCM</v>
      </c>
      <c r="O4" s="78">
        <v>28</v>
      </c>
      <c r="P4" s="142">
        <v>2E-8</v>
      </c>
      <c r="Q4" s="74">
        <v>5</v>
      </c>
      <c r="R4" s="141">
        <f>'LP8863-Q1_Cal'!G67*0.000001</f>
        <v>4.9999999999999996E-5</v>
      </c>
      <c r="S4" s="74">
        <f>'LP8863-Q1_Cal'!G66/1000</f>
        <v>0.01</v>
      </c>
    </row>
    <row r="5" spans="2:19" ht="15.75" thickBot="1" x14ac:dyDescent="0.3">
      <c r="I5" s="86" t="s">
        <v>146</v>
      </c>
      <c r="J5" s="158">
        <f>IF(VO*Ivalley*FS*P4&gt;0, VO*Ivalley*FS*P4,0)</f>
        <v>0.38934859747127104</v>
      </c>
      <c r="M5" s="78"/>
      <c r="N5" s="78"/>
      <c r="O5" s="78"/>
      <c r="P5" s="78"/>
    </row>
    <row r="6" spans="2:19" x14ac:dyDescent="0.25">
      <c r="B6" s="20" t="s">
        <v>141</v>
      </c>
      <c r="C6" s="76">
        <f>D37</f>
        <v>0.24120975563310859</v>
      </c>
      <c r="F6" s="20" t="s">
        <v>140</v>
      </c>
      <c r="G6" s="92">
        <f>Ipeak*L/(VIN-RL*ILD-RDS_ON*ILD)*FS</f>
        <v>2.3188027500533566</v>
      </c>
      <c r="I6" s="82" t="s">
        <v>139</v>
      </c>
      <c r="J6" s="81">
        <f>(IL*IL+Ipp*Ipp/12)*RDS_ON*D</f>
        <v>0.33932479489614165</v>
      </c>
      <c r="M6" s="78" t="s">
        <v>138</v>
      </c>
      <c r="N6" s="78" t="s">
        <v>137</v>
      </c>
      <c r="O6" s="78" t="s">
        <v>137</v>
      </c>
      <c r="P6" s="78" t="s">
        <v>136</v>
      </c>
    </row>
    <row r="7" spans="2:19" x14ac:dyDescent="0.25">
      <c r="B7" s="24" t="s">
        <v>135</v>
      </c>
      <c r="C7" s="90">
        <f>C37</f>
        <v>2.4383420860837153</v>
      </c>
      <c r="F7" s="24" t="s">
        <v>134</v>
      </c>
      <c r="G7" s="90">
        <f>IL</f>
        <v>2.4383420860837153</v>
      </c>
      <c r="I7" s="82" t="s">
        <v>133</v>
      </c>
      <c r="J7" s="81">
        <f>K4*ILOAD</f>
        <v>0.47052151898734174</v>
      </c>
      <c r="M7" s="78">
        <v>0</v>
      </c>
      <c r="N7" s="78">
        <f t="shared" ref="N7:N13" si="0">M7*TS</f>
        <v>0</v>
      </c>
      <c r="O7" s="78">
        <f t="shared" ref="O7:O13" si="1">N7*1000000</f>
        <v>0</v>
      </c>
      <c r="P7" s="78">
        <f>IF(Ivalley&gt;=0,Ivalley,0)</f>
        <v>2.212207940177676</v>
      </c>
    </row>
    <row r="8" spans="2:19" x14ac:dyDescent="0.25">
      <c r="B8" s="24" t="s">
        <v>132</v>
      </c>
      <c r="C8" s="90">
        <f>1-Dbar</f>
        <v>0.75879024436689146</v>
      </c>
      <c r="F8" s="24" t="s">
        <v>131</v>
      </c>
      <c r="G8" s="90">
        <f>Ipeak*L/(VO+RD*ILD+VD-VIN+RL*ILD)*FS</f>
        <v>0.76624872808595856</v>
      </c>
      <c r="I8" s="91" t="s">
        <v>130</v>
      </c>
      <c r="J8" s="157">
        <f>J7</f>
        <v>0.47052151898734174</v>
      </c>
      <c r="M8" s="78">
        <f>IF(Ivalley&gt;=0,D,D1_)</f>
        <v>0.75879024436689146</v>
      </c>
      <c r="N8" s="78">
        <f t="shared" si="0"/>
        <v>1.8969756109172287E-6</v>
      </c>
      <c r="O8" s="78">
        <f t="shared" si="1"/>
        <v>1.8969756109172287</v>
      </c>
      <c r="P8" s="78">
        <f>IF(Ivalley&gt;=0,Ivalley+Ipp,Ipeak)</f>
        <v>2.6644762319897546</v>
      </c>
    </row>
    <row r="9" spans="2:19" ht="15.75" x14ac:dyDescent="0.25">
      <c r="B9" s="24" t="s">
        <v>129</v>
      </c>
      <c r="C9" s="87">
        <f>(VO+VD-VIN)*Dbar/L/FS</f>
        <v>0.45226829181207862</v>
      </c>
      <c r="F9" s="24" t="s">
        <v>126</v>
      </c>
      <c r="G9" s="90">
        <f>(2*ILOAD*(VO+VD-VIN-(RD+RL)*ILD)/L/FS)^0.5</f>
        <v>1.4685636922424241</v>
      </c>
      <c r="I9" s="89" t="s">
        <v>128</v>
      </c>
      <c r="J9" s="88">
        <f>O4*J8+(J10+J11+J5+J6)*Q4</f>
        <v>21.628156961949124</v>
      </c>
      <c r="M9" s="78">
        <f>IF(Ivalley&gt;=0,1,D1_+D2_)</f>
        <v>1</v>
      </c>
      <c r="N9" s="78">
        <f t="shared" si="0"/>
        <v>2.5000000000000002E-6</v>
      </c>
      <c r="O9" s="78">
        <f t="shared" si="1"/>
        <v>2.5</v>
      </c>
      <c r="P9" s="78">
        <f>IF(Ivalley&gt;=0,Ivalley,0)</f>
        <v>2.212207940177676</v>
      </c>
    </row>
    <row r="10" spans="2:19" ht="15.75" thickBot="1" x14ac:dyDescent="0.3">
      <c r="B10" s="24" t="s">
        <v>127</v>
      </c>
      <c r="C10" s="87">
        <f>ILOAD/Dbar-Ipp/2</f>
        <v>2.212207940177676</v>
      </c>
      <c r="D10" s="74" t="s">
        <v>126</v>
      </c>
      <c r="E10" s="148">
        <f>IL+Ipp/2</f>
        <v>2.6644762319897546</v>
      </c>
      <c r="F10" s="26" t="s">
        <v>125</v>
      </c>
      <c r="G10" s="83">
        <f>1-D1_-D2_</f>
        <v>-2.0850514781393152</v>
      </c>
      <c r="I10" s="86" t="s">
        <v>124</v>
      </c>
      <c r="J10" s="85">
        <f>(IL*IL*RD+VD*IL)*Dbar</f>
        <v>0.36578172575176815</v>
      </c>
      <c r="M10" s="78">
        <v>1</v>
      </c>
      <c r="N10" s="78">
        <f t="shared" si="0"/>
        <v>2.5000000000000002E-6</v>
      </c>
      <c r="O10" s="78">
        <f t="shared" si="1"/>
        <v>2.5</v>
      </c>
      <c r="P10" s="78">
        <f>IF(Ivalley&gt;=0, Ivalley,0)</f>
        <v>2.212207940177676</v>
      </c>
    </row>
    <row r="11" spans="2:19" ht="15.75" thickBot="1" x14ac:dyDescent="0.3">
      <c r="B11" s="283" t="s">
        <v>123</v>
      </c>
      <c r="C11" s="284"/>
      <c r="D11" s="284"/>
      <c r="E11" s="285"/>
      <c r="F11" s="84" t="s">
        <v>122</v>
      </c>
      <c r="G11" s="83"/>
      <c r="I11" s="82" t="s">
        <v>121</v>
      </c>
      <c r="J11" s="159">
        <f>RL*(IL*IL+Ipp*Ipp/12)</f>
        <v>0.59625576794153023</v>
      </c>
      <c r="M11" s="78">
        <f>IF(Ivalley&gt;=0,1+D,1+D1_)</f>
        <v>1.7587902443668915</v>
      </c>
      <c r="N11" s="78">
        <f t="shared" si="0"/>
        <v>4.3969756109172289E-6</v>
      </c>
      <c r="O11" s="78">
        <f t="shared" si="1"/>
        <v>4.3969756109172291</v>
      </c>
      <c r="P11" s="78">
        <f>IF(Ivalley&gt;=0, Ivalley+Ipp,Ipeak)</f>
        <v>2.6644762319897546</v>
      </c>
    </row>
    <row r="12" spans="2:19" x14ac:dyDescent="0.25">
      <c r="B12" s="74" t="s">
        <v>120</v>
      </c>
      <c r="C12" s="75">
        <f>Ipp/(8*FS*R4)+IL*S4</f>
        <v>2.7210097684662645E-2</v>
      </c>
      <c r="F12" s="74" t="s">
        <v>120</v>
      </c>
      <c r="G12" s="75">
        <f>Ipeak*(D1_+D2_)/(2*R4*FS)</f>
        <v>0.11326486473735553</v>
      </c>
      <c r="I12" s="82" t="s">
        <v>119</v>
      </c>
      <c r="J12" s="81">
        <f>(VIN*IL-J5-J6-J10-J11)/(VIN*IL)</f>
        <v>0.88443576096848353</v>
      </c>
      <c r="M12" s="78">
        <f>IF(Ivalley&gt;=0,2,1+D1_+D2_)</f>
        <v>2</v>
      </c>
      <c r="N12" s="78">
        <f t="shared" si="0"/>
        <v>5.0000000000000004E-6</v>
      </c>
      <c r="O12" s="78">
        <f t="shared" si="1"/>
        <v>5</v>
      </c>
      <c r="P12" s="78">
        <f>IF(Ivalley&gt;=0, Ivalley,0)</f>
        <v>2.212207940177676</v>
      </c>
    </row>
    <row r="13" spans="2:19" x14ac:dyDescent="0.25">
      <c r="I13" s="80" t="s">
        <v>118</v>
      </c>
      <c r="J13" s="79">
        <f>(VO-K4)*ILOAD/(VIN*IL)</f>
        <v>0.85227446990365019</v>
      </c>
      <c r="M13" s="78">
        <v>2</v>
      </c>
      <c r="N13" s="78">
        <f t="shared" si="0"/>
        <v>5.0000000000000004E-6</v>
      </c>
      <c r="O13" s="78">
        <f t="shared" si="1"/>
        <v>5</v>
      </c>
      <c r="P13" s="78">
        <f>IF(Ivalley&gt;=0, Ivalley,0)</f>
        <v>2.212207940177676</v>
      </c>
    </row>
    <row r="14" spans="2:19" s="150" customFormat="1" x14ac:dyDescent="0.25">
      <c r="I14" s="7"/>
      <c r="J14" s="7"/>
      <c r="M14" s="151"/>
      <c r="N14" s="151"/>
      <c r="O14" s="151"/>
      <c r="P14" s="151"/>
    </row>
    <row r="15" spans="2:19" x14ac:dyDescent="0.25">
      <c r="B15" s="74" t="s">
        <v>117</v>
      </c>
      <c r="C15" s="74" t="s">
        <v>116</v>
      </c>
      <c r="D15" s="78"/>
      <c r="M15" s="78"/>
      <c r="N15" s="78"/>
      <c r="O15" s="78"/>
      <c r="P15" s="78"/>
    </row>
    <row r="16" spans="2:19" x14ac:dyDescent="0.25">
      <c r="B16" s="74" t="s">
        <v>115</v>
      </c>
      <c r="C16" s="74" t="s">
        <v>114</v>
      </c>
      <c r="D16" s="78"/>
      <c r="N16" s="78"/>
      <c r="O16" s="78"/>
      <c r="P16" s="78"/>
    </row>
    <row r="17" spans="2:16" x14ac:dyDescent="0.25">
      <c r="B17" s="74" t="s">
        <v>113</v>
      </c>
      <c r="C17" s="74" t="s">
        <v>112</v>
      </c>
      <c r="D17" s="78"/>
      <c r="N17" s="78"/>
      <c r="O17" s="78"/>
      <c r="P17" s="78"/>
    </row>
    <row r="18" spans="2:16" x14ac:dyDescent="0.25">
      <c r="B18" s="74" t="s">
        <v>111</v>
      </c>
      <c r="C18" s="74" t="s">
        <v>110</v>
      </c>
      <c r="N18" s="78"/>
      <c r="O18" s="78"/>
      <c r="P18" s="78"/>
    </row>
    <row r="19" spans="2:16" x14ac:dyDescent="0.25">
      <c r="B19" s="74" t="s">
        <v>109</v>
      </c>
      <c r="C19" s="74" t="s">
        <v>108</v>
      </c>
    </row>
    <row r="20" spans="2:16" x14ac:dyDescent="0.25">
      <c r="B20" s="74" t="s">
        <v>107</v>
      </c>
      <c r="C20" s="74" t="s">
        <v>106</v>
      </c>
    </row>
    <row r="21" spans="2:16" x14ac:dyDescent="0.25">
      <c r="B21" s="74" t="s">
        <v>105</v>
      </c>
      <c r="C21" s="74" t="s">
        <v>104</v>
      </c>
    </row>
    <row r="22" spans="2:16" x14ac:dyDescent="0.25">
      <c r="B22" s="74" t="s">
        <v>103</v>
      </c>
      <c r="C22" s="74" t="s">
        <v>102</v>
      </c>
    </row>
    <row r="23" spans="2:16" x14ac:dyDescent="0.25">
      <c r="B23" s="74" t="s">
        <v>101</v>
      </c>
      <c r="C23" s="74" t="s">
        <v>100</v>
      </c>
    </row>
    <row r="27" spans="2:16" x14ac:dyDescent="0.25">
      <c r="B27" s="7"/>
      <c r="C27" s="147" t="s">
        <v>135</v>
      </c>
      <c r="D27" s="147" t="s">
        <v>141</v>
      </c>
      <c r="E27" s="147" t="s">
        <v>129</v>
      </c>
      <c r="F27" s="147" t="s">
        <v>127</v>
      </c>
      <c r="G27" s="147" t="s">
        <v>145</v>
      </c>
      <c r="H27" s="147" t="s">
        <v>144</v>
      </c>
      <c r="I27" s="147" t="s">
        <v>143</v>
      </c>
      <c r="J27" s="147" t="s">
        <v>142</v>
      </c>
    </row>
    <row r="28" spans="2:16" x14ac:dyDescent="0.25">
      <c r="B28" s="74">
        <v>1</v>
      </c>
      <c r="C28" s="7">
        <f>(VO+VD)/VIN*ILOAD</f>
        <v>2.2055696202531645</v>
      </c>
      <c r="D28" s="7">
        <f t="shared" ref="D28:D48" si="2">ILOAD/C28</f>
        <v>0.26666666666666666</v>
      </c>
      <c r="E28" s="74">
        <f t="shared" ref="E28:E48" si="3">(VO+VD-VIN)*D28/L/FS</f>
        <v>0.50000000000000011</v>
      </c>
      <c r="F28" s="74">
        <f t="shared" ref="F28:F48" si="4">IF(C28-E28/2&gt;0, C28-E28/2,0)</f>
        <v>1.9555696202531645</v>
      </c>
      <c r="G28" s="75">
        <f t="shared" ref="G28:G48" si="5">VO*F28*FS*P$4</f>
        <v>0.34418025316455703</v>
      </c>
      <c r="H28" s="74">
        <f t="shared" ref="H28:H48" si="6">(C28*C28+E28*E28/12)*RDS_ON*(1-D28)</f>
        <v>0.26869538757143618</v>
      </c>
      <c r="I28" s="146">
        <f t="shared" ref="I28:I48" si="7">(C28*C28*RD+VD*C28)*D28</f>
        <v>0.35893644736420444</v>
      </c>
      <c r="J28" s="74">
        <f t="shared" ref="J28:J48" si="8">RL*(C28*C28+E28*E28/12)</f>
        <v>0.48853706831170218</v>
      </c>
    </row>
    <row r="29" spans="2:16" x14ac:dyDescent="0.25">
      <c r="B29" s="74">
        <v>2</v>
      </c>
      <c r="C29" s="74">
        <f t="shared" ref="C29:C48" si="9">(VO*ILOAD+G28+H28+I28+J28)/VIN</f>
        <v>2.3999484880939663</v>
      </c>
      <c r="D29" s="7">
        <f t="shared" si="2"/>
        <v>0.24506855111764755</v>
      </c>
      <c r="E29" s="74">
        <f t="shared" si="3"/>
        <v>0.45950353334558924</v>
      </c>
      <c r="F29" s="74">
        <f t="shared" si="4"/>
        <v>2.1701967214211715</v>
      </c>
      <c r="G29" s="75">
        <f t="shared" si="5"/>
        <v>0.38195462297012622</v>
      </c>
      <c r="H29" s="74">
        <f t="shared" si="6"/>
        <v>0.32711262931653029</v>
      </c>
      <c r="I29" s="146">
        <f t="shared" si="7"/>
        <v>0.36465266237392274</v>
      </c>
      <c r="J29" s="74">
        <f t="shared" si="8"/>
        <v>0.57773480369342722</v>
      </c>
    </row>
    <row r="30" spans="2:16" x14ac:dyDescent="0.25">
      <c r="B30" s="74">
        <v>3</v>
      </c>
      <c r="C30" s="74">
        <f t="shared" si="9"/>
        <v>2.4317994150843174</v>
      </c>
      <c r="D30" s="7">
        <f t="shared" si="2"/>
        <v>0.24185872201708061</v>
      </c>
      <c r="E30" s="74">
        <f t="shared" si="3"/>
        <v>0.45348510378202611</v>
      </c>
      <c r="F30" s="74">
        <f t="shared" si="4"/>
        <v>2.2050568631933043</v>
      </c>
      <c r="G30" s="75">
        <f t="shared" si="5"/>
        <v>0.38809000792202153</v>
      </c>
      <c r="H30" s="74">
        <f t="shared" si="6"/>
        <v>0.33722801387906975</v>
      </c>
      <c r="I30" s="146">
        <f t="shared" si="7"/>
        <v>0.36558932153321372</v>
      </c>
      <c r="J30" s="74">
        <f t="shared" si="8"/>
        <v>0.59307857901504446</v>
      </c>
    </row>
    <row r="31" spans="2:16" x14ac:dyDescent="0.25">
      <c r="B31" s="74">
        <v>4</v>
      </c>
      <c r="C31" s="74">
        <f t="shared" si="9"/>
        <v>2.4372212824168749</v>
      </c>
      <c r="D31" s="7">
        <f t="shared" si="2"/>
        <v>0.24132068063632503</v>
      </c>
      <c r="E31" s="74">
        <f t="shared" si="3"/>
        <v>0.45247627619310943</v>
      </c>
      <c r="F31" s="74">
        <f t="shared" si="4"/>
        <v>2.2109831443203203</v>
      </c>
      <c r="G31" s="75">
        <f t="shared" si="5"/>
        <v>0.38913303340037636</v>
      </c>
      <c r="H31" s="74">
        <f t="shared" si="6"/>
        <v>0.33896514436785152</v>
      </c>
      <c r="I31" s="146">
        <f t="shared" si="7"/>
        <v>0.36574876561153019</v>
      </c>
      <c r="J31" s="74">
        <f t="shared" si="8"/>
        <v>0.59571088111755555</v>
      </c>
    </row>
    <row r="32" spans="2:16" x14ac:dyDescent="0.25">
      <c r="B32" s="74">
        <v>5</v>
      </c>
      <c r="C32" s="74">
        <f t="shared" si="9"/>
        <v>2.4381499327748686</v>
      </c>
      <c r="D32" s="7">
        <f t="shared" si="2"/>
        <v>0.24122876564231596</v>
      </c>
      <c r="E32" s="74">
        <f t="shared" si="3"/>
        <v>0.45230393557934245</v>
      </c>
      <c r="F32" s="74">
        <f t="shared" si="4"/>
        <v>2.2119979649851973</v>
      </c>
      <c r="G32" s="75">
        <f t="shared" si="5"/>
        <v>0.38931164183739475</v>
      </c>
      <c r="H32" s="74">
        <f t="shared" si="6"/>
        <v>0.33926312209127524</v>
      </c>
      <c r="I32" s="146">
        <f t="shared" si="7"/>
        <v>0.3657760749850959</v>
      </c>
      <c r="J32" s="74">
        <f t="shared" si="8"/>
        <v>0.59616233322018097</v>
      </c>
    </row>
    <row r="33" spans="2:10" x14ac:dyDescent="0.25">
      <c r="B33" s="74">
        <v>6</v>
      </c>
      <c r="C33" s="74">
        <f t="shared" si="9"/>
        <v>2.4383091573809743</v>
      </c>
      <c r="D33" s="7">
        <f t="shared" si="2"/>
        <v>0.24121301310532756</v>
      </c>
      <c r="E33" s="74">
        <f t="shared" si="3"/>
        <v>0.45227439957248922</v>
      </c>
      <c r="F33" s="74">
        <f t="shared" si="4"/>
        <v>2.2121719575947298</v>
      </c>
      <c r="G33" s="75">
        <f t="shared" si="5"/>
        <v>0.38934226453667248</v>
      </c>
      <c r="H33" s="74">
        <f t="shared" si="6"/>
        <v>0.33931422582830939</v>
      </c>
      <c r="I33" s="146">
        <f t="shared" si="7"/>
        <v>0.36578075739781618</v>
      </c>
      <c r="J33" s="74">
        <f t="shared" si="8"/>
        <v>0.5962397558010305</v>
      </c>
    </row>
    <row r="34" spans="2:10" x14ac:dyDescent="0.25">
      <c r="B34" s="74">
        <v>7</v>
      </c>
      <c r="C34" s="74">
        <f t="shared" si="9"/>
        <v>2.4383364626192878</v>
      </c>
      <c r="D34" s="7">
        <f t="shared" si="2"/>
        <v>0.24121031192814874</v>
      </c>
      <c r="E34" s="74">
        <f t="shared" si="3"/>
        <v>0.45226933486527887</v>
      </c>
      <c r="F34" s="74">
        <f t="shared" si="4"/>
        <v>2.2122017951866484</v>
      </c>
      <c r="G34" s="75">
        <f t="shared" si="5"/>
        <v>0.38934751595285017</v>
      </c>
      <c r="H34" s="74">
        <f t="shared" si="6"/>
        <v>0.33932298993108251</v>
      </c>
      <c r="I34" s="146">
        <f t="shared" si="7"/>
        <v>0.36578156037920417</v>
      </c>
      <c r="J34" s="74">
        <f t="shared" si="8"/>
        <v>0.59625303342103653</v>
      </c>
    </row>
    <row r="35" spans="2:10" x14ac:dyDescent="0.25">
      <c r="B35" s="74">
        <v>8</v>
      </c>
      <c r="C35" s="134">
        <f t="shared" si="9"/>
        <v>2.438341145306012</v>
      </c>
      <c r="D35" s="7">
        <f t="shared" si="2"/>
        <v>0.24120984869833054</v>
      </c>
      <c r="E35" s="74">
        <f t="shared" si="3"/>
        <v>0.45226846630936979</v>
      </c>
      <c r="F35" s="74">
        <f t="shared" si="4"/>
        <v>2.212206912151327</v>
      </c>
      <c r="G35" s="75">
        <f t="shared" si="5"/>
        <v>0.38934841653863356</v>
      </c>
      <c r="H35" s="74">
        <f t="shared" si="6"/>
        <v>0.33932449293410899</v>
      </c>
      <c r="I35" s="146">
        <f t="shared" si="7"/>
        <v>0.3657816980857585</v>
      </c>
      <c r="J35" s="74">
        <f t="shared" si="8"/>
        <v>0.59625531046937208</v>
      </c>
    </row>
    <row r="36" spans="2:10" x14ac:dyDescent="0.25">
      <c r="B36" s="74">
        <v>9</v>
      </c>
      <c r="C36" s="74">
        <f t="shared" si="9"/>
        <v>2.4383419483632953</v>
      </c>
      <c r="D36" s="7">
        <f t="shared" si="2"/>
        <v>0.24120976925691917</v>
      </c>
      <c r="E36" s="74">
        <f t="shared" si="3"/>
        <v>0.4522683173567234</v>
      </c>
      <c r="F36" s="74">
        <f t="shared" si="4"/>
        <v>2.2122077896849337</v>
      </c>
      <c r="G36" s="75">
        <f t="shared" si="5"/>
        <v>0.38934857098454834</v>
      </c>
      <c r="H36" s="74">
        <f t="shared" si="6"/>
        <v>0.33932475069192031</v>
      </c>
      <c r="I36" s="146">
        <f t="shared" si="7"/>
        <v>0.36578172170174189</v>
      </c>
      <c r="J36" s="74">
        <f t="shared" si="8"/>
        <v>0.5962557009721835</v>
      </c>
    </row>
    <row r="37" spans="2:10" x14ac:dyDescent="0.25">
      <c r="B37" s="74">
        <v>10</v>
      </c>
      <c r="C37" s="74">
        <f t="shared" si="9"/>
        <v>2.4383420860837153</v>
      </c>
      <c r="D37" s="7">
        <f t="shared" si="2"/>
        <v>0.24120975563310859</v>
      </c>
      <c r="E37" s="74">
        <f t="shared" si="3"/>
        <v>0.45226829181207862</v>
      </c>
      <c r="F37" s="74">
        <f t="shared" si="4"/>
        <v>2.212207940177676</v>
      </c>
      <c r="G37" s="75">
        <f t="shared" si="5"/>
        <v>0.38934859747127104</v>
      </c>
      <c r="H37" s="74">
        <f t="shared" si="6"/>
        <v>0.33932479489614165</v>
      </c>
      <c r="I37" s="146">
        <f t="shared" si="7"/>
        <v>0.36578172575176815</v>
      </c>
      <c r="J37" s="74">
        <f t="shared" si="8"/>
        <v>0.59625576794153023</v>
      </c>
    </row>
    <row r="38" spans="2:10" x14ac:dyDescent="0.25">
      <c r="B38" s="150">
        <v>11</v>
      </c>
      <c r="C38" s="74">
        <f t="shared" si="9"/>
        <v>2.4383421097021016</v>
      </c>
      <c r="D38" s="7">
        <f t="shared" si="2"/>
        <v>0.24120975329669106</v>
      </c>
      <c r="E38" s="74">
        <f t="shared" si="3"/>
        <v>0.45226828743129577</v>
      </c>
      <c r="F38" s="74">
        <f t="shared" si="4"/>
        <v>2.2122079659864538</v>
      </c>
      <c r="G38" s="75">
        <f t="shared" si="5"/>
        <v>0.38934860201361582</v>
      </c>
      <c r="H38" s="74">
        <f t="shared" si="6"/>
        <v>0.33932480247695224</v>
      </c>
      <c r="I38" s="146">
        <f t="shared" si="7"/>
        <v>0.36578172644632811</v>
      </c>
      <c r="J38" s="74">
        <f t="shared" si="8"/>
        <v>0.59625577942644992</v>
      </c>
    </row>
    <row r="39" spans="2:10" x14ac:dyDescent="0.25">
      <c r="B39" s="150">
        <v>12</v>
      </c>
      <c r="C39" s="74">
        <f t="shared" si="9"/>
        <v>2.4383421137525407</v>
      </c>
      <c r="D39" s="7">
        <f t="shared" si="2"/>
        <v>0.24120975289600677</v>
      </c>
      <c r="E39" s="74">
        <f t="shared" si="3"/>
        <v>0.45226828668001268</v>
      </c>
      <c r="F39" s="74">
        <f t="shared" si="4"/>
        <v>2.2122079704125346</v>
      </c>
      <c r="G39" s="75">
        <f t="shared" si="5"/>
        <v>0.38934860279260608</v>
      </c>
      <c r="H39" s="74">
        <f t="shared" si="6"/>
        <v>0.33932480377702462</v>
      </c>
      <c r="I39" s="146">
        <f t="shared" si="7"/>
        <v>0.36578172656544178</v>
      </c>
      <c r="J39" s="74">
        <f t="shared" si="8"/>
        <v>0.59625578139605817</v>
      </c>
    </row>
    <row r="40" spans="2:10" x14ac:dyDescent="0.25">
      <c r="B40" s="150">
        <v>13</v>
      </c>
      <c r="C40" s="74">
        <f t="shared" si="9"/>
        <v>2.4383421144471717</v>
      </c>
      <c r="D40" s="7">
        <f t="shared" si="2"/>
        <v>0.24120975282729132</v>
      </c>
      <c r="E40" s="74">
        <f t="shared" si="3"/>
        <v>0.45226828655117124</v>
      </c>
      <c r="F40" s="74">
        <f t="shared" si="4"/>
        <v>2.2122079711715861</v>
      </c>
      <c r="G40" s="75">
        <f t="shared" si="5"/>
        <v>0.38934860292619916</v>
      </c>
      <c r="H40" s="74">
        <f t="shared" si="6"/>
        <v>0.33932480399998088</v>
      </c>
      <c r="I40" s="146">
        <f t="shared" si="7"/>
        <v>0.36578172658586922</v>
      </c>
      <c r="J40" s="74">
        <f t="shared" si="8"/>
        <v>0.59625578173383653</v>
      </c>
    </row>
    <row r="41" spans="2:10" x14ac:dyDescent="0.25">
      <c r="B41" s="150">
        <v>14</v>
      </c>
      <c r="C41" s="74">
        <f t="shared" si="9"/>
        <v>2.4383421145662973</v>
      </c>
      <c r="D41" s="7">
        <f t="shared" si="2"/>
        <v>0.24120975281550697</v>
      </c>
      <c r="E41" s="74">
        <f t="shared" si="3"/>
        <v>0.45226828652907558</v>
      </c>
      <c r="F41" s="74">
        <f t="shared" si="4"/>
        <v>2.2122079713017597</v>
      </c>
      <c r="G41" s="75">
        <f t="shared" si="5"/>
        <v>0.38934860294910967</v>
      </c>
      <c r="H41" s="74">
        <f t="shared" si="6"/>
        <v>0.33932480403821669</v>
      </c>
      <c r="I41" s="146">
        <f t="shared" si="7"/>
        <v>0.36578172658937241</v>
      </c>
      <c r="J41" s="74">
        <f t="shared" si="8"/>
        <v>0.59625578179176386</v>
      </c>
    </row>
    <row r="42" spans="2:10" x14ac:dyDescent="0.25">
      <c r="B42" s="150">
        <v>15</v>
      </c>
      <c r="C42" s="74">
        <f t="shared" si="9"/>
        <v>2.4383421145867268</v>
      </c>
      <c r="D42" s="7">
        <f t="shared" si="2"/>
        <v>0.24120975281348603</v>
      </c>
      <c r="E42" s="74">
        <f t="shared" si="3"/>
        <v>0.45226828652528633</v>
      </c>
      <c r="F42" s="74">
        <f t="shared" si="4"/>
        <v>2.2122079713240836</v>
      </c>
      <c r="G42" s="75">
        <f t="shared" si="5"/>
        <v>0.38934860295303875</v>
      </c>
      <c r="H42" s="74">
        <f t="shared" si="6"/>
        <v>0.33932480404477394</v>
      </c>
      <c r="I42" s="146">
        <f t="shared" si="7"/>
        <v>0.36578172658997321</v>
      </c>
      <c r="J42" s="74">
        <f t="shared" si="8"/>
        <v>0.59625578180169814</v>
      </c>
    </row>
    <row r="43" spans="2:10" x14ac:dyDescent="0.25">
      <c r="B43" s="150">
        <v>16</v>
      </c>
      <c r="C43" s="74">
        <f t="shared" si="9"/>
        <v>2.4383421145902306</v>
      </c>
      <c r="D43" s="7">
        <f t="shared" si="2"/>
        <v>0.24120975281313942</v>
      </c>
      <c r="E43" s="74">
        <f t="shared" si="3"/>
        <v>0.45226828652463641</v>
      </c>
      <c r="F43" s="74">
        <f t="shared" si="4"/>
        <v>2.2122079713279126</v>
      </c>
      <c r="G43" s="75">
        <f t="shared" si="5"/>
        <v>0.3893486029537126</v>
      </c>
      <c r="H43" s="74">
        <f t="shared" si="6"/>
        <v>0.33932480404589854</v>
      </c>
      <c r="I43" s="146">
        <f t="shared" si="7"/>
        <v>0.36578172659007624</v>
      </c>
      <c r="J43" s="74">
        <f t="shared" si="8"/>
        <v>0.59625578180340177</v>
      </c>
    </row>
    <row r="44" spans="2:10" x14ac:dyDescent="0.25">
      <c r="B44" s="150">
        <v>17</v>
      </c>
      <c r="C44" s="74">
        <f t="shared" si="9"/>
        <v>2.4383421145908311</v>
      </c>
      <c r="D44" s="7">
        <f t="shared" si="2"/>
        <v>0.24120975281308002</v>
      </c>
      <c r="E44" s="74">
        <f t="shared" si="3"/>
        <v>0.45226828652452505</v>
      </c>
      <c r="F44" s="74">
        <f t="shared" si="4"/>
        <v>2.2122079713285685</v>
      </c>
      <c r="G44" s="75">
        <f t="shared" si="5"/>
        <v>0.38934860295382806</v>
      </c>
      <c r="H44" s="74">
        <f t="shared" si="6"/>
        <v>0.33932480404609128</v>
      </c>
      <c r="I44" s="146">
        <f t="shared" si="7"/>
        <v>0.36578172659009389</v>
      </c>
      <c r="J44" s="74">
        <f t="shared" si="8"/>
        <v>0.59625578180369387</v>
      </c>
    </row>
    <row r="45" spans="2:10" x14ac:dyDescent="0.25">
      <c r="B45" s="150">
        <v>18</v>
      </c>
      <c r="C45" s="74">
        <f t="shared" si="9"/>
        <v>2.4383421145909341</v>
      </c>
      <c r="D45" s="7">
        <f t="shared" si="2"/>
        <v>0.24120975281306981</v>
      </c>
      <c r="E45" s="74">
        <f t="shared" si="3"/>
        <v>0.4522682865245059</v>
      </c>
      <c r="F45" s="74">
        <f t="shared" si="4"/>
        <v>2.2122079713286813</v>
      </c>
      <c r="G45" s="75">
        <f t="shared" si="5"/>
        <v>0.38934860295384788</v>
      </c>
      <c r="H45" s="74">
        <f t="shared" si="6"/>
        <v>0.33932480404612436</v>
      </c>
      <c r="I45" s="146">
        <f t="shared" si="7"/>
        <v>0.36578172659009689</v>
      </c>
      <c r="J45" s="74">
        <f t="shared" si="8"/>
        <v>0.59625578180374394</v>
      </c>
    </row>
    <row r="46" spans="2:10" x14ac:dyDescent="0.25">
      <c r="B46" s="150">
        <v>19</v>
      </c>
      <c r="C46" s="74">
        <f t="shared" si="9"/>
        <v>2.4383421145909523</v>
      </c>
      <c r="D46" s="7">
        <f t="shared" si="2"/>
        <v>0.24120975281306803</v>
      </c>
      <c r="E46" s="74">
        <f t="shared" si="3"/>
        <v>0.45226828652450263</v>
      </c>
      <c r="F46" s="74">
        <f t="shared" si="4"/>
        <v>2.2122079713287008</v>
      </c>
      <c r="G46" s="75">
        <f t="shared" si="5"/>
        <v>0.38934860295385137</v>
      </c>
      <c r="H46" s="74">
        <f t="shared" si="6"/>
        <v>0.33932480404613019</v>
      </c>
      <c r="I46" s="146">
        <f t="shared" si="7"/>
        <v>0.3657817265900975</v>
      </c>
      <c r="J46" s="74">
        <f t="shared" si="8"/>
        <v>0.59625578180375283</v>
      </c>
    </row>
    <row r="47" spans="2:10" x14ac:dyDescent="0.25">
      <c r="B47" s="150">
        <v>20</v>
      </c>
      <c r="C47" s="74">
        <f t="shared" si="9"/>
        <v>2.4383421145909554</v>
      </c>
      <c r="D47" s="7">
        <f t="shared" si="2"/>
        <v>0.2412097528130677</v>
      </c>
      <c r="E47" s="74">
        <f t="shared" si="3"/>
        <v>0.45226828652450196</v>
      </c>
      <c r="F47" s="74">
        <f t="shared" si="4"/>
        <v>2.2122079713287044</v>
      </c>
      <c r="G47" s="75">
        <f t="shared" si="5"/>
        <v>0.38934860295385199</v>
      </c>
      <c r="H47" s="74">
        <f t="shared" si="6"/>
        <v>0.33932480404613125</v>
      </c>
      <c r="I47" s="146">
        <f t="shared" si="7"/>
        <v>0.3657817265900975</v>
      </c>
      <c r="J47" s="74">
        <f t="shared" si="8"/>
        <v>0.59625578180375427</v>
      </c>
    </row>
    <row r="48" spans="2:10" x14ac:dyDescent="0.25">
      <c r="B48" s="150">
        <v>21</v>
      </c>
      <c r="C48" s="74">
        <f t="shared" si="9"/>
        <v>2.4383421145909554</v>
      </c>
      <c r="D48" s="7">
        <f t="shared" si="2"/>
        <v>0.2412097528130677</v>
      </c>
      <c r="E48" s="74">
        <f t="shared" si="3"/>
        <v>0.45226828652450196</v>
      </c>
      <c r="F48" s="74">
        <f t="shared" si="4"/>
        <v>2.2122079713287044</v>
      </c>
      <c r="G48" s="75">
        <f t="shared" si="5"/>
        <v>0.38934860295385199</v>
      </c>
      <c r="H48" s="74">
        <f t="shared" si="6"/>
        <v>0.33932480404613125</v>
      </c>
      <c r="I48" s="146">
        <f t="shared" si="7"/>
        <v>0.3657817265900975</v>
      </c>
      <c r="J48" s="74">
        <f t="shared" si="8"/>
        <v>0.59625578180375427</v>
      </c>
    </row>
  </sheetData>
  <sheetProtection selectLockedCells="1"/>
  <mergeCells count="1">
    <mergeCell ref="B11:E11"/>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2:J41"/>
  <sheetViews>
    <sheetView zoomScaleNormal="100" workbookViewId="0">
      <selection activeCell="C32" sqref="C32"/>
    </sheetView>
  </sheetViews>
  <sheetFormatPr defaultColWidth="8.5703125" defaultRowHeight="15" x14ac:dyDescent="0.25"/>
  <cols>
    <col min="2" max="2" width="27.42578125" customWidth="1"/>
    <col min="3" max="3" width="10" customWidth="1"/>
    <col min="4" max="4" width="6.28515625" bestFit="1" customWidth="1"/>
    <col min="5" max="5" width="35.7109375" bestFit="1" customWidth="1"/>
    <col min="6" max="6" width="38.42578125" customWidth="1"/>
    <col min="7" max="7" width="13.5703125" customWidth="1"/>
    <col min="8" max="8" width="12.28515625" customWidth="1"/>
  </cols>
  <sheetData>
    <row r="2" spans="2:6" ht="16.5" customHeight="1" x14ac:dyDescent="0.25">
      <c r="B2" s="49" t="s">
        <v>78</v>
      </c>
      <c r="C2" s="67">
        <f>'LP8863-Q1_Cal'!G30</f>
        <v>453</v>
      </c>
      <c r="D2" s="51" t="s">
        <v>10</v>
      </c>
      <c r="E2" s="164"/>
    </row>
    <row r="3" spans="2:6" ht="16.5" customHeight="1" x14ac:dyDescent="0.25">
      <c r="B3" s="49" t="s">
        <v>79</v>
      </c>
      <c r="C3" s="67">
        <f>'LP8863-Q1_Cal'!G31</f>
        <v>100</v>
      </c>
      <c r="D3" s="51" t="s">
        <v>10</v>
      </c>
      <c r="E3" s="164"/>
    </row>
    <row r="4" spans="2:6" ht="16.5" customHeight="1" x14ac:dyDescent="0.25">
      <c r="B4" s="49" t="s">
        <v>80</v>
      </c>
      <c r="C4" s="50">
        <f>'LP8863-Q1_Cal'!G32</f>
        <v>0</v>
      </c>
      <c r="D4" s="51" t="s">
        <v>10</v>
      </c>
      <c r="E4" s="164"/>
    </row>
    <row r="5" spans="2:6" ht="16.5" customHeight="1" x14ac:dyDescent="0.25">
      <c r="B5" s="49" t="s">
        <v>41</v>
      </c>
      <c r="C5" s="149">
        <f>'LP8863-Q1_Cal'!G74</f>
        <v>200</v>
      </c>
      <c r="D5" s="51" t="s">
        <v>10</v>
      </c>
      <c r="E5" s="287" t="s">
        <v>81</v>
      </c>
      <c r="F5" s="167"/>
    </row>
    <row r="6" spans="2:6" ht="16.5" customHeight="1" x14ac:dyDescent="0.3">
      <c r="B6" s="49" t="s">
        <v>82</v>
      </c>
      <c r="C6" s="149">
        <f>'LP8863-Q1_Cal'!G75</f>
        <v>1</v>
      </c>
      <c r="D6" s="51" t="s">
        <v>83</v>
      </c>
      <c r="E6" s="287"/>
      <c r="F6" s="167"/>
    </row>
    <row r="7" spans="2:6" ht="16.5" customHeight="1" x14ac:dyDescent="0.25">
      <c r="B7" s="49" t="s">
        <v>84</v>
      </c>
      <c r="C7" s="50">
        <f ca="1">20*LOG10('LP8863-Q1_Cal'!G64/'LP8863-Q1_Cal'!G67)</f>
        <v>0.20776327389174132</v>
      </c>
      <c r="D7" s="51" t="s">
        <v>85</v>
      </c>
      <c r="E7" s="165"/>
      <c r="F7" s="52"/>
    </row>
    <row r="8" spans="2:6" x14ac:dyDescent="0.25">
      <c r="B8" s="53" t="s">
        <v>73</v>
      </c>
      <c r="C8" s="54">
        <v>1.21</v>
      </c>
      <c r="D8" s="55" t="s">
        <v>4</v>
      </c>
      <c r="E8" s="164"/>
    </row>
    <row r="9" spans="2:6" x14ac:dyDescent="0.25">
      <c r="B9" s="53" t="s">
        <v>74</v>
      </c>
      <c r="C9" s="54">
        <v>38.700000000000003</v>
      </c>
      <c r="D9" s="55" t="s">
        <v>19</v>
      </c>
      <c r="E9" s="164"/>
    </row>
    <row r="10" spans="2:6" x14ac:dyDescent="0.25">
      <c r="B10" s="53" t="s">
        <v>75</v>
      </c>
      <c r="C10" s="54">
        <v>0</v>
      </c>
      <c r="D10" s="55" t="s">
        <v>19</v>
      </c>
      <c r="E10" s="164"/>
    </row>
    <row r="11" spans="2:6" x14ac:dyDescent="0.25">
      <c r="B11" s="53" t="s">
        <v>86</v>
      </c>
      <c r="C11" s="54">
        <v>600</v>
      </c>
      <c r="D11" s="55" t="s">
        <v>11</v>
      </c>
      <c r="E11" s="164"/>
    </row>
    <row r="12" spans="2:6" ht="13.9" customHeight="1" x14ac:dyDescent="0.25">
      <c r="B12" s="53" t="s">
        <v>87</v>
      </c>
      <c r="C12" s="102">
        <v>1.423</v>
      </c>
      <c r="D12" s="55" t="s">
        <v>4</v>
      </c>
      <c r="E12" s="164"/>
    </row>
    <row r="13" spans="2:6" x14ac:dyDescent="0.25">
      <c r="B13" s="53" t="s">
        <v>88</v>
      </c>
      <c r="C13" s="102">
        <v>0.88600000000000001</v>
      </c>
      <c r="D13" s="55" t="s">
        <v>4</v>
      </c>
      <c r="E13" s="164"/>
    </row>
    <row r="14" spans="2:6" x14ac:dyDescent="0.25">
      <c r="B14" s="56" t="s">
        <v>43</v>
      </c>
      <c r="C14" s="57">
        <f ca="1">1/(1/C2+1/C3)*(1/(POWER(10,C7/20)-1))</f>
        <v>3383.8738345935208</v>
      </c>
      <c r="D14" s="58" t="s">
        <v>10</v>
      </c>
      <c r="E14" s="166"/>
      <c r="F14" s="286"/>
    </row>
    <row r="15" spans="2:6" ht="16.5" x14ac:dyDescent="0.3">
      <c r="B15" s="56" t="s">
        <v>89</v>
      </c>
      <c r="C15" s="57">
        <f ca="1">1/(2*PI()*(1/(1/C2+1/C3)+C14)*1000*C11)*1000000000</f>
        <v>7.6536139982081267E-2</v>
      </c>
      <c r="D15" s="58" t="s">
        <v>83</v>
      </c>
      <c r="E15" s="168" t="s">
        <v>81</v>
      </c>
      <c r="F15" s="286"/>
    </row>
    <row r="16" spans="2:6" ht="16.5" x14ac:dyDescent="0.3">
      <c r="B16" s="56" t="s">
        <v>90</v>
      </c>
      <c r="C16" s="68">
        <f>1/(2*PI()*(1/(1/C2+1/C3)+C5)*1000*C6*0.000000001)</f>
        <v>564.54575708671007</v>
      </c>
      <c r="D16" s="58" t="s">
        <v>11</v>
      </c>
      <c r="E16" s="59" t="s">
        <v>91</v>
      </c>
    </row>
    <row r="17" spans="2:5" x14ac:dyDescent="0.25">
      <c r="B17" s="56" t="s">
        <v>92</v>
      </c>
      <c r="C17" s="68">
        <f>1/(2*PI()*(C5)*1000*C6*0.000000001)</f>
        <v>795.77471545947662</v>
      </c>
      <c r="D17" s="58" t="s">
        <v>11</v>
      </c>
      <c r="E17" s="59" t="s">
        <v>93</v>
      </c>
    </row>
    <row r="18" spans="2:5" x14ac:dyDescent="0.25">
      <c r="B18" s="56" t="s">
        <v>71</v>
      </c>
      <c r="C18" s="57">
        <f>(C8+((C9*10^-6)*(C4*10^3)))+((((C8+((C9*10^-6)*(C4*10^3)))/(C3*10^3))+(C9*10^-6))*(C2*10^3))</f>
        <v>24.2224</v>
      </c>
      <c r="D18" s="58" t="s">
        <v>4</v>
      </c>
      <c r="E18" t="s">
        <v>94</v>
      </c>
    </row>
    <row r="19" spans="2:5" x14ac:dyDescent="0.25">
      <c r="B19" s="56" t="s">
        <v>72</v>
      </c>
      <c r="C19" s="57">
        <f>(C8+((C10*10^-6)*(C4*10^3)))+((((C8+((C10*10^-6)*(C4*10^3)))/(C3*10^3))+(C10*10^-6))*(C2*10^3))</f>
        <v>6.6913</v>
      </c>
      <c r="D19" s="58" t="s">
        <v>4</v>
      </c>
    </row>
    <row r="20" spans="2:5" x14ac:dyDescent="0.25">
      <c r="B20" s="56" t="s">
        <v>77</v>
      </c>
      <c r="C20" s="57">
        <f>0.88*(C18-C19)+C19</f>
        <v>22.118668</v>
      </c>
      <c r="D20" s="58" t="s">
        <v>4</v>
      </c>
    </row>
    <row r="21" spans="2:5" x14ac:dyDescent="0.25">
      <c r="B21" s="56" t="s">
        <v>95</v>
      </c>
      <c r="C21" s="57">
        <f>(C12+((C9*10^-6)*C13*(C4*10^3)))+((((C12+((C9*10^-6*C13)*(C4*10^3)))/(C3*10^3))+(C9*10^-6*C13))*(C2*10^3))</f>
        <v>23.401744600000001</v>
      </c>
      <c r="D21" s="58" t="s">
        <v>4</v>
      </c>
      <c r="E21" t="s">
        <v>96</v>
      </c>
    </row>
    <row r="22" spans="2:5" x14ac:dyDescent="0.25">
      <c r="B22" s="56" t="s">
        <v>97</v>
      </c>
      <c r="C22" s="57">
        <f>(C13+((C9*10^-6)*(C4*10^3)))+((((C13+((C9*10^-6)*(C4*10^3)))/(C3*10^3))+(C9*10^-6))*(C2*10^3))</f>
        <v>22.430679999999999</v>
      </c>
      <c r="D22" s="58" t="s">
        <v>4</v>
      </c>
      <c r="E22" t="s">
        <v>98</v>
      </c>
    </row>
    <row r="23" spans="2:5" x14ac:dyDescent="0.25">
      <c r="B23" s="56" t="s">
        <v>99</v>
      </c>
      <c r="C23" s="57">
        <f>20*LOG(((1/(1/C2+1/C3))+C5)/C5,10)</f>
        <v>2.9818197644032454</v>
      </c>
      <c r="D23" s="58" t="s">
        <v>85</v>
      </c>
    </row>
    <row r="25" spans="2:5" x14ac:dyDescent="0.25">
      <c r="B25" s="69" t="s">
        <v>71</v>
      </c>
      <c r="C25" s="97">
        <f>'LP8863-Q1_Cal'!G17+5</f>
        <v>27</v>
      </c>
      <c r="D25" s="69" t="s">
        <v>4</v>
      </c>
    </row>
    <row r="26" spans="2:5" x14ac:dyDescent="0.25">
      <c r="B26" s="69" t="s">
        <v>72</v>
      </c>
      <c r="C26" s="70">
        <f>IF('LP8863-Q1_Cal'!G11*'LP8863-Q1_Cal'!G14&gt;13.2, 13.2, 'LP8863-Q1_Cal'!G11*'LP8863-Q1_Cal'!G14)</f>
        <v>13.2</v>
      </c>
      <c r="D26" s="69" t="s">
        <v>4</v>
      </c>
    </row>
    <row r="27" spans="2:5" x14ac:dyDescent="0.25">
      <c r="B27" s="69" t="s">
        <v>73</v>
      </c>
      <c r="C27" s="70">
        <v>1.21</v>
      </c>
      <c r="D27" s="69" t="s">
        <v>4</v>
      </c>
    </row>
    <row r="28" spans="2:5" x14ac:dyDescent="0.25">
      <c r="B28" s="69" t="s">
        <v>74</v>
      </c>
      <c r="C28" s="70">
        <v>38.700000000000003</v>
      </c>
      <c r="D28" s="69" t="s">
        <v>19</v>
      </c>
    </row>
    <row r="29" spans="2:5" x14ac:dyDescent="0.25">
      <c r="B29" s="69" t="s">
        <v>75</v>
      </c>
      <c r="C29" s="70">
        <v>0</v>
      </c>
      <c r="D29" s="69" t="s">
        <v>19</v>
      </c>
    </row>
    <row r="30" spans="2:5" x14ac:dyDescent="0.25">
      <c r="B30" s="69" t="s">
        <v>76</v>
      </c>
      <c r="C30" s="70">
        <v>20</v>
      </c>
      <c r="D30" s="69" t="s">
        <v>13</v>
      </c>
    </row>
    <row r="31" spans="2:5" x14ac:dyDescent="0.25">
      <c r="B31" s="133"/>
      <c r="C31" s="133"/>
      <c r="D31" s="133"/>
    </row>
    <row r="32" spans="2:5" x14ac:dyDescent="0.25">
      <c r="B32" s="71" t="s">
        <v>77</v>
      </c>
      <c r="C32" s="72">
        <f>0.886*(C25-C26)+C26</f>
        <v>25.4268</v>
      </c>
      <c r="D32" s="71" t="s">
        <v>4</v>
      </c>
    </row>
    <row r="33" spans="1:10" x14ac:dyDescent="0.25">
      <c r="B33" s="73" t="s">
        <v>78</v>
      </c>
      <c r="C33" s="98">
        <f>(C25-C26)/C28*1000</f>
        <v>356.58914728682169</v>
      </c>
      <c r="D33" s="73" t="s">
        <v>42</v>
      </c>
    </row>
    <row r="34" spans="1:10" x14ac:dyDescent="0.25">
      <c r="B34" s="73" t="s">
        <v>79</v>
      </c>
      <c r="C34" s="98">
        <f>C33/(C26/C27-1)</f>
        <v>35.986060735367332</v>
      </c>
      <c r="D34" s="73" t="s">
        <v>42</v>
      </c>
    </row>
    <row r="36" spans="1:10" ht="15.75" thickBot="1" x14ac:dyDescent="0.3"/>
    <row r="37" spans="1:10" ht="15.75" thickBot="1" x14ac:dyDescent="0.3">
      <c r="A37" s="35" t="s">
        <v>39</v>
      </c>
      <c r="B37" s="40"/>
      <c r="I37" s="5"/>
      <c r="J37" s="5"/>
    </row>
    <row r="38" spans="1:10" ht="15.75" thickBot="1" x14ac:dyDescent="0.3">
      <c r="A38" s="40"/>
      <c r="B38" s="37" t="s">
        <v>1</v>
      </c>
      <c r="C38" s="38" t="s">
        <v>2</v>
      </c>
      <c r="D38" s="39" t="s">
        <v>3</v>
      </c>
    </row>
    <row r="39" spans="1:10" x14ac:dyDescent="0.25">
      <c r="A39" s="152"/>
      <c r="B39" s="247" t="s">
        <v>234</v>
      </c>
      <c r="C39" s="228">
        <v>1</v>
      </c>
      <c r="D39" s="248" t="s">
        <v>4</v>
      </c>
    </row>
    <row r="40" spans="1:10" ht="17.25" x14ac:dyDescent="0.25">
      <c r="A40" s="153"/>
      <c r="B40" s="227" t="s">
        <v>40</v>
      </c>
      <c r="C40" s="229">
        <v>325</v>
      </c>
      <c r="D40" s="241" t="s">
        <v>182</v>
      </c>
    </row>
    <row r="41" spans="1:10" ht="15.75" thickBot="1" x14ac:dyDescent="0.3">
      <c r="A41" s="26"/>
      <c r="B41" s="45" t="s">
        <v>290</v>
      </c>
      <c r="C41" s="230">
        <v>100</v>
      </c>
      <c r="D41" s="242" t="s">
        <v>16</v>
      </c>
    </row>
  </sheetData>
  <mergeCells count="2">
    <mergeCell ref="F14:F15"/>
    <mergeCell ref="E5:E6"/>
  </mergeCells>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4097" r:id="rId4">
          <objectPr defaultSize="0" autoPict="0" r:id="rId5">
            <anchor moveWithCells="1">
              <from>
                <xdr:col>5</xdr:col>
                <xdr:colOff>85725</xdr:colOff>
                <xdr:row>0</xdr:row>
                <xdr:rowOff>180975</xdr:rowOff>
              </from>
              <to>
                <xdr:col>12</xdr:col>
                <xdr:colOff>419100</xdr:colOff>
                <xdr:row>24</xdr:row>
                <xdr:rowOff>47625</xdr:rowOff>
              </to>
            </anchor>
          </objectPr>
        </oleObject>
      </mc:Choice>
      <mc:Fallback>
        <oleObject progId="Visio.Drawing.15"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29"/>
  <sheetViews>
    <sheetView zoomScale="115" zoomScaleNormal="115" workbookViewId="0">
      <selection activeCell="B27" sqref="B27:B29"/>
    </sheetView>
  </sheetViews>
  <sheetFormatPr defaultRowHeight="15" x14ac:dyDescent="0.25"/>
  <cols>
    <col min="1" max="1" width="14" customWidth="1"/>
    <col min="2" max="2" width="12.140625" customWidth="1"/>
    <col min="3" max="3" width="13.28515625" customWidth="1"/>
    <col min="4" max="4" width="11.28515625" customWidth="1"/>
    <col min="5" max="5" width="11.5703125" customWidth="1"/>
    <col min="6" max="6" width="10.5703125" customWidth="1"/>
    <col min="7" max="7" width="5.5703125" customWidth="1"/>
    <col min="8" max="8" width="10.85546875" bestFit="1" customWidth="1"/>
    <col min="12" max="12" width="4.28515625" customWidth="1"/>
    <col min="13" max="13" width="22" bestFit="1" customWidth="1"/>
    <col min="14" max="14" width="10.5703125" customWidth="1"/>
    <col min="15" max="15" width="5.28515625" bestFit="1" customWidth="1"/>
    <col min="17" max="17" width="7.28515625" customWidth="1"/>
    <col min="23" max="23" width="10.7109375" bestFit="1" customWidth="1"/>
    <col min="24" max="24" width="11.85546875" customWidth="1"/>
  </cols>
  <sheetData>
    <row r="1" spans="1:27" x14ac:dyDescent="0.25">
      <c r="A1" s="170" t="s">
        <v>44</v>
      </c>
      <c r="B1" s="288" t="s">
        <v>45</v>
      </c>
      <c r="C1" s="288" t="s">
        <v>46</v>
      </c>
      <c r="D1" s="292" t="s">
        <v>47</v>
      </c>
      <c r="E1" s="294"/>
      <c r="F1" s="293"/>
      <c r="H1" s="171" t="s">
        <v>53</v>
      </c>
      <c r="I1" s="64">
        <f t="shared" ref="I1:K6" si="0">D14/D4</f>
        <v>0</v>
      </c>
      <c r="J1" s="64">
        <f t="shared" si="0"/>
        <v>0.12481472911566421</v>
      </c>
      <c r="K1" s="64">
        <f t="shared" si="0"/>
        <v>0</v>
      </c>
      <c r="M1" s="56" t="s">
        <v>49</v>
      </c>
      <c r="N1" s="57">
        <f>'LP8863-Q1_Cal'!G33</f>
        <v>24.2224</v>
      </c>
      <c r="O1" s="57" t="s">
        <v>4</v>
      </c>
      <c r="Q1" s="60"/>
    </row>
    <row r="2" spans="1:27" x14ac:dyDescent="0.25">
      <c r="B2" s="290"/>
      <c r="C2" s="290"/>
      <c r="D2" s="61">
        <v>100</v>
      </c>
      <c r="E2" s="62">
        <v>400</v>
      </c>
      <c r="F2" s="61">
        <v>2222</v>
      </c>
      <c r="I2" s="64">
        <f t="shared" si="0"/>
        <v>0.11069650318682565</v>
      </c>
      <c r="J2" s="64">
        <f t="shared" si="0"/>
        <v>0.16995813028429899</v>
      </c>
      <c r="K2" s="64">
        <f t="shared" si="0"/>
        <v>8.7674108855203298E-2</v>
      </c>
      <c r="M2" s="56" t="s">
        <v>51</v>
      </c>
      <c r="N2" s="57">
        <f>'LP8863-Q1_Cal'!G34</f>
        <v>6.6913</v>
      </c>
      <c r="O2" s="57" t="s">
        <v>4</v>
      </c>
      <c r="Q2" s="60"/>
    </row>
    <row r="3" spans="1:27" x14ac:dyDescent="0.25">
      <c r="B3" s="292" t="s">
        <v>52</v>
      </c>
      <c r="C3" s="293"/>
      <c r="D3" s="61">
        <v>47</v>
      </c>
      <c r="E3" s="62">
        <v>22</v>
      </c>
      <c r="F3" s="61">
        <v>10</v>
      </c>
      <c r="I3" s="64">
        <f t="shared" si="0"/>
        <v>0.12219105915369323</v>
      </c>
      <c r="J3" s="64">
        <f t="shared" si="0"/>
        <v>0.11376275037970764</v>
      </c>
      <c r="K3" s="64">
        <f t="shared" si="0"/>
        <v>0.14572047009515163</v>
      </c>
      <c r="M3" s="56" t="s">
        <v>54</v>
      </c>
      <c r="N3" s="172">
        <f>N2/1.21</f>
        <v>5.53</v>
      </c>
      <c r="O3" s="57"/>
      <c r="Q3" s="60"/>
    </row>
    <row r="4" spans="1:27" x14ac:dyDescent="0.25">
      <c r="B4" s="288" t="s">
        <v>55</v>
      </c>
      <c r="C4" s="61" t="s">
        <v>56</v>
      </c>
      <c r="D4" s="63">
        <v>16775.569043171261</v>
      </c>
      <c r="E4" s="63">
        <v>11180.93421868917</v>
      </c>
      <c r="F4" s="63">
        <v>7534.042961795426</v>
      </c>
      <c r="I4" s="64">
        <f t="shared" si="0"/>
        <v>0.14984130681256341</v>
      </c>
      <c r="J4" s="64">
        <f t="shared" si="0"/>
        <v>9.8325059205679757E-2</v>
      </c>
      <c r="K4" s="64">
        <f t="shared" si="0"/>
        <v>0.29262452267182298</v>
      </c>
      <c r="M4" s="56" t="s">
        <v>226</v>
      </c>
      <c r="N4" s="172">
        <f>'LP8863-Q1_Cal'!G30/'LP8863-Q1_Cal'!G31+1</f>
        <v>5.53</v>
      </c>
      <c r="O4" s="57"/>
      <c r="Q4" s="60"/>
    </row>
    <row r="5" spans="1:27" x14ac:dyDescent="0.25">
      <c r="B5" s="289"/>
      <c r="C5" s="61" t="s">
        <v>57</v>
      </c>
      <c r="D5" s="63">
        <v>15314.307415984706</v>
      </c>
      <c r="E5" s="63">
        <v>9772.1688115052148</v>
      </c>
      <c r="F5" s="63">
        <v>7415.5089035890524</v>
      </c>
      <c r="I5" s="64">
        <f t="shared" si="0"/>
        <v>7.0070553493318269E-2</v>
      </c>
      <c r="J5" s="64">
        <f t="shared" si="0"/>
        <v>0.13552985349910646</v>
      </c>
      <c r="K5" s="64">
        <f t="shared" si="0"/>
        <v>0.24508161872971798</v>
      </c>
      <c r="N5" t="s">
        <v>59</v>
      </c>
      <c r="O5" t="s">
        <v>60</v>
      </c>
      <c r="P5" t="s">
        <v>61</v>
      </c>
      <c r="Q5" s="60"/>
    </row>
    <row r="6" spans="1:27" x14ac:dyDescent="0.25">
      <c r="B6" s="290"/>
      <c r="C6" s="61" t="s">
        <v>58</v>
      </c>
      <c r="D6" s="63">
        <v>14510.438648188281</v>
      </c>
      <c r="E6" s="63">
        <v>7964.1389304422264</v>
      </c>
      <c r="F6" s="63">
        <v>6949.2642686797626</v>
      </c>
      <c r="I6" s="64">
        <f t="shared" si="0"/>
        <v>5.2781874290362525E-2</v>
      </c>
      <c r="J6" s="64">
        <f t="shared" si="0"/>
        <v>8.8199134725338024E-2</v>
      </c>
      <c r="K6" s="64">
        <f t="shared" si="0"/>
        <v>0.25851904605472686</v>
      </c>
      <c r="N6">
        <f>IF('LP8863-Q1_Cal'!G38&lt;=200, 0, IF('LP8863-Q1_Cal'!G38&lt;=1000,1,2))</f>
        <v>1</v>
      </c>
      <c r="O6">
        <f>IF('LP8863-Q1_Cal'!G14&lt;=7, 0, IF('LP8863-Q1_Cal'!G14&lt;=9,1,2))</f>
        <v>0</v>
      </c>
      <c r="P6">
        <f>IF('LP8863-Q1_Cal'!G21*1000*'LP8863-Q1_Cal'!G16&lt;=0.9, 0,1)</f>
        <v>1</v>
      </c>
      <c r="Q6" s="60"/>
    </row>
    <row r="7" spans="1:27" x14ac:dyDescent="0.25">
      <c r="B7" s="288" t="s">
        <v>62</v>
      </c>
      <c r="C7" s="61" t="s">
        <v>63</v>
      </c>
      <c r="D7" s="63">
        <v>24416.520681282931</v>
      </c>
      <c r="E7" s="63">
        <v>14159.675598251448</v>
      </c>
      <c r="F7" s="63">
        <v>14308.802973919554</v>
      </c>
      <c r="Q7" s="60"/>
    </row>
    <row r="8" spans="1:27" x14ac:dyDescent="0.25">
      <c r="B8" s="289"/>
      <c r="C8" s="61" t="s">
        <v>64</v>
      </c>
      <c r="D8" s="63">
        <v>19947.476173504201</v>
      </c>
      <c r="E8" s="63">
        <v>11501.512912510736</v>
      </c>
      <c r="F8" s="63">
        <v>11338.483472233485</v>
      </c>
      <c r="Q8" s="60"/>
    </row>
    <row r="9" spans="1:27" x14ac:dyDescent="0.25">
      <c r="B9" s="290"/>
      <c r="C9" s="61" t="s">
        <v>65</v>
      </c>
      <c r="D9" s="63">
        <v>16750.927339309463</v>
      </c>
      <c r="E9" s="63">
        <v>9388.2926893634194</v>
      </c>
      <c r="F9" s="63">
        <v>9622.4712171129104</v>
      </c>
      <c r="M9" s="135" t="s">
        <v>66</v>
      </c>
      <c r="N9" s="140">
        <f>'LP8863-Q1_Cal'!G9</f>
        <v>6</v>
      </c>
      <c r="O9" s="139" t="s">
        <v>4</v>
      </c>
      <c r="P9" s="137"/>
      <c r="Q9" s="66"/>
    </row>
    <row r="10" spans="1:27" s="103" customFormat="1" x14ac:dyDescent="0.25">
      <c r="B10" s="126"/>
      <c r="C10" s="126"/>
      <c r="D10" s="127"/>
      <c r="E10" s="127"/>
      <c r="F10" s="127"/>
      <c r="M10" s="135" t="s">
        <v>67</v>
      </c>
      <c r="N10" s="138">
        <f>'LP8863-Q1_Cal'!G38</f>
        <v>400</v>
      </c>
      <c r="O10" s="136" t="s">
        <v>13</v>
      </c>
      <c r="P10" s="137">
        <v>100</v>
      </c>
      <c r="Q10" s="106"/>
      <c r="W10" s="126"/>
      <c r="X10" s="126"/>
      <c r="Y10" s="128"/>
      <c r="Z10" s="128"/>
      <c r="AA10" s="128"/>
    </row>
    <row r="11" spans="1:27" s="103" customFormat="1" x14ac:dyDescent="0.25">
      <c r="A11" s="170" t="s">
        <v>48</v>
      </c>
      <c r="B11" s="288" t="s">
        <v>45</v>
      </c>
      <c r="C11" s="288" t="s">
        <v>46</v>
      </c>
      <c r="D11" s="292" t="s">
        <v>47</v>
      </c>
      <c r="E11" s="294"/>
      <c r="F11" s="293"/>
      <c r="M11" s="133"/>
      <c r="N11" s="133"/>
      <c r="O11" s="133"/>
      <c r="P11" s="133">
        <v>400</v>
      </c>
      <c r="Q11" s="106"/>
      <c r="W11" s="126"/>
      <c r="X11" s="126"/>
      <c r="Y11" s="128"/>
      <c r="Z11" s="128"/>
      <c r="AA11" s="128"/>
    </row>
    <row r="12" spans="1:27" s="103" customFormat="1" x14ac:dyDescent="0.25">
      <c r="A12"/>
      <c r="B12" s="290"/>
      <c r="C12" s="290"/>
      <c r="D12" s="61">
        <v>100</v>
      </c>
      <c r="E12" s="62">
        <v>400</v>
      </c>
      <c r="F12" s="61">
        <v>2222</v>
      </c>
      <c r="M12" s="133"/>
      <c r="N12" s="133"/>
      <c r="O12" s="133"/>
      <c r="P12" s="133">
        <v>2222</v>
      </c>
      <c r="Q12" s="106"/>
      <c r="W12" s="126"/>
      <c r="X12" s="126"/>
      <c r="Y12" s="128"/>
      <c r="Z12" s="128"/>
      <c r="AA12" s="128"/>
    </row>
    <row r="13" spans="1:27" x14ac:dyDescent="0.25">
      <c r="B13" s="292" t="s">
        <v>52</v>
      </c>
      <c r="C13" s="293"/>
      <c r="D13" s="61">
        <v>47</v>
      </c>
      <c r="E13" s="62">
        <v>22</v>
      </c>
      <c r="F13" s="61">
        <v>10</v>
      </c>
      <c r="O13" s="124"/>
    </row>
    <row r="14" spans="1:27" x14ac:dyDescent="0.25">
      <c r="B14" s="288" t="s">
        <v>55</v>
      </c>
      <c r="C14" s="61" t="s">
        <v>56</v>
      </c>
      <c r="D14" s="64">
        <v>0</v>
      </c>
      <c r="E14" s="64">
        <v>1395.5452757657495</v>
      </c>
      <c r="F14" s="64">
        <v>0</v>
      </c>
      <c r="M14" s="56" t="s">
        <v>68</v>
      </c>
      <c r="N14" s="68">
        <f>(IF(N10=100,47, IF(N10=400, 22,10)))</f>
        <v>22</v>
      </c>
      <c r="O14" s="125" t="s">
        <v>14</v>
      </c>
    </row>
    <row r="15" spans="1:27" x14ac:dyDescent="0.25">
      <c r="B15" s="289"/>
      <c r="C15" s="61" t="s">
        <v>57</v>
      </c>
      <c r="D15" s="64">
        <v>1695.2402796775787</v>
      </c>
      <c r="E15" s="64">
        <v>1660.8595400259665</v>
      </c>
      <c r="F15" s="64">
        <v>650.1481348299958</v>
      </c>
      <c r="O15" s="124"/>
    </row>
    <row r="16" spans="1:27" x14ac:dyDescent="0.25">
      <c r="B16" s="290"/>
      <c r="C16" s="61" t="s">
        <v>58</v>
      </c>
      <c r="D16" s="64">
        <v>1773.0458672068107</v>
      </c>
      <c r="E16" s="64">
        <v>906.02234913321081</v>
      </c>
      <c r="F16" s="64">
        <v>1012.6500560474551</v>
      </c>
      <c r="O16" s="124"/>
    </row>
    <row r="17" spans="1:16" x14ac:dyDescent="0.25">
      <c r="B17" s="288" t="s">
        <v>62</v>
      </c>
      <c r="C17" s="61" t="s">
        <v>63</v>
      </c>
      <c r="D17" s="64">
        <v>3658.6033666994153</v>
      </c>
      <c r="E17" s="64">
        <v>1392.2509415312925</v>
      </c>
      <c r="F17" s="64">
        <v>4187.1066402483702</v>
      </c>
      <c r="M17" s="49" t="s">
        <v>69</v>
      </c>
      <c r="N17" s="67">
        <v>0.6</v>
      </c>
      <c r="O17" s="123" t="s">
        <v>5</v>
      </c>
      <c r="P17">
        <v>0.6</v>
      </c>
    </row>
    <row r="18" spans="1:16" x14ac:dyDescent="0.25">
      <c r="B18" s="289"/>
      <c r="C18" s="61" t="s">
        <v>64</v>
      </c>
      <c r="D18" s="64">
        <v>1397.7306962722178</v>
      </c>
      <c r="E18" s="64">
        <v>1558.7983600506614</v>
      </c>
      <c r="F18" s="64">
        <v>2778.853883315136</v>
      </c>
      <c r="O18" s="124"/>
      <c r="P18">
        <v>1.2</v>
      </c>
    </row>
    <row r="19" spans="1:16" x14ac:dyDescent="0.25">
      <c r="B19" s="290"/>
      <c r="C19" s="61" t="s">
        <v>65</v>
      </c>
      <c r="D19" s="64">
        <v>884.14534107042891</v>
      </c>
      <c r="E19" s="64">
        <v>828.03929175007033</v>
      </c>
      <c r="F19" s="64">
        <v>2487.5920797370964</v>
      </c>
      <c r="O19" s="124"/>
    </row>
    <row r="20" spans="1:16" x14ac:dyDescent="0.25">
      <c r="M20" s="56" t="s">
        <v>70</v>
      </c>
      <c r="N20" s="68">
        <f>'LP8863-Q1_Cal'!G46</f>
        <v>50</v>
      </c>
      <c r="O20" s="125" t="s">
        <v>183</v>
      </c>
    </row>
    <row r="21" spans="1:16" x14ac:dyDescent="0.25">
      <c r="A21" s="170" t="s">
        <v>50</v>
      </c>
      <c r="B21" s="291" t="s">
        <v>45</v>
      </c>
      <c r="C21" s="291" t="s">
        <v>46</v>
      </c>
      <c r="D21" s="291" t="s">
        <v>47</v>
      </c>
      <c r="E21" s="291"/>
      <c r="F21" s="291"/>
    </row>
    <row r="22" spans="1:16" x14ac:dyDescent="0.25">
      <c r="B22" s="291"/>
      <c r="C22" s="291"/>
      <c r="D22" s="61">
        <v>100</v>
      </c>
      <c r="E22" s="62">
        <v>400</v>
      </c>
      <c r="F22" s="61">
        <v>2222</v>
      </c>
    </row>
    <row r="23" spans="1:16" x14ac:dyDescent="0.25">
      <c r="B23" s="292" t="s">
        <v>52</v>
      </c>
      <c r="C23" s="293"/>
      <c r="D23" s="61">
        <v>47</v>
      </c>
      <c r="E23" s="62">
        <v>22</v>
      </c>
      <c r="F23" s="61">
        <v>10</v>
      </c>
    </row>
    <row r="24" spans="1:16" x14ac:dyDescent="0.25">
      <c r="B24" s="288" t="s">
        <v>55</v>
      </c>
      <c r="C24" s="61" t="s">
        <v>56</v>
      </c>
      <c r="D24" s="65">
        <f>D4/N3/N20</f>
        <v>60.671135780004562</v>
      </c>
      <c r="E24" s="65">
        <f>E4/N3/N20</f>
        <v>40.437375112799891</v>
      </c>
      <c r="F24" s="65">
        <f>F4/N3/N20</f>
        <v>27.247894979368631</v>
      </c>
    </row>
    <row r="25" spans="1:16" x14ac:dyDescent="0.25">
      <c r="B25" s="289"/>
      <c r="C25" s="61" t="s">
        <v>57</v>
      </c>
      <c r="D25" s="65">
        <f>D5/N3/N20</f>
        <v>55.386283602114666</v>
      </c>
      <c r="E25" s="65">
        <f>E5/N3/N20</f>
        <v>35.342382681754842</v>
      </c>
      <c r="F25" s="65">
        <f>F5/N3/N20</f>
        <v>26.819200374643952</v>
      </c>
    </row>
    <row r="26" spans="1:16" x14ac:dyDescent="0.25">
      <c r="B26" s="290"/>
      <c r="C26" s="61" t="s">
        <v>58</v>
      </c>
      <c r="D26" s="65">
        <f>D6/N3/N20</f>
        <v>52.478982452760512</v>
      </c>
      <c r="E26" s="65">
        <f>E6/N3/N20</f>
        <v>28.803395770134635</v>
      </c>
      <c r="F26" s="65">
        <f>F6/N3/N20</f>
        <v>25.132962997033495</v>
      </c>
    </row>
    <row r="27" spans="1:16" x14ac:dyDescent="0.25">
      <c r="B27" s="288" t="s">
        <v>62</v>
      </c>
      <c r="C27" s="61" t="s">
        <v>63</v>
      </c>
      <c r="D27" s="65">
        <f>D7/N3/N20</f>
        <v>88.305680583301722</v>
      </c>
      <c r="E27" s="65">
        <f>E7/N3/N20</f>
        <v>51.21039999367612</v>
      </c>
      <c r="F27" s="65">
        <f>F7/N3/N20</f>
        <v>51.749739507846492</v>
      </c>
    </row>
    <row r="28" spans="1:16" x14ac:dyDescent="0.25">
      <c r="B28" s="289"/>
      <c r="C28" s="61" t="s">
        <v>64</v>
      </c>
      <c r="D28" s="65">
        <f>D8/N3/N20</f>
        <v>72.142770971082101</v>
      </c>
      <c r="E28" s="65">
        <f>E8/N3/N20</f>
        <v>41.596791726982765</v>
      </c>
      <c r="F28" s="65">
        <f>F8/N3/N20</f>
        <v>41.007173498131948</v>
      </c>
    </row>
    <row r="29" spans="1:16" x14ac:dyDescent="0.25">
      <c r="B29" s="290"/>
      <c r="C29" s="61" t="s">
        <v>65</v>
      </c>
      <c r="D29" s="65">
        <f>D9/N3/N20</f>
        <v>60.58201569370511</v>
      </c>
      <c r="E29" s="65">
        <f>E9/N3/N20</f>
        <v>33.954042276178733</v>
      </c>
      <c r="F29" s="65">
        <f>F9/N3/N20</f>
        <v>34.800980893717579</v>
      </c>
    </row>
  </sheetData>
  <dataConsolidate/>
  <mergeCells count="18">
    <mergeCell ref="B1:B2"/>
    <mergeCell ref="C1:C2"/>
    <mergeCell ref="D1:F1"/>
    <mergeCell ref="B11:B12"/>
    <mergeCell ref="C11:C12"/>
    <mergeCell ref="D11:F11"/>
    <mergeCell ref="B27:B29"/>
    <mergeCell ref="B21:B22"/>
    <mergeCell ref="C21:C22"/>
    <mergeCell ref="D21:F21"/>
    <mergeCell ref="B3:C3"/>
    <mergeCell ref="B13:C13"/>
    <mergeCell ref="B23:C23"/>
    <mergeCell ref="B4:B6"/>
    <mergeCell ref="B14:B16"/>
    <mergeCell ref="B24:B26"/>
    <mergeCell ref="B7:B9"/>
    <mergeCell ref="B17:B19"/>
  </mergeCells>
  <dataValidations count="1">
    <dataValidation type="list" allowBlank="1" showInputMessage="1" showErrorMessage="1" sqref="O13">
      <formula1>fsw</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N13"/>
  <sheetViews>
    <sheetView zoomScaleNormal="100" workbookViewId="0">
      <selection activeCell="G6" sqref="G6"/>
    </sheetView>
  </sheetViews>
  <sheetFormatPr defaultColWidth="9.140625" defaultRowHeight="15" x14ac:dyDescent="0.25"/>
  <cols>
    <col min="1" max="1" width="9.140625" style="133"/>
    <col min="2" max="2" width="11" style="133" customWidth="1"/>
    <col min="3" max="3" width="9" style="133" bestFit="1" customWidth="1"/>
    <col min="4" max="4" width="5" style="133" bestFit="1" customWidth="1"/>
    <col min="5" max="5" width="2.85546875" style="133" customWidth="1"/>
    <col min="6" max="6" width="28.42578125" style="133" customWidth="1"/>
    <col min="7" max="7" width="23" style="133" customWidth="1"/>
    <col min="8" max="8" width="17.28515625" style="133" bestFit="1" customWidth="1"/>
    <col min="9" max="9" width="8.42578125" style="133" customWidth="1"/>
    <col min="10" max="10" width="5.140625" style="133" customWidth="1"/>
    <col min="11" max="11" width="12.5703125" style="133" customWidth="1"/>
    <col min="12" max="12" width="18.7109375" style="133" customWidth="1"/>
    <col min="13" max="13" width="20.42578125" style="133" customWidth="1"/>
    <col min="14" max="14" width="19.5703125" style="133" customWidth="1"/>
    <col min="15" max="19" width="9.140625" style="133"/>
    <col min="20" max="20" width="12" style="133" bestFit="1" customWidth="1"/>
    <col min="21" max="16384" width="9.140625" style="133"/>
  </cols>
  <sheetData>
    <row r="1" spans="2:14" x14ac:dyDescent="0.25">
      <c r="B1" s="191" t="s">
        <v>0</v>
      </c>
    </row>
    <row r="2" spans="2:14" x14ac:dyDescent="0.25">
      <c r="B2" s="192" t="s">
        <v>242</v>
      </c>
    </row>
    <row r="3" spans="2:14" x14ac:dyDescent="0.25">
      <c r="B3" s="193" t="s">
        <v>243</v>
      </c>
      <c r="F3" s="225" t="s">
        <v>307</v>
      </c>
      <c r="G3" s="239">
        <f>'LP8863-Q1_Cal'!G16</f>
        <v>6</v>
      </c>
    </row>
    <row r="4" spans="2:14" x14ac:dyDescent="0.25">
      <c r="B4" s="194" t="s">
        <v>244</v>
      </c>
    </row>
    <row r="5" spans="2:14" x14ac:dyDescent="0.25">
      <c r="G5" s="133" t="s">
        <v>283</v>
      </c>
    </row>
    <row r="6" spans="2:14" ht="15" customHeight="1" x14ac:dyDescent="0.35">
      <c r="B6" s="133" t="s">
        <v>245</v>
      </c>
      <c r="G6" s="196">
        <f>1/(F8*C7*10^-9)</f>
        <v>32894.73684210526</v>
      </c>
      <c r="K6" s="133" t="s">
        <v>260</v>
      </c>
    </row>
    <row r="7" spans="2:14" ht="18" x14ac:dyDescent="0.35">
      <c r="B7" s="96" t="s">
        <v>164</v>
      </c>
      <c r="C7" s="195">
        <v>200</v>
      </c>
      <c r="D7" s="96" t="s">
        <v>20</v>
      </c>
      <c r="F7" s="133" t="s">
        <v>253</v>
      </c>
      <c r="G7" s="133" t="s">
        <v>254</v>
      </c>
      <c r="H7" s="133" t="s">
        <v>165</v>
      </c>
      <c r="K7" s="133" t="s">
        <v>166</v>
      </c>
      <c r="L7" s="133" t="s">
        <v>246</v>
      </c>
      <c r="M7" s="133" t="s">
        <v>318</v>
      </c>
      <c r="N7" s="133" t="s">
        <v>255</v>
      </c>
    </row>
    <row r="8" spans="2:14" x14ac:dyDescent="0.25">
      <c r="B8" s="96" t="s">
        <v>167</v>
      </c>
      <c r="C8" s="195">
        <v>20</v>
      </c>
      <c r="D8" s="96" t="s">
        <v>230</v>
      </c>
      <c r="F8" s="206">
        <f>'LP8863-Q1_Cal'!G85</f>
        <v>152</v>
      </c>
      <c r="G8" s="223">
        <f>2^H8</f>
        <v>65536</v>
      </c>
      <c r="H8" s="196">
        <f>IF(LOG(((C8*10^6)/F8), 2)&gt;=16, 16, (C8*10^6)/F8)</f>
        <v>16</v>
      </c>
      <c r="I8" s="133" t="s">
        <v>168</v>
      </c>
      <c r="K8" s="205">
        <f>'LP8863-Q1_Cal'!G81</f>
        <v>19531</v>
      </c>
      <c r="L8" s="232">
        <f>IF(M8="Yes",8*1/(K8*C7*10^-9),1/(K8*C7*10^-9))</f>
        <v>256.00327684194355</v>
      </c>
      <c r="M8" s="234" t="str">
        <f>'LP8863-Q1_Cal'!G88</f>
        <v>No</v>
      </c>
      <c r="N8" s="233">
        <f>K8*$G$3</f>
        <v>117186</v>
      </c>
    </row>
    <row r="9" spans="2:14" x14ac:dyDescent="0.25">
      <c r="G9" s="197"/>
      <c r="H9" s="197"/>
      <c r="L9" s="198"/>
      <c r="M9" s="198"/>
    </row>
    <row r="10" spans="2:14" x14ac:dyDescent="0.25">
      <c r="L10" s="133" t="s">
        <v>292</v>
      </c>
      <c r="N10" s="240" t="s">
        <v>301</v>
      </c>
    </row>
    <row r="11" spans="2:14" x14ac:dyDescent="0.25">
      <c r="L11" s="196">
        <f>IF(G6&gt;L8, L8, G6)</f>
        <v>256.00327684194355</v>
      </c>
    </row>
    <row r="13" spans="2:14" x14ac:dyDescent="0.25">
      <c r="L13" s="238"/>
    </row>
  </sheetData>
  <dataValidations count="1">
    <dataValidation showDropDown="1" showInputMessage="1" showErrorMessage="1" sqref="K8"/>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vt:i4>
      </vt:variant>
    </vt:vector>
  </HeadingPairs>
  <TitlesOfParts>
    <vt:vector size="26" baseType="lpstr">
      <vt:lpstr>LP8863-Q1_Cal</vt:lpstr>
      <vt:lpstr>About</vt:lpstr>
      <vt:lpstr>Boost</vt:lpstr>
      <vt:lpstr>FB divider</vt:lpstr>
      <vt:lpstr>Cout</vt:lpstr>
      <vt:lpstr>PWM Dimming cal</vt:lpstr>
      <vt:lpstr>Boost!CM</vt:lpstr>
      <vt:lpstr>Boost!D</vt:lpstr>
      <vt:lpstr>Boost!D1_</vt:lpstr>
      <vt:lpstr>Boost!D2_</vt:lpstr>
      <vt:lpstr>Boost!Dbar</vt:lpstr>
      <vt:lpstr>Boost!FS</vt:lpstr>
      <vt:lpstr>Boost!IL</vt:lpstr>
      <vt:lpstr>Boost!ILD</vt:lpstr>
      <vt:lpstr>Boost!ILOAD</vt:lpstr>
      <vt:lpstr>Boost!Ipeak</vt:lpstr>
      <vt:lpstr>Boost!Ipp</vt:lpstr>
      <vt:lpstr>Boost!Ivalley</vt:lpstr>
      <vt:lpstr>Boost!L</vt:lpstr>
      <vt:lpstr>Boost!RD</vt:lpstr>
      <vt:lpstr>Boost!RDS_ON</vt:lpstr>
      <vt:lpstr>Boost!RL</vt:lpstr>
      <vt:lpstr>Boost!TS</vt:lpstr>
      <vt:lpstr>Boost!VD</vt:lpstr>
      <vt:lpstr>Boost!VIN</vt:lpstr>
      <vt:lpstr>Boost!VO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alexyeh@ti.com</dc:creator>
  <cp:lastModifiedBy>Yeh, Alex</cp:lastModifiedBy>
  <dcterms:created xsi:type="dcterms:W3CDTF">2020-10-22T15:16:14Z</dcterms:created>
  <dcterms:modified xsi:type="dcterms:W3CDTF">2020-11-18T02:08:36Z</dcterms:modified>
</cp:coreProperties>
</file>