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0508387\TI Drive\Active\Global Dimming\E2E &amp; Support\250910 E2E LP8868X Calc\"/>
    </mc:Choice>
  </mc:AlternateContent>
  <xr:revisionPtr revIDLastSave="0" documentId="13_ncr:1_{B91BBD1F-DC91-4113-B909-F8AA63127377}" xr6:coauthVersionLast="36" xr6:coauthVersionMax="47" xr10:uidLastSave="{00000000-0000-0000-0000-000000000000}"/>
  <workbookProtection workbookAlgorithmName="SHA-512" workbookHashValue="K5YWwxYOCG5jcvC1sOyOpI3dHxylESwBJ+KQ8wX8ycY8eal+ZE1xy7cvA8oN1QIruBJK3Tmo2ZXGvxzUWuszkQ==" workbookSaltValue="mtdwWp4vHy6DiGC4QZg+Ww==" workbookSpinCount="100000" lockStructure="1"/>
  <bookViews>
    <workbookView xWindow="0" yWindow="0" windowWidth="19200" windowHeight="7300" xr2:uid="{A0D2D796-7855-42FD-9B36-A8EA37667F56}"/>
  </bookViews>
  <sheets>
    <sheet name="Main Table" sheetId="1" r:id="rId1"/>
    <sheet name="Boost" sheetId="6" state="hidden" r:id="rId2"/>
    <sheet name="BuckBoost" sheetId="8" state="hidden" r:id="rId3"/>
    <sheet name="thermal foldback" sheetId="3" state="hidden" r:id="rId4"/>
    <sheet name="frequency setting" sheetId="4" state="hidden" r:id="rId5"/>
  </sheets>
  <externalReferences>
    <externalReference r:id="rId6"/>
    <externalReference r:id="rId7"/>
  </externalReferences>
  <definedNames>
    <definedName name="boost_original">#REF!</definedName>
    <definedName name="boost_original1">#REF!</definedName>
    <definedName name="CD" localSheetId="1">Boost!#REF!</definedName>
    <definedName name="CD" localSheetId="2">BuckBoost!#REF!</definedName>
    <definedName name="CD">#REF!</definedName>
    <definedName name="Cdiode" localSheetId="2">BuckBoost!$F$15</definedName>
    <definedName name="Cdiode">#REF!</definedName>
    <definedName name="CDS" localSheetId="1">Boost!#REF!</definedName>
    <definedName name="CDS" localSheetId="2">BuckBoost!#REF!</definedName>
    <definedName name="CDS">#REF!</definedName>
    <definedName name="CGD" localSheetId="1">Boost!#REF!</definedName>
    <definedName name="CGD" localSheetId="2">BuckBoost!#REF!</definedName>
    <definedName name="CGD">#REF!</definedName>
    <definedName name="CGS" localSheetId="1">Boost!#REF!</definedName>
    <definedName name="CGS" localSheetId="2">BuckBoost!#REF!</definedName>
    <definedName name="CGS">#REF!</definedName>
    <definedName name="CM" localSheetId="1">Boost!$N$4</definedName>
    <definedName name="CM" localSheetId="2">BuckBoost!$N$4</definedName>
    <definedName name="CM">#REF!</definedName>
    <definedName name="D" localSheetId="1">Boost!$C$8</definedName>
    <definedName name="D" localSheetId="2">BuckBoost!$C$8</definedName>
    <definedName name="D">#REF!</definedName>
    <definedName name="D_bar">#REF!</definedName>
    <definedName name="D_ccm">#REF!</definedName>
    <definedName name="D1_" localSheetId="1">Boost!$H$6</definedName>
    <definedName name="D1_" localSheetId="2">BuckBoost!$H$6</definedName>
    <definedName name="D1_">#REF!</definedName>
    <definedName name="D1_DCM" localSheetId="1">Boost!$U$35</definedName>
    <definedName name="D1_DCM">#REF!</definedName>
    <definedName name="D2_" localSheetId="1">Boost!$H$8</definedName>
    <definedName name="D2_" localSheetId="2">BuckBoost!$H$8</definedName>
    <definedName name="D2_">#REF!</definedName>
    <definedName name="Dbar" localSheetId="1">Boost!$C$6</definedName>
    <definedName name="Dbar" localSheetId="2">BuckBoost!$C$6</definedName>
    <definedName name="Dbar">#REF!</definedName>
    <definedName name="Efficiency" localSheetId="1">Boost!#REF!</definedName>
    <definedName name="Efficiency" localSheetId="2">BuckBoost!#REF!</definedName>
    <definedName name="Efficiency">#REF!</definedName>
    <definedName name="ESR" localSheetId="1">Boost!#REF!</definedName>
    <definedName name="ESR" localSheetId="2">BuckBoost!#REF!</definedName>
    <definedName name="ESR">#REF!</definedName>
    <definedName name="ff">#REF!</definedName>
    <definedName name="FS" localSheetId="1">Boost!$K$4</definedName>
    <definedName name="FS" localSheetId="2">BuckBoost!$K$4</definedName>
    <definedName name="FS">#REF!</definedName>
    <definedName name="IB" localSheetId="1">Boost!#REF!</definedName>
    <definedName name="IB" localSheetId="2">BuckBoost!#REF!</definedName>
    <definedName name="IB">#REF!</definedName>
    <definedName name="IL" localSheetId="1">Boost!$C$7</definedName>
    <definedName name="IL" localSheetId="2">BuckBoost!$C$7</definedName>
    <definedName name="IL">#REF!</definedName>
    <definedName name="ILD" localSheetId="1">Boost!$H$7</definedName>
    <definedName name="ILD" localSheetId="2">BuckBoost!$H$7</definedName>
    <definedName name="ILD">#REF!</definedName>
    <definedName name="ILOAD" localSheetId="1">Boost!$I$4</definedName>
    <definedName name="ILOAD" localSheetId="2">BuckBoost!$I$4</definedName>
    <definedName name="ILOAD">#REF!</definedName>
    <definedName name="Iout">'Main Table'!$C$10</definedName>
    <definedName name="Iout_Full_Scale_total">'Main Table'!$C$8</definedName>
    <definedName name="IoutFS_string">'Main Table'!$C$6</definedName>
    <definedName name="Ipeak" localSheetId="1">Boost!$H$9</definedName>
    <definedName name="Ipeak" localSheetId="2">BuckBoost!$H$9</definedName>
    <definedName name="Ipeak">#REF!</definedName>
    <definedName name="Ipeak_ccm" localSheetId="1">Boost!$E$10</definedName>
    <definedName name="Ipeak_ccm" localSheetId="2">BuckBoost!$E$10</definedName>
    <definedName name="Ipeak_ccm">#REF!</definedName>
    <definedName name="Ipeak_dcm" localSheetId="1">Boost!$H$9</definedName>
    <definedName name="Ipeak_dcm">#REF!</definedName>
    <definedName name="Ipp" localSheetId="1">Boost!$C$9</definedName>
    <definedName name="Ipp" localSheetId="2">BuckBoost!$C$9</definedName>
    <definedName name="Ipp">#REF!</definedName>
    <definedName name="Irms">#REF!</definedName>
    <definedName name="Ivalley" localSheetId="1">Boost!$C$10</definedName>
    <definedName name="Ivalley" localSheetId="2">BuckBoost!$C$10</definedName>
    <definedName name="Ivalley">#REF!</definedName>
    <definedName name="Ivalley_ccm">#REF!</definedName>
    <definedName name="k" localSheetId="1">#REF!</definedName>
    <definedName name="k" localSheetId="2">#REF!</definedName>
    <definedName name="k">#REF!</definedName>
    <definedName name="L" localSheetId="1">Boost!$J$4</definedName>
    <definedName name="L" localSheetId="2">BuckBoost!$J$4</definedName>
    <definedName name="L">#REF!</definedName>
    <definedName name="LowSide_Cds" localSheetId="2">BuckBoost!$F$18</definedName>
    <definedName name="LowSide_Cds">#REF!</definedName>
    <definedName name="LowSide_Cgd" localSheetId="2">BuckBoost!$F$17</definedName>
    <definedName name="LowSide_Cgd">#REF!</definedName>
    <definedName name="LowSide_Cgs" localSheetId="2">BuckBoost!$F$16</definedName>
    <definedName name="LowSide_Cgs">#REF!</definedName>
    <definedName name="Mos_Off_time">#REF!</definedName>
    <definedName name="MOS_Off_time_s" localSheetId="1">Boost!$P$2</definedName>
    <definedName name="MOS_Off_time_s" localSheetId="2">BuckBoost!$P$2</definedName>
    <definedName name="MOS_Off_time_s">#REF!</definedName>
    <definedName name="MOS_On_time">#REF!</definedName>
    <definedName name="MOS_On_time_s" localSheetId="1">Boost!$P$4</definedName>
    <definedName name="MOS_On_time_s" localSheetId="2">BuckBoost!$P$4</definedName>
    <definedName name="MOS_On_time_s">#REF!</definedName>
    <definedName name="Nt">'[1]HV Buck'!$C$4</definedName>
    <definedName name="PB" localSheetId="1">Boost!#REF!</definedName>
    <definedName name="PB" localSheetId="2">BuckBoost!#REF!</definedName>
    <definedName name="PB">#REF!</definedName>
    <definedName name="PCD" localSheetId="1">Boost!#REF!</definedName>
    <definedName name="PCD" localSheetId="2">BuckBoost!#REF!</definedName>
    <definedName name="PCD">#REF!</definedName>
    <definedName name="PCDS" localSheetId="1">Boost!#REF!</definedName>
    <definedName name="PCDS" localSheetId="2">BuckBoost!#REF!</definedName>
    <definedName name="PCDS">#REF!</definedName>
    <definedName name="Pdiode" localSheetId="1">Boost!#REF!</definedName>
    <definedName name="Pdiode" localSheetId="2">BuckBoost!#REF!</definedName>
    <definedName name="Pdiode">#REF!</definedName>
    <definedName name="PESR" localSheetId="1">Boost!#REF!</definedName>
    <definedName name="PESR" localSheetId="2">BuckBoost!#REF!</definedName>
    <definedName name="PESR">#REF!</definedName>
    <definedName name="PGATE" localSheetId="1">Boost!#REF!</definedName>
    <definedName name="PGATE" localSheetId="2">BuckBoost!#REF!</definedName>
    <definedName name="PGATE">#REF!</definedName>
    <definedName name="PL" localSheetId="1">Boost!#REF!</definedName>
    <definedName name="PL" localSheetId="2">BuckBoost!#REF!</definedName>
    <definedName name="PL">#REF!</definedName>
    <definedName name="PLOSS" localSheetId="1">Boost!#REF!</definedName>
    <definedName name="PLOSS" localSheetId="2">BuckBoost!#REF!</definedName>
    <definedName name="PLOSS">#REF!</definedName>
    <definedName name="PMOS" localSheetId="1">Boost!#REF!</definedName>
    <definedName name="PMOS" localSheetId="2">BuckBoost!#REF!</definedName>
    <definedName name="PMOS">#REF!</definedName>
    <definedName name="POUT" localSheetId="1">Boost!#REF!</definedName>
    <definedName name="POUT" localSheetId="2">BuckBoost!#REF!</definedName>
    <definedName name="POUT">#REF!</definedName>
    <definedName name="PSW" localSheetId="1">Boost!#REF!</definedName>
    <definedName name="PSW" localSheetId="2">BuckBoost!#REF!</definedName>
    <definedName name="PSW">#REF!</definedName>
    <definedName name="Quiescent_current" localSheetId="2">BuckBoost!$F$19</definedName>
    <definedName name="Quiescent_current">#REF!</definedName>
    <definedName name="RD" localSheetId="1">Boost!$G$4</definedName>
    <definedName name="RD" localSheetId="2">BuckBoost!$G$4</definedName>
    <definedName name="RD">#REF!</definedName>
    <definedName name="RDS_ON" localSheetId="1">Boost!$E$4</definedName>
    <definedName name="RDS_ON" localSheetId="2">BuckBoost!$E$4</definedName>
    <definedName name="RDS_ON">#REF!</definedName>
    <definedName name="RL" localSheetId="1">Boost!$D$4</definedName>
    <definedName name="RL" localSheetId="2">BuckBoost!$D$4</definedName>
    <definedName name="RL">#REF!</definedName>
    <definedName name="Rsense" localSheetId="2">'[2]BuckBoost original'!$F$4</definedName>
    <definedName name="Rsense">#REF!</definedName>
    <definedName name="TS" localSheetId="1">Boost!$M$4</definedName>
    <definedName name="TS" localSheetId="2">BuckBoost!$M$4</definedName>
    <definedName name="TS">#REF!</definedName>
    <definedName name="TSWIR" localSheetId="1">Boost!#REF!</definedName>
    <definedName name="TSWIR" localSheetId="2">BuckBoost!#REF!</definedName>
    <definedName name="TSWIR">#REF!</definedName>
    <definedName name="TSWVF" localSheetId="1">Boost!#REF!</definedName>
    <definedName name="TSWVF" localSheetId="2">BuckBoost!#REF!</definedName>
    <definedName name="TSWVF">#REF!</definedName>
    <definedName name="VD" localSheetId="1">Boost!$H$4</definedName>
    <definedName name="VD" localSheetId="2">BuckBoost!$H$4</definedName>
    <definedName name="VD">#REF!</definedName>
    <definedName name="VGATE" localSheetId="1">Boost!#REF!</definedName>
    <definedName name="VGATE" localSheetId="2">BuckBoost!#REF!</definedName>
    <definedName name="VGATE">#REF!</definedName>
    <definedName name="Vhead_V" localSheetId="2">BuckBoost!$N$4</definedName>
    <definedName name="Vhead_V">#REF!</definedName>
    <definedName name="VIN" localSheetId="1">Boost!$B$4</definedName>
    <definedName name="VIN" localSheetId="2">BuckBoost!$B$4</definedName>
    <definedName name="VIN">#REF!</definedName>
    <definedName name="Vled">'Main Table'!$C$14</definedName>
    <definedName name="VO" localSheetId="1">Boost!$C$4</definedName>
    <definedName name="VO" localSheetId="2">BuckBoost!$C$4</definedName>
    <definedName name="V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8" l="1"/>
  <c r="J4" i="8"/>
  <c r="H4" i="8"/>
  <c r="F4" i="8"/>
  <c r="D4" i="8"/>
  <c r="B4" i="8"/>
  <c r="O4" i="8"/>
  <c r="O4" i="6"/>
  <c r="D18" i="8" l="1"/>
  <c r="D17" i="8"/>
  <c r="D16" i="8"/>
  <c r="K14" i="8"/>
  <c r="K9" i="8"/>
  <c r="M4" i="8"/>
  <c r="N10" i="8" s="1"/>
  <c r="O10" i="8" s="1"/>
  <c r="K4" i="6"/>
  <c r="J4" i="6"/>
  <c r="H4" i="6"/>
  <c r="F4" i="6"/>
  <c r="D4" i="6"/>
  <c r="B4" i="6"/>
  <c r="N13" i="8" l="1"/>
  <c r="O13" i="8" s="1"/>
  <c r="N7" i="8"/>
  <c r="O7" i="8" s="1"/>
  <c r="G17" i="6" l="1"/>
  <c r="G16" i="6"/>
  <c r="G15" i="6"/>
  <c r="K14" i="6"/>
  <c r="C14" i="6"/>
  <c r="K9" i="6"/>
  <c r="M4" i="6"/>
  <c r="N7" i="6" s="1"/>
  <c r="O7" i="6" s="1"/>
  <c r="E20" i="4"/>
  <c r="F20" i="4" s="1"/>
  <c r="D19" i="1" s="1"/>
  <c r="Z3" i="3"/>
  <c r="Z5" i="3" s="1"/>
  <c r="D36" i="1" s="1"/>
  <c r="R5" i="3"/>
  <c r="S5" i="3"/>
  <c r="T5" i="3"/>
  <c r="U5" i="3"/>
  <c r="V5" i="3"/>
  <c r="W5" i="3"/>
  <c r="X5" i="3"/>
  <c r="Q5" i="3"/>
  <c r="D20" i="1"/>
  <c r="D16" i="1"/>
  <c r="C4" i="8" s="1"/>
  <c r="K7" i="8" s="1"/>
  <c r="D10" i="1"/>
  <c r="D13" i="1" s="1"/>
  <c r="I4" i="8" s="1"/>
  <c r="S47" i="8" l="1"/>
  <c r="V47" i="8" s="1"/>
  <c r="S35" i="8"/>
  <c r="V35" i="8" s="1"/>
  <c r="U18" i="8"/>
  <c r="U11" i="8"/>
  <c r="S46" i="8"/>
  <c r="V46" i="8" s="1"/>
  <c r="S34" i="8"/>
  <c r="V34" i="8" s="1"/>
  <c r="U10" i="8"/>
  <c r="S45" i="8"/>
  <c r="V45" i="8" s="1"/>
  <c r="T33" i="8"/>
  <c r="U33" i="8" s="1"/>
  <c r="U17" i="8"/>
  <c r="U9" i="8"/>
  <c r="S44" i="8"/>
  <c r="V44" i="8" s="1"/>
  <c r="S33" i="8"/>
  <c r="V33" i="8" s="1"/>
  <c r="S43" i="8"/>
  <c r="V43" i="8" s="1"/>
  <c r="U26" i="8"/>
  <c r="U16" i="8"/>
  <c r="U8" i="8"/>
  <c r="S42" i="8"/>
  <c r="V42" i="8" s="1"/>
  <c r="U25" i="8"/>
  <c r="U7" i="8"/>
  <c r="S41" i="8"/>
  <c r="V41" i="8" s="1"/>
  <c r="U24" i="8"/>
  <c r="U15" i="8"/>
  <c r="V6" i="8"/>
  <c r="S40" i="8"/>
  <c r="V40" i="8" s="1"/>
  <c r="U14" i="8"/>
  <c r="U6" i="8"/>
  <c r="U22" i="8"/>
  <c r="S38" i="8"/>
  <c r="V38" i="8" s="1"/>
  <c r="U21" i="8"/>
  <c r="U13" i="8"/>
  <c r="S37" i="8"/>
  <c r="V37" i="8" s="1"/>
  <c r="U20" i="8"/>
  <c r="K13" i="8"/>
  <c r="S48" i="8"/>
  <c r="V48" i="8" s="1"/>
  <c r="S36" i="8"/>
  <c r="V36" i="8" s="1"/>
  <c r="U19" i="8"/>
  <c r="U12" i="8"/>
  <c r="S39" i="8"/>
  <c r="V39" i="8" s="1"/>
  <c r="U23" i="8"/>
  <c r="D31" i="1"/>
  <c r="C4" i="6"/>
  <c r="C19" i="6" s="1"/>
  <c r="D26" i="1"/>
  <c r="I4" i="6"/>
  <c r="N10" i="6"/>
  <c r="O10" i="6" s="1"/>
  <c r="N13" i="6"/>
  <c r="O13" i="6" s="1"/>
  <c r="W6" i="8" l="1"/>
  <c r="Y6" i="8" s="1"/>
  <c r="W33" i="8"/>
  <c r="X33" i="8" s="1"/>
  <c r="K7" i="6"/>
  <c r="R36" i="6"/>
  <c r="T6" i="6"/>
  <c r="K13" i="6"/>
  <c r="X6" i="8" l="1"/>
  <c r="AA6" i="8" s="1"/>
  <c r="Z33" i="8"/>
  <c r="AA33" i="8" s="1"/>
  <c r="U6" i="6"/>
  <c r="V6" i="6" s="1"/>
  <c r="Y6" i="6" s="1"/>
  <c r="T36" i="6"/>
  <c r="S36" i="6"/>
  <c r="Z6" i="8" l="1"/>
  <c r="AB6" i="8" s="1"/>
  <c r="Y33" i="8"/>
  <c r="AC33" i="8" s="1"/>
  <c r="AD6" i="8"/>
  <c r="AC6" i="8"/>
  <c r="AE6" i="8"/>
  <c r="AF6" i="8"/>
  <c r="U36" i="6"/>
  <c r="V36" i="6" s="1"/>
  <c r="W36" i="6" s="1"/>
  <c r="X36" i="6" s="1"/>
  <c r="AA6" i="6"/>
  <c r="Z6" i="6"/>
  <c r="AB6" i="6"/>
  <c r="W6" i="6"/>
  <c r="X6" i="6" s="1"/>
  <c r="V7" i="8" l="1"/>
  <c r="W7" i="8" s="1"/>
  <c r="Y7" i="8" s="1"/>
  <c r="AB33" i="8"/>
  <c r="AD33" i="8" s="1"/>
  <c r="AH33" i="8"/>
  <c r="AG33" i="8"/>
  <c r="AF33" i="8"/>
  <c r="AE33" i="8"/>
  <c r="AB36" i="6"/>
  <c r="Y36" i="6"/>
  <c r="Z36" i="6" s="1"/>
  <c r="AC36" i="6"/>
  <c r="AA36" i="6"/>
  <c r="AD36" i="6"/>
  <c r="T7" i="6"/>
  <c r="U7" i="6" s="1"/>
  <c r="V7" i="6" s="1"/>
  <c r="Y7" i="6" s="1"/>
  <c r="X7" i="8" l="1"/>
  <c r="Z7" i="8" s="1"/>
  <c r="AB7" i="8" s="1"/>
  <c r="T34" i="8"/>
  <c r="U34" i="8" s="1"/>
  <c r="W34" i="8" s="1"/>
  <c r="X34" i="8" s="1"/>
  <c r="R37" i="6"/>
  <c r="T37" i="6" s="1"/>
  <c r="Z7" i="6"/>
  <c r="W7" i="6"/>
  <c r="X7" i="6" s="1"/>
  <c r="AB7" i="6"/>
  <c r="AA7" i="6"/>
  <c r="AA7" i="8" l="1"/>
  <c r="AC7" i="8" s="1"/>
  <c r="Z34" i="8"/>
  <c r="AA34" i="8" s="1"/>
  <c r="S37" i="6"/>
  <c r="U37" i="6" s="1"/>
  <c r="V37" i="6" s="1"/>
  <c r="T8" i="6"/>
  <c r="U8" i="6" s="1"/>
  <c r="V8" i="6" s="1"/>
  <c r="W8" i="6" s="1"/>
  <c r="X8" i="6" s="1"/>
  <c r="AD7" i="8" l="1"/>
  <c r="AE7" i="8"/>
  <c r="AF7" i="8"/>
  <c r="Y34" i="8"/>
  <c r="AB34" i="8" s="1"/>
  <c r="AD34" i="8" s="1"/>
  <c r="AA8" i="6"/>
  <c r="AB8" i="6"/>
  <c r="Y8" i="6"/>
  <c r="Z8" i="6"/>
  <c r="W37" i="6"/>
  <c r="X37" i="6" s="1"/>
  <c r="AC37" i="6"/>
  <c r="Y37" i="6"/>
  <c r="Z37" i="6" s="1"/>
  <c r="AA37" i="6"/>
  <c r="AC34" i="8" l="1"/>
  <c r="AH34" i="8" s="1"/>
  <c r="V8" i="8"/>
  <c r="W8" i="8" s="1"/>
  <c r="Y8" i="8" s="1"/>
  <c r="T9" i="6"/>
  <c r="U9" i="6" s="1"/>
  <c r="V9" i="6" s="1"/>
  <c r="W9" i="6" s="1"/>
  <c r="X9" i="6" s="1"/>
  <c r="AB37" i="6"/>
  <c r="AD37" i="6"/>
  <c r="AF34" i="8" l="1"/>
  <c r="AG34" i="8"/>
  <c r="AE34" i="8"/>
  <c r="X8" i="8"/>
  <c r="Z8" i="8" s="1"/>
  <c r="AB8" i="8" s="1"/>
  <c r="R38" i="6"/>
  <c r="T38" i="6" s="1"/>
  <c r="Z9" i="6"/>
  <c r="Y9" i="6"/>
  <c r="AA9" i="6"/>
  <c r="AB9" i="6"/>
  <c r="T35" i="8" l="1"/>
  <c r="U35" i="8" s="1"/>
  <c r="W35" i="8" s="1"/>
  <c r="X35" i="8" s="1"/>
  <c r="Z35" i="8" s="1"/>
  <c r="AA35" i="8" s="1"/>
  <c r="AA8" i="8"/>
  <c r="AD8" i="8" s="1"/>
  <c r="S38" i="6"/>
  <c r="U38" i="6" s="1"/>
  <c r="T10" i="6"/>
  <c r="U10" i="6" s="1"/>
  <c r="V10" i="6" s="1"/>
  <c r="W10" i="6" s="1"/>
  <c r="X10" i="6" s="1"/>
  <c r="AF8" i="8" l="1"/>
  <c r="AE8" i="8"/>
  <c r="AC8" i="8"/>
  <c r="Y35" i="8"/>
  <c r="AC35" i="8" s="1"/>
  <c r="AA10" i="6"/>
  <c r="Y10" i="6"/>
  <c r="AB10" i="6"/>
  <c r="Z10" i="6"/>
  <c r="V38" i="6"/>
  <c r="AB35" i="8" l="1"/>
  <c r="AD35" i="8" s="1"/>
  <c r="V9" i="8"/>
  <c r="W9" i="8" s="1"/>
  <c r="Y9" i="8" s="1"/>
  <c r="AF35" i="8"/>
  <c r="AE35" i="8"/>
  <c r="AH35" i="8"/>
  <c r="AG35" i="8"/>
  <c r="T11" i="6"/>
  <c r="U11" i="6" s="1"/>
  <c r="V11" i="6" s="1"/>
  <c r="Z11" i="6" s="1"/>
  <c r="W38" i="6"/>
  <c r="X38" i="6" s="1"/>
  <c r="Y38" i="6"/>
  <c r="Z38" i="6" s="1"/>
  <c r="AC38" i="6"/>
  <c r="AA38" i="6"/>
  <c r="X9" i="8" l="1"/>
  <c r="AA9" i="8" s="1"/>
  <c r="AC9" i="8" s="1"/>
  <c r="T36" i="8"/>
  <c r="U36" i="8" s="1"/>
  <c r="W36" i="8" s="1"/>
  <c r="AB11" i="6"/>
  <c r="W11" i="6"/>
  <c r="X11" i="6" s="1"/>
  <c r="AA11" i="6"/>
  <c r="Y11" i="6"/>
  <c r="AB38" i="6"/>
  <c r="AD38" i="6"/>
  <c r="Z9" i="8" l="1"/>
  <c r="AB9" i="8" s="1"/>
  <c r="AF9" i="8"/>
  <c r="AE9" i="8"/>
  <c r="AD9" i="8"/>
  <c r="X36" i="8"/>
  <c r="Z36" i="8" s="1"/>
  <c r="AA36" i="8" s="1"/>
  <c r="T12" i="6"/>
  <c r="U12" i="6" s="1"/>
  <c r="V12" i="6" s="1"/>
  <c r="Y12" i="6" s="1"/>
  <c r="R39" i="6"/>
  <c r="T39" i="6" s="1"/>
  <c r="V10" i="8" l="1"/>
  <c r="W10" i="8" s="1"/>
  <c r="Y10" i="8" s="1"/>
  <c r="Y36" i="8"/>
  <c r="AC36" i="8" s="1"/>
  <c r="AA12" i="6"/>
  <c r="AB12" i="6"/>
  <c r="Z12" i="6"/>
  <c r="W12" i="6"/>
  <c r="X12" i="6" s="1"/>
  <c r="S39" i="6"/>
  <c r="U39" i="6" s="1"/>
  <c r="X10" i="8" l="1"/>
  <c r="AA10" i="8" s="1"/>
  <c r="AF10" i="8" s="1"/>
  <c r="AB36" i="8"/>
  <c r="AD36" i="8" s="1"/>
  <c r="AH36" i="8"/>
  <c r="AG36" i="8"/>
  <c r="AE36" i="8"/>
  <c r="AF36" i="8"/>
  <c r="T13" i="6"/>
  <c r="U13" i="6" s="1"/>
  <c r="V13" i="6" s="1"/>
  <c r="AA13" i="6" s="1"/>
  <c r="V39" i="6"/>
  <c r="Z10" i="8" l="1"/>
  <c r="AB10" i="8" s="1"/>
  <c r="AE10" i="8"/>
  <c r="AC10" i="8"/>
  <c r="AD10" i="8"/>
  <c r="T37" i="8"/>
  <c r="U37" i="8" s="1"/>
  <c r="W37" i="8" s="1"/>
  <c r="X37" i="8" s="1"/>
  <c r="W13" i="6"/>
  <c r="X13" i="6" s="1"/>
  <c r="AB13" i="6"/>
  <c r="Y13" i="6"/>
  <c r="Z13" i="6"/>
  <c r="W39" i="6"/>
  <c r="X39" i="6" s="1"/>
  <c r="AA39" i="6"/>
  <c r="AC39" i="6"/>
  <c r="Y39" i="6"/>
  <c r="Z39" i="6" s="1"/>
  <c r="V11" i="8" l="1"/>
  <c r="W11" i="8" s="1"/>
  <c r="Y11" i="8" s="1"/>
  <c r="Z37" i="8"/>
  <c r="AA37" i="8" s="1"/>
  <c r="T14" i="6"/>
  <c r="U14" i="6" s="1"/>
  <c r="V14" i="6" s="1"/>
  <c r="Y14" i="6" s="1"/>
  <c r="AD39" i="6"/>
  <c r="AB39" i="6"/>
  <c r="X11" i="8" l="1"/>
  <c r="Y37" i="8"/>
  <c r="AC37" i="8" s="1"/>
  <c r="AB14" i="6"/>
  <c r="AA14" i="6"/>
  <c r="W14" i="6"/>
  <c r="X14" i="6" s="1"/>
  <c r="Z14" i="6"/>
  <c r="R40" i="6"/>
  <c r="T40" i="6" s="1"/>
  <c r="AA11" i="8" l="1"/>
  <c r="Z11" i="8"/>
  <c r="AB11" i="8" s="1"/>
  <c r="AB37" i="8"/>
  <c r="AD37" i="8" s="1"/>
  <c r="AH37" i="8"/>
  <c r="AG37" i="8"/>
  <c r="AF37" i="8"/>
  <c r="AE37" i="8"/>
  <c r="T15" i="6"/>
  <c r="U15" i="6" s="1"/>
  <c r="V15" i="6" s="1"/>
  <c r="W15" i="6" s="1"/>
  <c r="X15" i="6" s="1"/>
  <c r="S40" i="6"/>
  <c r="U40" i="6" s="1"/>
  <c r="AF11" i="8" l="1"/>
  <c r="AC11" i="8"/>
  <c r="AE11" i="8"/>
  <c r="AD11" i="8"/>
  <c r="T38" i="8"/>
  <c r="U38" i="8" s="1"/>
  <c r="W38" i="8" s="1"/>
  <c r="X38" i="8" s="1"/>
  <c r="Y15" i="6"/>
  <c r="AA15" i="6"/>
  <c r="AB15" i="6"/>
  <c r="Z15" i="6"/>
  <c r="C7" i="6"/>
  <c r="C6" i="6"/>
  <c r="C9" i="6" s="1"/>
  <c r="C16" i="6" s="1"/>
  <c r="C17" i="6" s="1"/>
  <c r="V40" i="6"/>
  <c r="V12" i="8" l="1"/>
  <c r="Z38" i="8"/>
  <c r="AA38" i="8" s="1"/>
  <c r="T16" i="6"/>
  <c r="U16" i="6" s="1"/>
  <c r="V16" i="6" s="1"/>
  <c r="Y16" i="6" s="1"/>
  <c r="E12" i="6"/>
  <c r="C8" i="6"/>
  <c r="C10" i="6"/>
  <c r="P12" i="6" s="1"/>
  <c r="E9" i="6"/>
  <c r="E10" i="6"/>
  <c r="C12" i="6"/>
  <c r="C15" i="6"/>
  <c r="W40" i="6"/>
  <c r="X40" i="6" s="1"/>
  <c r="AA40" i="6"/>
  <c r="AC40" i="6"/>
  <c r="Y40" i="6"/>
  <c r="Z40" i="6" s="1"/>
  <c r="W12" i="8" l="1"/>
  <c r="Y12" i="8" s="1"/>
  <c r="Y38" i="8"/>
  <c r="AB38" i="8" s="1"/>
  <c r="AD38" i="8" s="1"/>
  <c r="AB16" i="6"/>
  <c r="AC38" i="8"/>
  <c r="N4" i="6"/>
  <c r="P10" i="6"/>
  <c r="P13" i="6"/>
  <c r="AA16" i="6"/>
  <c r="W16" i="6"/>
  <c r="X16" i="6" s="1"/>
  <c r="Z16" i="6"/>
  <c r="P9" i="6"/>
  <c r="P7" i="6"/>
  <c r="C20" i="6"/>
  <c r="D43" i="1"/>
  <c r="AB40" i="6"/>
  <c r="AD40" i="6"/>
  <c r="X12" i="8" l="1"/>
  <c r="AA12" i="8" s="1"/>
  <c r="AH38" i="8"/>
  <c r="AG38" i="8"/>
  <c r="AF38" i="8"/>
  <c r="AE38" i="8"/>
  <c r="T17" i="6"/>
  <c r="U17" i="6" s="1"/>
  <c r="V17" i="6" s="1"/>
  <c r="AB17" i="6" s="1"/>
  <c r="R41" i="6"/>
  <c r="S41" i="6" s="1"/>
  <c r="Z12" i="8" l="1"/>
  <c r="AB12" i="8" s="1"/>
  <c r="AD12" i="8"/>
  <c r="AE12" i="8"/>
  <c r="AC12" i="8"/>
  <c r="AF12" i="8"/>
  <c r="T39" i="8"/>
  <c r="U39" i="8" s="1"/>
  <c r="W39" i="8" s="1"/>
  <c r="X39" i="8" s="1"/>
  <c r="Z39" i="8" s="1"/>
  <c r="AA39" i="8" s="1"/>
  <c r="T41" i="6"/>
  <c r="U41" i="6" s="1"/>
  <c r="V41" i="6" s="1"/>
  <c r="W17" i="6"/>
  <c r="X17" i="6" s="1"/>
  <c r="Y17" i="6"/>
  <c r="Z17" i="6"/>
  <c r="AA17" i="6"/>
  <c r="V13" i="8" l="1"/>
  <c r="W13" i="8"/>
  <c r="Y13" i="8" s="1"/>
  <c r="Y39" i="8"/>
  <c r="AC39" i="8" s="1"/>
  <c r="T18" i="6"/>
  <c r="W41" i="6"/>
  <c r="X41" i="6" s="1"/>
  <c r="Y41" i="6"/>
  <c r="Z41" i="6" s="1"/>
  <c r="AA41" i="6"/>
  <c r="AC41" i="6"/>
  <c r="X13" i="8" l="1"/>
  <c r="AB39" i="8"/>
  <c r="AD39" i="8" s="1"/>
  <c r="AH39" i="8"/>
  <c r="AG39" i="8"/>
  <c r="AF39" i="8"/>
  <c r="AE39" i="8"/>
  <c r="AB41" i="6"/>
  <c r="AD41" i="6"/>
  <c r="U18" i="6"/>
  <c r="V18" i="6" s="1"/>
  <c r="Z18" i="6" s="1"/>
  <c r="AA13" i="8" l="1"/>
  <c r="Z13" i="8"/>
  <c r="AB13" i="8" s="1"/>
  <c r="T40" i="8"/>
  <c r="U40" i="8" s="1"/>
  <c r="W40" i="8" s="1"/>
  <c r="R42" i="6"/>
  <c r="T42" i="6" s="1"/>
  <c r="AA18" i="6"/>
  <c r="Y18" i="6"/>
  <c r="W18" i="6"/>
  <c r="X18" i="6" s="1"/>
  <c r="AB18" i="6"/>
  <c r="AD13" i="8" l="1"/>
  <c r="V14" i="8" s="1"/>
  <c r="AE13" i="8"/>
  <c r="AF13" i="8"/>
  <c r="AC13" i="8"/>
  <c r="X40" i="8"/>
  <c r="Z40" i="8" s="1"/>
  <c r="AA40" i="8" s="1"/>
  <c r="S42" i="6"/>
  <c r="U42" i="6" s="1"/>
  <c r="V42" i="6" s="1"/>
  <c r="T19" i="6"/>
  <c r="U19" i="6" s="1"/>
  <c r="V19" i="6" s="1"/>
  <c r="W19" i="6" s="1"/>
  <c r="X19" i="6" s="1"/>
  <c r="W14" i="8" l="1"/>
  <c r="Y14" i="8" s="1"/>
  <c r="Y40" i="8"/>
  <c r="Y19" i="6"/>
  <c r="Z19" i="6"/>
  <c r="AA19" i="6"/>
  <c r="W42" i="6"/>
  <c r="X42" i="6" s="1"/>
  <c r="AC42" i="6"/>
  <c r="AA42" i="6"/>
  <c r="Y42" i="6"/>
  <c r="Z42" i="6" s="1"/>
  <c r="AB19" i="6"/>
  <c r="X14" i="8" l="1"/>
  <c r="AA14" i="8" s="1"/>
  <c r="AB40" i="8"/>
  <c r="AD40" i="8" s="1"/>
  <c r="AC40" i="8"/>
  <c r="T20" i="6"/>
  <c r="U20" i="6" s="1"/>
  <c r="V20" i="6" s="1"/>
  <c r="AB20" i="6" s="1"/>
  <c r="AB42" i="6"/>
  <c r="AD42" i="6"/>
  <c r="Z14" i="8" l="1"/>
  <c r="AB14" i="8" s="1"/>
  <c r="V15" i="8" s="1"/>
  <c r="W15" i="8" s="1"/>
  <c r="AF14" i="8"/>
  <c r="AE14" i="8"/>
  <c r="AD14" i="8"/>
  <c r="AC14" i="8"/>
  <c r="AH40" i="8"/>
  <c r="AE40" i="8"/>
  <c r="AF40" i="8"/>
  <c r="AG40" i="8"/>
  <c r="R43" i="6"/>
  <c r="T43" i="6" s="1"/>
  <c r="Z20" i="6"/>
  <c r="W20" i="6"/>
  <c r="X20" i="6" s="1"/>
  <c r="Y20" i="6"/>
  <c r="AA20" i="6"/>
  <c r="X15" i="8" l="1"/>
  <c r="Y15" i="8"/>
  <c r="AA15" i="8" s="1"/>
  <c r="C6" i="8"/>
  <c r="C8" i="8" s="1"/>
  <c r="C9" i="8" s="1"/>
  <c r="T41" i="8"/>
  <c r="U41" i="8" s="1"/>
  <c r="W41" i="8" s="1"/>
  <c r="S43" i="6"/>
  <c r="U43" i="6" s="1"/>
  <c r="V43" i="6" s="1"/>
  <c r="T21" i="6"/>
  <c r="U21" i="6" s="1"/>
  <c r="V21" i="6" s="1"/>
  <c r="Z21" i="6" s="1"/>
  <c r="AF15" i="8" l="1"/>
  <c r="AC15" i="8"/>
  <c r="AD15" i="8"/>
  <c r="AE15" i="8"/>
  <c r="Z15" i="8"/>
  <c r="AB15" i="8" s="1"/>
  <c r="X41" i="8"/>
  <c r="Z41" i="8" s="1"/>
  <c r="AA41" i="8" s="1"/>
  <c r="Y21" i="6"/>
  <c r="W21" i="6"/>
  <c r="X21" i="6" s="1"/>
  <c r="AB21" i="6"/>
  <c r="AA21" i="6"/>
  <c r="W43" i="6"/>
  <c r="X43" i="6" s="1"/>
  <c r="Y43" i="6"/>
  <c r="Z43" i="6" s="1"/>
  <c r="AA43" i="6"/>
  <c r="AC43" i="6"/>
  <c r="V16" i="8" l="1"/>
  <c r="W16" i="8" s="1"/>
  <c r="Y16" i="8" s="1"/>
  <c r="Y41" i="8"/>
  <c r="AB41" i="8" s="1"/>
  <c r="AD41" i="8" s="1"/>
  <c r="T22" i="6"/>
  <c r="U22" i="6" s="1"/>
  <c r="V22" i="6" s="1"/>
  <c r="Z22" i="6" s="1"/>
  <c r="AB43" i="6"/>
  <c r="AD43" i="6"/>
  <c r="X16" i="8" l="1"/>
  <c r="AC41" i="8"/>
  <c r="AH41" i="8" s="1"/>
  <c r="R44" i="6"/>
  <c r="S44" i="6" s="1"/>
  <c r="AB22" i="6"/>
  <c r="Y22" i="6"/>
  <c r="AA22" i="6"/>
  <c r="W22" i="6"/>
  <c r="X22" i="6" s="1"/>
  <c r="AA16" i="8" l="1"/>
  <c r="Z16" i="8"/>
  <c r="AB16" i="8" s="1"/>
  <c r="AE41" i="8"/>
  <c r="AF41" i="8"/>
  <c r="AG41" i="8"/>
  <c r="T44" i="6"/>
  <c r="U44" i="6" s="1"/>
  <c r="V44" i="6" s="1"/>
  <c r="T23" i="6"/>
  <c r="AD16" i="8" l="1"/>
  <c r="AF16" i="8"/>
  <c r="AC16" i="8"/>
  <c r="AE16" i="8"/>
  <c r="T42" i="8"/>
  <c r="U42" i="8" s="1"/>
  <c r="W42" i="8" s="1"/>
  <c r="X42" i="8" s="1"/>
  <c r="Z42" i="8" s="1"/>
  <c r="AA42" i="8" s="1"/>
  <c r="U23" i="6"/>
  <c r="V23" i="6" s="1"/>
  <c r="Y23" i="6" s="1"/>
  <c r="W44" i="6"/>
  <c r="X44" i="6" s="1"/>
  <c r="AA44" i="6"/>
  <c r="Y44" i="6"/>
  <c r="Z44" i="6" s="1"/>
  <c r="AC44" i="6"/>
  <c r="V17" i="8" l="1"/>
  <c r="W17" i="8" s="1"/>
  <c r="Y17" i="8" s="1"/>
  <c r="Y42" i="8"/>
  <c r="AC42" i="8" s="1"/>
  <c r="AH42" i="8" s="1"/>
  <c r="AB23" i="6"/>
  <c r="AD44" i="6"/>
  <c r="W23" i="6"/>
  <c r="X23" i="6" s="1"/>
  <c r="AB44" i="6"/>
  <c r="Z23" i="6"/>
  <c r="AA23" i="6"/>
  <c r="X17" i="8" l="1"/>
  <c r="AE42" i="8"/>
  <c r="AB42" i="8"/>
  <c r="AD42" i="8" s="1"/>
  <c r="AG42" i="8"/>
  <c r="AF42" i="8"/>
  <c r="R45" i="6"/>
  <c r="T45" i="6" s="1"/>
  <c r="T24" i="6"/>
  <c r="Z17" i="8" l="1"/>
  <c r="AB17" i="8" s="1"/>
  <c r="AA17" i="8"/>
  <c r="T43" i="8"/>
  <c r="U43" i="8" s="1"/>
  <c r="W43" i="8" s="1"/>
  <c r="S45" i="6"/>
  <c r="U45" i="6" s="1"/>
  <c r="H7" i="6"/>
  <c r="U24" i="6"/>
  <c r="V24" i="6" s="1"/>
  <c r="Y24" i="6" s="1"/>
  <c r="AE17" i="8" l="1"/>
  <c r="AC17" i="8"/>
  <c r="V18" i="8" s="1"/>
  <c r="AF17" i="8"/>
  <c r="AD17" i="8"/>
  <c r="X43" i="8"/>
  <c r="Z43" i="8" s="1"/>
  <c r="AA43" i="8" s="1"/>
  <c r="AA24" i="6"/>
  <c r="Z24" i="6"/>
  <c r="AB24" i="6"/>
  <c r="W24" i="6"/>
  <c r="X24" i="6" s="1"/>
  <c r="V45" i="6"/>
  <c r="H6" i="6"/>
  <c r="W18" i="8" l="1"/>
  <c r="Y18" i="8" s="1"/>
  <c r="X18" i="8"/>
  <c r="Y43" i="8"/>
  <c r="AC43" i="8" s="1"/>
  <c r="AH43" i="8" s="1"/>
  <c r="M11" i="6"/>
  <c r="N11" i="6" s="1"/>
  <c r="O11" i="6" s="1"/>
  <c r="M8" i="6"/>
  <c r="N8" i="6" s="1"/>
  <c r="O8" i="6" s="1"/>
  <c r="T25" i="6"/>
  <c r="U25" i="6" s="1"/>
  <c r="V25" i="6" s="1"/>
  <c r="AB25" i="6" s="1"/>
  <c r="H9" i="6"/>
  <c r="W45" i="6"/>
  <c r="AD45" i="6" s="1"/>
  <c r="AC45" i="6"/>
  <c r="AA45" i="6"/>
  <c r="Y45" i="6"/>
  <c r="Z45" i="6" s="1"/>
  <c r="AA18" i="8" l="1"/>
  <c r="Z18" i="8"/>
  <c r="AB18" i="8" s="1"/>
  <c r="AG43" i="8"/>
  <c r="AB43" i="8"/>
  <c r="AD43" i="8" s="1"/>
  <c r="AE43" i="8"/>
  <c r="AF43" i="8"/>
  <c r="K5" i="6"/>
  <c r="P11" i="6"/>
  <c r="K11" i="6"/>
  <c r="P8" i="6"/>
  <c r="K6" i="6"/>
  <c r="K10" i="6"/>
  <c r="C21" i="6"/>
  <c r="AB45" i="6"/>
  <c r="W25" i="6"/>
  <c r="X25" i="6" s="1"/>
  <c r="Y25" i="6"/>
  <c r="Z25" i="6"/>
  <c r="AA25" i="6"/>
  <c r="H8" i="6"/>
  <c r="K8" i="6" s="1"/>
  <c r="X45" i="6"/>
  <c r="AF18" i="8" l="1"/>
  <c r="AE18" i="8"/>
  <c r="AC18" i="8"/>
  <c r="V19" i="8" s="1"/>
  <c r="AD18" i="8"/>
  <c r="T44" i="8"/>
  <c r="U44" i="8" s="1"/>
  <c r="W44" i="8" s="1"/>
  <c r="X44" i="8"/>
  <c r="Z44" i="8" s="1"/>
  <c r="AA44" i="8" s="1"/>
  <c r="K15" i="6"/>
  <c r="H10" i="6"/>
  <c r="M9" i="6"/>
  <c r="N9" i="6" s="1"/>
  <c r="O9" i="6" s="1"/>
  <c r="M12" i="6"/>
  <c r="N12" i="6" s="1"/>
  <c r="O12" i="6" s="1"/>
  <c r="K12" i="6"/>
  <c r="H12" i="6"/>
  <c r="T26" i="6"/>
  <c r="U26" i="6" s="1"/>
  <c r="V26" i="6" s="1"/>
  <c r="W26" i="6" s="1"/>
  <c r="X26" i="6" s="1"/>
  <c r="W19" i="8" l="1"/>
  <c r="Y19" i="8" s="1"/>
  <c r="X19" i="8"/>
  <c r="Y44" i="8"/>
  <c r="AC44" i="8" s="1"/>
  <c r="K16" i="6"/>
  <c r="K18" i="6"/>
  <c r="Z26" i="6"/>
  <c r="Y26" i="6"/>
  <c r="AA26" i="6"/>
  <c r="AB26" i="6"/>
  <c r="AA19" i="8" l="1"/>
  <c r="Z19" i="8"/>
  <c r="AB19" i="8" s="1"/>
  <c r="AB44" i="8"/>
  <c r="AD44" i="8" s="1"/>
  <c r="AH44" i="8"/>
  <c r="AG44" i="8"/>
  <c r="AF44" i="8"/>
  <c r="AE44" i="8"/>
  <c r="K20" i="6"/>
  <c r="K19" i="6"/>
  <c r="K17" i="6"/>
  <c r="AD19" i="8" l="1"/>
  <c r="AE19" i="8"/>
  <c r="AF19" i="8"/>
  <c r="AC19" i="8"/>
  <c r="V20" i="8" s="1"/>
  <c r="T45" i="8"/>
  <c r="U45" i="8" s="1"/>
  <c r="W45" i="8" s="1"/>
  <c r="X45" i="8" s="1"/>
  <c r="W20" i="8" l="1"/>
  <c r="Y20" i="8" s="1"/>
  <c r="Z45" i="8"/>
  <c r="AA45" i="8" s="1"/>
  <c r="X20" i="8" l="1"/>
  <c r="Y45" i="8"/>
  <c r="AB45" i="8" s="1"/>
  <c r="AD45" i="8" s="1"/>
  <c r="AA20" i="8" l="1"/>
  <c r="Z20" i="8"/>
  <c r="AB20" i="8" s="1"/>
  <c r="AC45" i="8"/>
  <c r="AF45" i="8" s="1"/>
  <c r="AH45" i="8"/>
  <c r="AG45" i="8"/>
  <c r="AE45" i="8" l="1"/>
  <c r="AF20" i="8"/>
  <c r="AC20" i="8"/>
  <c r="AD20" i="8"/>
  <c r="AE20" i="8"/>
  <c r="T46" i="8"/>
  <c r="U46" i="8" s="1"/>
  <c r="W46" i="8" s="1"/>
  <c r="X46" i="8" s="1"/>
  <c r="V21" i="8" l="1"/>
  <c r="Z46" i="8"/>
  <c r="AA46" i="8" s="1"/>
  <c r="W21" i="8" l="1"/>
  <c r="Y21" i="8" s="1"/>
  <c r="X21" i="8"/>
  <c r="Y46" i="8"/>
  <c r="AB46" i="8" s="1"/>
  <c r="AD46" i="8" s="1"/>
  <c r="AA21" i="8" l="1"/>
  <c r="Z21" i="8"/>
  <c r="AB21" i="8" s="1"/>
  <c r="AC46" i="8"/>
  <c r="AG46" i="8" s="1"/>
  <c r="AC21" i="8" l="1"/>
  <c r="V22" i="8" s="1"/>
  <c r="AD21" i="8"/>
  <c r="AF21" i="8"/>
  <c r="AE21" i="8"/>
  <c r="AH46" i="8"/>
  <c r="AE46" i="8"/>
  <c r="AF46" i="8"/>
  <c r="W22" i="8" l="1"/>
  <c r="Y22" i="8" s="1"/>
  <c r="X22" i="8"/>
  <c r="T47" i="8"/>
  <c r="U47" i="8" s="1"/>
  <c r="W47" i="8" s="1"/>
  <c r="X47" i="8" s="1"/>
  <c r="Z47" i="8" s="1"/>
  <c r="AA47" i="8" s="1"/>
  <c r="AA22" i="8" l="1"/>
  <c r="Z22" i="8"/>
  <c r="AB22" i="8" s="1"/>
  <c r="Y47" i="8"/>
  <c r="AC47" i="8" s="1"/>
  <c r="AF22" i="8" l="1"/>
  <c r="AD22" i="8"/>
  <c r="AE22" i="8"/>
  <c r="AC22" i="8"/>
  <c r="V23" i="8" s="1"/>
  <c r="AB47" i="8"/>
  <c r="AD47" i="8" s="1"/>
  <c r="AH47" i="8"/>
  <c r="AG47" i="8"/>
  <c r="AF47" i="8"/>
  <c r="AE47" i="8"/>
  <c r="W23" i="8" l="1"/>
  <c r="Y23" i="8" s="1"/>
  <c r="X23" i="8"/>
  <c r="T48" i="8"/>
  <c r="U48" i="8" s="1"/>
  <c r="W48" i="8" s="1"/>
  <c r="AA23" i="8" l="1"/>
  <c r="Z23" i="8"/>
  <c r="AB23" i="8" s="1"/>
  <c r="X48" i="8"/>
  <c r="Z48" i="8" s="1"/>
  <c r="AA48" i="8" s="1"/>
  <c r="H6" i="8"/>
  <c r="AF23" i="8" l="1"/>
  <c r="AE23" i="8"/>
  <c r="AC23" i="8"/>
  <c r="V24" i="8" s="1"/>
  <c r="AD23" i="8"/>
  <c r="H9" i="8"/>
  <c r="I8" i="8" s="1"/>
  <c r="Y48" i="8"/>
  <c r="H8" i="8"/>
  <c r="H12" i="8" s="1"/>
  <c r="W24" i="8" l="1"/>
  <c r="Y24" i="8" s="1"/>
  <c r="X24" i="8"/>
  <c r="I6" i="8"/>
  <c r="H7" i="8"/>
  <c r="AC48" i="8"/>
  <c r="AB48" i="8"/>
  <c r="AD48" i="8" s="1"/>
  <c r="H10" i="8"/>
  <c r="AA24" i="8" l="1"/>
  <c r="Z24" i="8"/>
  <c r="AB24" i="8" s="1"/>
  <c r="AH48" i="8"/>
  <c r="AG48" i="8"/>
  <c r="AF48" i="8"/>
  <c r="AE48" i="8"/>
  <c r="AF24" i="8" l="1"/>
  <c r="AD24" i="8"/>
  <c r="AC24" i="8"/>
  <c r="V25" i="8" s="1"/>
  <c r="AE24" i="8"/>
  <c r="W25" i="8" l="1"/>
  <c r="Y25" i="8" s="1"/>
  <c r="X25" i="8"/>
  <c r="Z25" i="8" l="1"/>
  <c r="AB25" i="8" s="1"/>
  <c r="AA25" i="8"/>
  <c r="C12" i="8"/>
  <c r="D42" i="1" s="1"/>
  <c r="D23" i="1"/>
  <c r="D24" i="1"/>
  <c r="AC25" i="8" l="1"/>
  <c r="AE25" i="8"/>
  <c r="V26" i="8" s="1"/>
  <c r="AD25" i="8"/>
  <c r="AF25" i="8"/>
  <c r="D25" i="1"/>
  <c r="W26" i="8" l="1"/>
  <c r="Y26" i="8" s="1"/>
  <c r="X26" i="8"/>
  <c r="D33" i="1"/>
  <c r="Z26" i="8" l="1"/>
  <c r="AB26" i="8" s="1"/>
  <c r="C7" i="8"/>
  <c r="AA26" i="8"/>
  <c r="D34" i="1"/>
  <c r="AF26" i="8" l="1"/>
  <c r="AC26" i="8"/>
  <c r="AD26" i="8"/>
  <c r="AE26" i="8"/>
  <c r="E10" i="8"/>
  <c r="C10" i="8"/>
  <c r="K12" i="8" l="1"/>
  <c r="D28" i="1" s="1"/>
  <c r="M11" i="8"/>
  <c r="N11" i="8" s="1"/>
  <c r="O11" i="8" s="1"/>
  <c r="P8" i="8"/>
  <c r="P9" i="8"/>
  <c r="P13" i="8"/>
  <c r="P11" i="8"/>
  <c r="M8" i="8"/>
  <c r="N8" i="8" s="1"/>
  <c r="O8" i="8" s="1"/>
  <c r="N4" i="8"/>
  <c r="P12" i="8"/>
  <c r="K11" i="8"/>
  <c r="P10" i="8"/>
  <c r="K10" i="8"/>
  <c r="M9" i="8"/>
  <c r="N9" i="8" s="1"/>
  <c r="O9" i="8" s="1"/>
  <c r="P7" i="8"/>
  <c r="K5" i="8"/>
  <c r="K6" i="8"/>
  <c r="M12" i="8"/>
  <c r="N12" i="8" s="1"/>
  <c r="O12" i="8" s="1"/>
  <c r="K8" i="8"/>
  <c r="K15" i="8" l="1"/>
  <c r="K16" i="8" s="1"/>
  <c r="K17" i="8" s="1"/>
  <c r="K18" i="8"/>
  <c r="K19" i="8" l="1"/>
  <c r="D37" i="1" s="1"/>
  <c r="K20" i="8"/>
</calcChain>
</file>

<file path=xl/sharedStrings.xml><?xml version="1.0" encoding="utf-8"?>
<sst xmlns="http://schemas.openxmlformats.org/spreadsheetml/2006/main" count="357" uniqueCount="203">
  <si>
    <t>Input voltage</t>
  </si>
  <si>
    <t>Vin</t>
  </si>
  <si>
    <t>Max current per channel</t>
  </si>
  <si>
    <t>Iout_Full Scale/string</t>
  </si>
  <si>
    <t>channel count</t>
  </si>
  <si>
    <t>Max output current</t>
  </si>
  <si>
    <t>Iout_Full Scale total</t>
  </si>
  <si>
    <t>Actual output current</t>
  </si>
  <si>
    <t>Iout</t>
  </si>
  <si>
    <t>LED number #</t>
  </si>
  <si>
    <t>LED count/string</t>
  </si>
  <si>
    <t>LED Vf</t>
  </si>
  <si>
    <t>Total LED Voltage</t>
  </si>
  <si>
    <t>Vled</t>
  </si>
  <si>
    <t>VD</t>
  </si>
  <si>
    <t>Switching frequency</t>
  </si>
  <si>
    <t>Fsw</t>
  </si>
  <si>
    <t>L</t>
  </si>
  <si>
    <t>RL</t>
  </si>
  <si>
    <t>Diode ESC</t>
  </si>
  <si>
    <t>Cdiode</t>
  </si>
  <si>
    <t>Output caps</t>
  </si>
  <si>
    <t>Cout</t>
  </si>
  <si>
    <t>Output caps ESR</t>
  </si>
  <si>
    <t>Low side switching Cgs</t>
  </si>
  <si>
    <t>LowSide Cgs</t>
  </si>
  <si>
    <t>Low side switching Cgd</t>
  </si>
  <si>
    <t>LowSide Cgd</t>
  </si>
  <si>
    <t>Low side switching Cds</t>
  </si>
  <si>
    <t>LowSide Cds</t>
  </si>
  <si>
    <t>IC Quiescent current</t>
  </si>
  <si>
    <t>Quiescent current</t>
  </si>
  <si>
    <t>VIN (V)</t>
  </si>
  <si>
    <t>VO (V)</t>
  </si>
  <si>
    <r>
      <t>RL (</t>
    </r>
    <r>
      <rPr>
        <sz val="11"/>
        <color theme="1"/>
        <rFont val="Arial"/>
        <family val="2"/>
      </rPr>
      <t>Ω</t>
    </r>
    <r>
      <rPr>
        <sz val="12.65"/>
        <color theme="1"/>
        <rFont val="Calibri"/>
        <family val="2"/>
      </rPr>
      <t>)</t>
    </r>
  </si>
  <si>
    <t>Rsense</t>
  </si>
  <si>
    <t>RD (Ω)</t>
  </si>
  <si>
    <t>VD (V)</t>
  </si>
  <si>
    <t>ILOAD (A)</t>
  </si>
  <si>
    <t>L (H)</t>
  </si>
  <si>
    <t>FS (Hz)</t>
  </si>
  <si>
    <t>Vhead(V)</t>
  </si>
  <si>
    <t>TS</t>
  </si>
  <si>
    <t>Mode</t>
  </si>
  <si>
    <r>
      <rPr>
        <sz val="11"/>
        <color theme="1"/>
        <rFont val="Calibri"/>
        <family val="2"/>
      </rPr>
      <t>θ</t>
    </r>
    <r>
      <rPr>
        <sz val="8.8000000000000007"/>
        <color theme="1"/>
        <rFont val="Calibri"/>
        <family val="2"/>
      </rPr>
      <t>JA_EVM</t>
    </r>
  </si>
  <si>
    <t>MOS On time(s)</t>
  </si>
  <si>
    <t>θBA</t>
  </si>
  <si>
    <t>Cout(F)</t>
  </si>
  <si>
    <t>ESR</t>
  </si>
  <si>
    <t>CCM</t>
  </si>
  <si>
    <t>IL</t>
  </si>
  <si>
    <t>Iin</t>
  </si>
  <si>
    <t>D</t>
  </si>
  <si>
    <t>Ipp</t>
  </si>
  <si>
    <t>Ivalley</t>
  </si>
  <si>
    <r>
      <t>I</t>
    </r>
    <r>
      <rPr>
        <vertAlign val="subscript"/>
        <sz val="11"/>
        <color theme="1"/>
        <rFont val="Calibri"/>
        <family val="2"/>
        <scheme val="minor"/>
      </rPr>
      <t>_LRMS</t>
    </r>
  </si>
  <si>
    <t>MOS Dyn Loss</t>
  </si>
  <si>
    <t>MOS Const</t>
  </si>
  <si>
    <t>Diode loss</t>
  </si>
  <si>
    <t>Inductor loss</t>
  </si>
  <si>
    <t>Rsense loss</t>
  </si>
  <si>
    <t>D1</t>
  </si>
  <si>
    <t>Thermal-MOS-(Constant) (W)</t>
  </si>
  <si>
    <t>Interval</t>
  </si>
  <si>
    <t>t</t>
  </si>
  <si>
    <t>Current</t>
  </si>
  <si>
    <t>ILD</t>
  </si>
  <si>
    <t>Thermal-MOS-(Cap loss) (W)</t>
  </si>
  <si>
    <t>D`</t>
  </si>
  <si>
    <t>D2</t>
  </si>
  <si>
    <t>Thermal-Diode-(conduction)(W)</t>
  </si>
  <si>
    <t>Ipeak</t>
  </si>
  <si>
    <t>Thermal-Diode-(cap loss)(W)</t>
  </si>
  <si>
    <t>D3</t>
  </si>
  <si>
    <t>Thermal-Inductor-(conduction)(W)</t>
  </si>
  <si>
    <t>DCM</t>
  </si>
  <si>
    <t>Thermal-Inductor-(AC loss)(W)</t>
  </si>
  <si>
    <t>Ripple_pp</t>
  </si>
  <si>
    <t>Thermal-RSENSE(W)</t>
  </si>
  <si>
    <t>Thermal-Headroom(W)</t>
  </si>
  <si>
    <t>Quiescent loss (W)</t>
  </si>
  <si>
    <t>pF</t>
  </si>
  <si>
    <t>Total device loss(W)</t>
  </si>
  <si>
    <t xml:space="preserve">VIN: </t>
  </si>
  <si>
    <t>Thermal rise (deg)</t>
  </si>
  <si>
    <t>VO:</t>
  </si>
  <si>
    <t>Estimated device temperature(deg)</t>
  </si>
  <si>
    <t>RL:</t>
  </si>
  <si>
    <t>Inductor DC resistance</t>
  </si>
  <si>
    <t>Total system loss (W)</t>
  </si>
  <si>
    <t>RSD(ON):</t>
  </si>
  <si>
    <t>mA</t>
  </si>
  <si>
    <t>Efficiency Boost</t>
  </si>
  <si>
    <t>RD:</t>
  </si>
  <si>
    <t>Diode DC resistance</t>
  </si>
  <si>
    <t>Efficiency LED</t>
  </si>
  <si>
    <t>VD:</t>
  </si>
  <si>
    <t>Diode forword voltage</t>
  </si>
  <si>
    <t>ILOAD:</t>
  </si>
  <si>
    <t>L:</t>
  </si>
  <si>
    <t>Inductance value of inductor</t>
  </si>
  <si>
    <t>Co</t>
  </si>
  <si>
    <t>FS:</t>
  </si>
  <si>
    <t>Swithing Frequency</t>
  </si>
  <si>
    <t>Von</t>
  </si>
  <si>
    <t>Voff</t>
  </si>
  <si>
    <t>V</t>
  </si>
  <si>
    <t>MHz</t>
  </si>
  <si>
    <t>uH</t>
  </si>
  <si>
    <t>W</t>
  </si>
  <si>
    <t>uF</t>
  </si>
  <si>
    <t>PWM dimming duty</t>
  </si>
  <si>
    <t>Analog dimming duty</t>
  </si>
  <si>
    <t>Dpwm</t>
  </si>
  <si>
    <t>Dadim</t>
  </si>
  <si>
    <t>Suggested power Inductor</t>
  </si>
  <si>
    <t>Actual power Inductor</t>
  </si>
  <si>
    <t>Lact</t>
  </si>
  <si>
    <t>Sense resistor</t>
  </si>
  <si>
    <t>Rse</t>
  </si>
  <si>
    <t>mΩ</t>
  </si>
  <si>
    <t>Ω</t>
  </si>
  <si>
    <t>Diode forward voltage</t>
  </si>
  <si>
    <t>switching frequency resistor</t>
  </si>
  <si>
    <t>kΩ</t>
  </si>
  <si>
    <t>VSON</t>
  </si>
  <si>
    <t>Ploss</t>
  </si>
  <si>
    <t>Trise</t>
  </si>
  <si>
    <t>deg</t>
  </si>
  <si>
    <t>Thermal foldback</t>
  </si>
  <si>
    <t>Device package</t>
  </si>
  <si>
    <t>Device power loss</t>
  </si>
  <si>
    <t>Device thermal rise</t>
  </si>
  <si>
    <t>Rtemp</t>
  </si>
  <si>
    <t>Power rating of sense resistor min.</t>
  </si>
  <si>
    <t>IL_peak</t>
  </si>
  <si>
    <t>A</t>
  </si>
  <si>
    <t>Inductor peak current</t>
  </si>
  <si>
    <t>Inductor ripple current</t>
  </si>
  <si>
    <t>recommended inductor saturation current</t>
  </si>
  <si>
    <t>IL_sat</t>
  </si>
  <si>
    <t>RFET</t>
  </si>
  <si>
    <t>IL_rip_pp</t>
  </si>
  <si>
    <t>Input capacitance</t>
  </si>
  <si>
    <t>Cin</t>
  </si>
  <si>
    <t>desired output ripple</t>
  </si>
  <si>
    <t>calculated output ripple</t>
  </si>
  <si>
    <t>Vrip_d</t>
  </si>
  <si>
    <t>Vrip_c</t>
  </si>
  <si>
    <t>Tth</t>
  </si>
  <si>
    <t>resistor value</t>
  </si>
  <si>
    <t>Userinput</t>
  </si>
  <si>
    <t>Ttemp</t>
  </si>
  <si>
    <t>fs</t>
  </si>
  <si>
    <t>R</t>
  </si>
  <si>
    <t>Efficiency</t>
  </si>
  <si>
    <t>η</t>
  </si>
  <si>
    <t>User Input</t>
  </si>
  <si>
    <t>Calculated</t>
  </si>
  <si>
    <t>Constant</t>
  </si>
  <si>
    <t xml:space="preserve"> LED forward voltage</t>
  </si>
  <si>
    <t>Comment</t>
  </si>
  <si>
    <t>TI recommended at least 15uF MLCC</t>
  </si>
  <si>
    <t>TI recommended at least 25deg margin</t>
  </si>
  <si>
    <t>system efficiency</t>
  </si>
  <si>
    <t>calculated output ripple shuold be smaller than desired output ripple</t>
  </si>
  <si>
    <t>RDS(ON)</t>
  </si>
  <si>
    <t>YELLO CELLS CAN BE MODIFIED ONLY!</t>
  </si>
  <si>
    <t>MOS Off time(s)</t>
  </si>
  <si>
    <t>Tam</t>
  </si>
  <si>
    <t>Thermal-MOS(Dynamic) (W)</t>
  </si>
  <si>
    <t>D'</t>
  </si>
  <si>
    <t>IL_rms</t>
  </si>
  <si>
    <t>volteg ripple</t>
  </si>
  <si>
    <t>Input Voltage of Boost</t>
  </si>
  <si>
    <t>Icin</t>
  </si>
  <si>
    <t>Output Voltage of Boost</t>
  </si>
  <si>
    <t>Resr</t>
  </si>
  <si>
    <t>Boost Switching FET DC resistance</t>
  </si>
  <si>
    <t>Ico</t>
  </si>
  <si>
    <t>Total load at Boost output</t>
  </si>
  <si>
    <t>Io</t>
  </si>
  <si>
    <t>Input Voltage of BuckBoost</t>
  </si>
  <si>
    <t>Output Voltage of BuckBoost</t>
  </si>
  <si>
    <t>BuckBoost Switching FET DC resistance</t>
  </si>
  <si>
    <t>Total load at BuckBoost output</t>
  </si>
  <si>
    <t>ILRMS</t>
  </si>
  <si>
    <t>Topology</t>
  </si>
  <si>
    <t>Boost</t>
  </si>
  <si>
    <t>Actual sense resistor</t>
  </si>
  <si>
    <t>Rse_actual</t>
  </si>
  <si>
    <t>OVP upper resistor</t>
  </si>
  <si>
    <t>OVP lower resistor</t>
  </si>
  <si>
    <t>OVP verification</t>
  </si>
  <si>
    <t>Rop1</t>
  </si>
  <si>
    <t>Rop2</t>
  </si>
  <si>
    <t>mV</t>
  </si>
  <si>
    <t>Sense capacitor</t>
  </si>
  <si>
    <t>Cse</t>
  </si>
  <si>
    <t>For accurate current regulation</t>
  </si>
  <si>
    <t>Actual power Inductor DCR</t>
  </si>
  <si>
    <t>choose Boost or Buck-Boost topology</t>
  </si>
  <si>
    <t>if current is higher than 2A, pls choosen LP8868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</si>
</sst>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.65"/>
      <color theme="1"/>
      <name val="Calibri"/>
      <family val="2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0" fillId="0" borderId="0" xfId="0" applyBorder="1"/>
    <xf numFmtId="0" fontId="0" fillId="2" borderId="0" xfId="0" applyFont="1" applyFill="1"/>
    <xf numFmtId="0" fontId="0" fillId="2" borderId="0" xfId="0" applyFill="1"/>
    <xf numFmtId="0" fontId="1" fillId="2" borderId="0" xfId="0" applyFont="1" applyFill="1"/>
    <xf numFmtId="11" fontId="0" fillId="3" borderId="0" xfId="0" applyNumberFormat="1" applyFill="1" applyProtection="1">
      <protection hidden="1"/>
    </xf>
    <xf numFmtId="0" fontId="0" fillId="2" borderId="1" xfId="0" applyFill="1" applyBorder="1"/>
    <xf numFmtId="0" fontId="0" fillId="2" borderId="0" xfId="0" applyFill="1" applyProtection="1">
      <protection hidden="1"/>
    </xf>
    <xf numFmtId="0" fontId="0" fillId="4" borderId="0" xfId="0" applyFill="1" applyProtection="1">
      <protection hidden="1"/>
    </xf>
    <xf numFmtId="0" fontId="4" fillId="2" borderId="0" xfId="0" applyFont="1" applyFill="1" applyProtection="1">
      <protection hidden="1"/>
    </xf>
    <xf numFmtId="0" fontId="0" fillId="3" borderId="1" xfId="0" applyFill="1" applyBorder="1" applyAlignment="1" applyProtection="1">
      <alignment horizontal="left"/>
      <protection locked="0"/>
    </xf>
    <xf numFmtId="11" fontId="0" fillId="3" borderId="1" xfId="0" applyNumberFormat="1" applyFont="1" applyFill="1" applyBorder="1" applyAlignment="1" applyProtection="1">
      <alignment horizontal="left"/>
      <protection locked="0"/>
    </xf>
    <xf numFmtId="11" fontId="0" fillId="3" borderId="1" xfId="0" applyNumberFormat="1" applyFill="1" applyBorder="1" applyAlignment="1" applyProtection="1">
      <alignment horizontal="left"/>
      <protection locked="0"/>
    </xf>
    <xf numFmtId="11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2" xfId="0" applyFill="1" applyBorder="1"/>
    <xf numFmtId="2" fontId="0" fillId="2" borderId="3" xfId="0" applyNumberFormat="1" applyFill="1" applyBorder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2" borderId="8" xfId="0" applyNumberFormat="1" applyFill="1" applyBorder="1"/>
    <xf numFmtId="164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0" borderId="2" xfId="0" applyBorder="1"/>
    <xf numFmtId="0" fontId="0" fillId="0" borderId="16" xfId="0" applyBorder="1"/>
    <xf numFmtId="0" fontId="0" fillId="0" borderId="3" xfId="0" applyBorder="1"/>
    <xf numFmtId="2" fontId="0" fillId="2" borderId="7" xfId="0" applyNumberFormat="1" applyFill="1" applyBorder="1"/>
    <xf numFmtId="0" fontId="0" fillId="0" borderId="6" xfId="0" applyBorder="1"/>
    <xf numFmtId="0" fontId="0" fillId="0" borderId="7" xfId="0" applyBorder="1"/>
    <xf numFmtId="165" fontId="0" fillId="0" borderId="0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17" xfId="0" applyFill="1" applyBorder="1"/>
    <xf numFmtId="0" fontId="0" fillId="2" borderId="19" xfId="0" applyFill="1" applyBorder="1"/>
    <xf numFmtId="0" fontId="0" fillId="0" borderId="0" xfId="0" applyAlignment="1">
      <alignment horizontal="center"/>
    </xf>
    <xf numFmtId="0" fontId="8" fillId="3" borderId="20" xfId="0" applyFont="1" applyFill="1" applyBorder="1" applyAlignment="1" applyProtection="1">
      <alignment horizontal="center"/>
      <protection hidden="1"/>
    </xf>
    <xf numFmtId="0" fontId="9" fillId="6" borderId="21" xfId="0" applyNumberFormat="1" applyFont="1" applyFill="1" applyBorder="1" applyAlignment="1" applyProtection="1">
      <alignment horizontal="center"/>
      <protection hidden="1"/>
    </xf>
    <xf numFmtId="0" fontId="8" fillId="5" borderId="22" xfId="1" applyFont="1" applyFill="1" applyBorder="1" applyAlignment="1" applyProtection="1">
      <alignment horizontal="center"/>
      <protection hidden="1"/>
    </xf>
    <xf numFmtId="0" fontId="0" fillId="0" borderId="20" xfId="0" applyBorder="1" applyAlignment="1">
      <alignment horizontal="center"/>
    </xf>
    <xf numFmtId="0" fontId="0" fillId="6" borderId="20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165" fontId="0" fillId="6" borderId="20" xfId="0" applyNumberForma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0" fillId="6" borderId="20" xfId="0" applyNumberForma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/>
    <xf numFmtId="0" fontId="0" fillId="0" borderId="20" xfId="0" applyBorder="1"/>
    <xf numFmtId="0" fontId="0" fillId="0" borderId="20" xfId="0" applyFill="1" applyBorder="1" applyAlignment="1">
      <alignment horizontal="center"/>
    </xf>
    <xf numFmtId="0" fontId="0" fillId="3" borderId="20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2">
    <cellStyle name="Normal" xfId="0" builtinId="0"/>
    <cellStyle name="Normal 5" xfId="1" xr:uid="{015928F3-CCE7-46CD-A9FF-DB55993B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8022747156605"/>
          <c:y val="4.9344531933508309E-2"/>
          <c:w val="0.76533546587926504"/>
          <c:h val="0.78062572178477685"/>
        </c:manualLayout>
      </c:layout>
      <c:scatterChart>
        <c:scatterStyle val="lineMarker"/>
        <c:varyColors val="0"/>
        <c:ser>
          <c:idx val="0"/>
          <c:order val="0"/>
          <c:tx>
            <c:strRef>
              <c:f>Boost!$P$6</c:f>
              <c:strCache>
                <c:ptCount val="1"/>
                <c:pt idx="0">
                  <c:v>Current</c:v>
                </c:pt>
              </c:strCache>
            </c:strRef>
          </c:tx>
          <c:marker>
            <c:symbol val="none"/>
          </c:marker>
          <c:xVal>
            <c:numRef>
              <c:f>Boost!$O$7:$O$13</c:f>
              <c:numCache>
                <c:formatCode>General</c:formatCode>
                <c:ptCount val="7"/>
                <c:pt idx="0">
                  <c:v>0</c:v>
                </c:pt>
                <c:pt idx="1">
                  <c:v>1.9293544901900768</c:v>
                </c:pt>
                <c:pt idx="2">
                  <c:v>2.5</c:v>
                </c:pt>
                <c:pt idx="3">
                  <c:v>2.5</c:v>
                </c:pt>
                <c:pt idx="4">
                  <c:v>4.429354490190077</c:v>
                </c:pt>
                <c:pt idx="5">
                  <c:v>5</c:v>
                </c:pt>
                <c:pt idx="6">
                  <c:v>5</c:v>
                </c:pt>
              </c:numCache>
            </c:numRef>
          </c:xVal>
          <c:yVal>
            <c:numRef>
              <c:f>Boost!$P$7:$P$13</c:f>
              <c:numCache>
                <c:formatCode>General</c:formatCode>
                <c:ptCount val="7"/>
                <c:pt idx="0">
                  <c:v>1.7850839583162121</c:v>
                </c:pt>
                <c:pt idx="1">
                  <c:v>2.1578192299511483</c:v>
                </c:pt>
                <c:pt idx="2">
                  <c:v>1.7850839583162121</c:v>
                </c:pt>
                <c:pt idx="3">
                  <c:v>1.7850839583162121</c:v>
                </c:pt>
                <c:pt idx="4">
                  <c:v>2.1578192299511483</c:v>
                </c:pt>
                <c:pt idx="5">
                  <c:v>1.7850839583162121</c:v>
                </c:pt>
                <c:pt idx="6">
                  <c:v>1.7850839583162121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BB-46CE-906A-540784B20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96096"/>
        <c:axId val="789082880"/>
      </c:scatterChart>
      <c:valAx>
        <c:axId val="73259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(us)</a:t>
                </a:r>
              </a:p>
            </c:rich>
          </c:tx>
          <c:layout>
            <c:manualLayout>
              <c:xMode val="edge"/>
              <c:yMode val="edge"/>
              <c:x val="0.4845978237095363"/>
              <c:y val="0.9194211723534557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789082880"/>
        <c:crosses val="autoZero"/>
        <c:crossBetween val="midCat"/>
      </c:valAx>
      <c:valAx>
        <c:axId val="78908288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Inductor Current (A)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235690638670166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259609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8022747156605"/>
          <c:y val="4.9344531933508309E-2"/>
          <c:w val="0.76533546587926504"/>
          <c:h val="0.78062572178477685"/>
        </c:manualLayout>
      </c:layout>
      <c:scatterChart>
        <c:scatterStyle val="lineMarker"/>
        <c:varyColors val="0"/>
        <c:ser>
          <c:idx val="0"/>
          <c:order val="0"/>
          <c:tx>
            <c:strRef>
              <c:f>BuckBoost!$P$6</c:f>
              <c:strCache>
                <c:ptCount val="1"/>
                <c:pt idx="0">
                  <c:v>Current</c:v>
                </c:pt>
              </c:strCache>
            </c:strRef>
          </c:tx>
          <c:marker>
            <c:symbol val="none"/>
          </c:marker>
          <c:xVal>
            <c:numRef>
              <c:f>BuckBoost!$O$7:$O$13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BuckBoost!$P$7:$P$13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C3-4132-9D33-9FD8B198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96096"/>
        <c:axId val="789082880"/>
      </c:scatterChart>
      <c:valAx>
        <c:axId val="73259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(us)</a:t>
                </a:r>
              </a:p>
            </c:rich>
          </c:tx>
          <c:layout>
            <c:manualLayout>
              <c:xMode val="edge"/>
              <c:yMode val="edge"/>
              <c:x val="0.4845978237095363"/>
              <c:y val="0.9194211723534557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789082880"/>
        <c:crosses val="autoZero"/>
        <c:crossBetween val="midCat"/>
      </c:valAx>
      <c:valAx>
        <c:axId val="78908288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Inductor Current (A)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235690638670166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259609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21452812734427E-2"/>
          <c:y val="1.6494049208094108E-2"/>
          <c:w val="0.91876441033402867"/>
          <c:h val="0.8189541938109304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1"/>
            <c:trendlineLbl>
              <c:layout>
                <c:manualLayout>
                  <c:x val="-0.29234010128663496"/>
                  <c:y val="-5.736606007253095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'thermal foldback'!$Q$3:$X$3</c:f>
              <c:numCache>
                <c:formatCode>General</c:formatCode>
                <c:ptCount val="8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110</c:v>
                </c:pt>
                <c:pt idx="4">
                  <c:v>120</c:v>
                </c:pt>
                <c:pt idx="5">
                  <c:v>130</c:v>
                </c:pt>
                <c:pt idx="6">
                  <c:v>140</c:v>
                </c:pt>
                <c:pt idx="7">
                  <c:v>150</c:v>
                </c:pt>
              </c:numCache>
            </c:numRef>
          </c:xVal>
          <c:yVal>
            <c:numRef>
              <c:f>'thermal foldback'!$Q$4:$X$4</c:f>
              <c:numCache>
                <c:formatCode>General</c:formatCode>
                <c:ptCount val="8"/>
                <c:pt idx="0">
                  <c:v>200</c:v>
                </c:pt>
                <c:pt idx="1">
                  <c:v>100</c:v>
                </c:pt>
                <c:pt idx="2">
                  <c:v>60</c:v>
                </c:pt>
                <c:pt idx="3">
                  <c:v>40</c:v>
                </c:pt>
                <c:pt idx="4">
                  <c:v>28</c:v>
                </c:pt>
                <c:pt idx="5">
                  <c:v>20</c:v>
                </c:pt>
                <c:pt idx="6">
                  <c:v>15</c:v>
                </c:pt>
                <c:pt idx="7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FA-450D-8F61-1495AF96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44736"/>
        <c:axId val="1798049328"/>
      </c:scatterChart>
      <c:valAx>
        <c:axId val="23374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049328"/>
        <c:crosses val="autoZero"/>
        <c:crossBetween val="midCat"/>
      </c:valAx>
      <c:valAx>
        <c:axId val="179804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44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541592</xdr:colOff>
      <xdr:row>8</xdr:row>
      <xdr:rowOff>161152</xdr:rowOff>
    </xdr:from>
    <xdr:to>
      <xdr:col>17</xdr:col>
      <xdr:colOff>369214</xdr:colOff>
      <xdr:row>28</xdr:row>
      <xdr:rowOff>55469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F76BA8B-AF2E-41F8-AEB1-15BB473B2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8621" y="1685152"/>
          <a:ext cx="5881974" cy="3704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338418</xdr:colOff>
      <xdr:row>29</xdr:row>
      <xdr:rowOff>28202</xdr:rowOff>
    </xdr:from>
    <xdr:to>
      <xdr:col>8</xdr:col>
      <xdr:colOff>338417</xdr:colOff>
      <xdr:row>44</xdr:row>
      <xdr:rowOff>112059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352577-00D1-4FEA-B7C3-985BB5705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111232</xdr:colOff>
      <xdr:row>46</xdr:row>
      <xdr:rowOff>112060</xdr:rowOff>
    </xdr:from>
    <xdr:to>
      <xdr:col>6</xdr:col>
      <xdr:colOff>466515</xdr:colOff>
      <xdr:row>61</xdr:row>
      <xdr:rowOff>144098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F0C2A1-B5F7-4019-861D-EE8C7001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232" y="8741710"/>
          <a:ext cx="4089083" cy="2794288"/>
        </a:xfrm>
        <a:prstGeom prst="rect">
          <a:avLst/>
        </a:prstGeom>
      </xdr:spPr>
    </xdr:pic>
    <xdr:clientData/>
  </xdr:twoCellAnchor>
  <xdr:twoCellAnchor editAs="oneCell">
    <xdr:from>
      <xdr:col>9</xdr:col>
      <xdr:colOff>558535</xdr:colOff>
      <xdr:row>46</xdr:row>
      <xdr:rowOff>112060</xdr:rowOff>
    </xdr:from>
    <xdr:to>
      <xdr:col>13</xdr:col>
      <xdr:colOff>1134850</xdr:colOff>
      <xdr:row>63</xdr:row>
      <xdr:rowOff>112587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A743D7-715D-46CE-8D87-17BDCFAA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9485" y="8741710"/>
          <a:ext cx="4659365" cy="3131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375771</xdr:colOff>
      <xdr:row>18</xdr:row>
      <xdr:rowOff>180788</xdr:rowOff>
    </xdr:from>
    <xdr:to>
      <xdr:col>8</xdr:col>
      <xdr:colOff>375770</xdr:colOff>
      <xdr:row>32</xdr:row>
      <xdr:rowOff>163286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E7C02-84C1-4B55-9B23-A22D6DC64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1408064</xdr:colOff>
      <xdr:row>35</xdr:row>
      <xdr:rowOff>76200</xdr:rowOff>
    </xdr:from>
    <xdr:to>
      <xdr:col>15</xdr:col>
      <xdr:colOff>227712</xdr:colOff>
      <xdr:row>52</xdr:row>
      <xdr:rowOff>76727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C277E9-8EB7-479C-8FDA-5855D83D5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3864" y="6705600"/>
          <a:ext cx="4623548" cy="3131077"/>
        </a:xfrm>
        <a:prstGeom prst="rect">
          <a:avLst/>
        </a:prstGeom>
      </xdr:spPr>
    </xdr:pic>
    <xdr:clientData/>
  </xdr:twoCellAnchor>
  <xdr:twoCellAnchor editAs="oneCell">
    <xdr:from>
      <xdr:col>0</xdr:col>
      <xdr:colOff>609366</xdr:colOff>
      <xdr:row>34</xdr:row>
      <xdr:rowOff>0</xdr:rowOff>
    </xdr:from>
    <xdr:to>
      <xdr:col>7</xdr:col>
      <xdr:colOff>95496</xdr:colOff>
      <xdr:row>54</xdr:row>
      <xdr:rowOff>149228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7814F9-30EF-4E9F-BD50-FEE26D94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366" y="6445250"/>
          <a:ext cx="5251930" cy="38322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127000</xdr:rowOff>
    </xdr:from>
    <xdr:to>
      <xdr:col>14</xdr:col>
      <xdr:colOff>1710</xdr:colOff>
      <xdr:row>12</xdr:row>
      <xdr:rowOff>165677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BB439-B77F-4EB9-B083-88BD770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127000"/>
          <a:ext cx="7899296" cy="2248477"/>
        </a:xfrm>
        <a:prstGeom prst="rect">
          <a:avLst/>
        </a:prstGeom>
      </xdr:spPr>
    </xdr:pic>
    <xdr:clientData/>
  </xdr:twoCellAnchor>
  <xdr:twoCellAnchor editAs="oneCell">
    <xdr:from>
      <xdr:col>1</xdr:col>
      <xdr:colOff>559055</xdr:colOff>
      <xdr:row>14</xdr:row>
      <xdr:rowOff>56641</xdr:rowOff>
    </xdr:from>
    <xdr:to>
      <xdr:col>10</xdr:col>
      <xdr:colOff>319028</xdr:colOff>
      <xdr:row>32</xdr:row>
      <xdr:rowOff>104699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32D054-C602-487B-BECD-D2BE659B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643" y="2671347"/>
          <a:ext cx="5273267" cy="3409823"/>
        </a:xfrm>
        <a:prstGeom prst="rect">
          <a:avLst/>
        </a:prstGeom>
      </xdr:spPr>
    </xdr:pic>
    <xdr:clientData/>
  </xdr:twoCellAnchor>
  <xdr:twoCellAnchor>
    <xdr:from>
      <xdr:col>14</xdr:col>
      <xdr:colOff>592116</xdr:colOff>
      <xdr:row>6</xdr:row>
      <xdr:rowOff>151740</xdr:rowOff>
    </xdr:from>
    <xdr:to>
      <xdr:col>28</xdr:col>
      <xdr:colOff>301830</xdr:colOff>
      <xdr:row>29</xdr:row>
      <xdr:rowOff>75870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929698-7D33-45A1-9FC4-3A5DB0F6E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177800</xdr:colOff>
      <xdr:row>16</xdr:row>
      <xdr:rowOff>65416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ABA130-B249-43AD-9AA4-812180714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05775" cy="29578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10-backup/Kanas/Kanas_Buck_Design_Cal_11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110-backup/Kanas/Kanas_BuckBoost_Design_Cal_11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ck"/>
      <sheetName val="HV Buck"/>
      <sheetName val="Buck original"/>
    </sheetNames>
    <sheetDataSet>
      <sheetData sheetId="0">
        <row r="6">
          <cell r="R6" t="str">
            <v>Current</v>
          </cell>
        </row>
      </sheetData>
      <sheetData sheetId="1">
        <row r="4">
          <cell r="C4">
            <v>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ckBoost"/>
      <sheetName val="BuckBoost original"/>
    </sheetNames>
    <sheetDataSet>
      <sheetData sheetId="0">
        <row r="6">
          <cell r="P6" t="str">
            <v>Current</v>
          </cell>
        </row>
      </sheetData>
      <sheetData sheetId="1">
        <row r="4">
          <cell r="F4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A568-6C88-43EF-9908-EA88E8566662}">
  <sheetPr codeName="Sheet1"/>
  <dimension ref="A1:F43"/>
  <sheetViews>
    <sheetView tabSelected="1" topLeftCell="A19" zoomScale="115" zoomScaleNormal="115" workbookViewId="0">
      <selection activeCell="D29" sqref="D29"/>
    </sheetView>
  </sheetViews>
  <sheetFormatPr defaultRowHeight="14.5" x14ac:dyDescent="0.35"/>
  <cols>
    <col min="1" max="1" width="13.81640625" customWidth="1"/>
    <col min="2" max="2" width="39.7265625" bestFit="1" customWidth="1"/>
    <col min="3" max="3" width="18.453125" bestFit="1" customWidth="1"/>
    <col min="4" max="4" width="14.1796875" customWidth="1"/>
    <col min="6" max="6" width="66.54296875" style="42" bestFit="1" customWidth="1"/>
  </cols>
  <sheetData>
    <row r="1" spans="1:6" ht="15" thickBot="1" x14ac:dyDescent="0.4"/>
    <row r="2" spans="1:6" ht="15" thickBot="1" x14ac:dyDescent="0.4">
      <c r="A2" s="43" t="s">
        <v>157</v>
      </c>
    </row>
    <row r="3" spans="1:6" ht="15" thickBot="1" x14ac:dyDescent="0.4">
      <c r="A3" s="44" t="s">
        <v>158</v>
      </c>
    </row>
    <row r="4" spans="1:6" ht="15" thickBot="1" x14ac:dyDescent="0.4">
      <c r="A4" s="45" t="s">
        <v>159</v>
      </c>
    </row>
    <row r="5" spans="1:6" ht="15" thickBot="1" x14ac:dyDescent="0.4">
      <c r="B5" s="55"/>
      <c r="C5" s="55"/>
      <c r="D5" s="55"/>
      <c r="E5" s="55"/>
      <c r="F5" s="46" t="s">
        <v>161</v>
      </c>
    </row>
    <row r="6" spans="1:6" ht="15" thickBot="1" x14ac:dyDescent="0.4">
      <c r="B6" s="46" t="s">
        <v>187</v>
      </c>
      <c r="C6" s="46"/>
      <c r="D6" s="57" t="s">
        <v>188</v>
      </c>
      <c r="E6" s="46"/>
      <c r="F6" s="46" t="s">
        <v>201</v>
      </c>
    </row>
    <row r="7" spans="1:6" ht="15" thickBot="1" x14ac:dyDescent="0.4">
      <c r="B7" s="46" t="s">
        <v>0</v>
      </c>
      <c r="C7" s="46" t="s">
        <v>1</v>
      </c>
      <c r="D7" s="57">
        <v>5</v>
      </c>
      <c r="E7" s="46" t="s">
        <v>106</v>
      </c>
      <c r="F7" s="46"/>
    </row>
    <row r="8" spans="1:6" ht="15" thickBot="1" x14ac:dyDescent="0.4">
      <c r="B8" s="46" t="s">
        <v>2</v>
      </c>
      <c r="C8" s="46" t="s">
        <v>3</v>
      </c>
      <c r="D8" s="57">
        <v>450</v>
      </c>
      <c r="E8" s="46" t="s">
        <v>91</v>
      </c>
      <c r="F8" s="46"/>
    </row>
    <row r="9" spans="1:6" ht="15" thickBot="1" x14ac:dyDescent="0.4">
      <c r="B9" s="46" t="s">
        <v>4</v>
      </c>
      <c r="C9" s="46"/>
      <c r="D9" s="57">
        <v>1</v>
      </c>
      <c r="E9" s="46"/>
      <c r="F9" s="46"/>
    </row>
    <row r="10" spans="1:6" ht="15" thickBot="1" x14ac:dyDescent="0.4">
      <c r="B10" s="46" t="s">
        <v>5</v>
      </c>
      <c r="C10" s="46" t="s">
        <v>6</v>
      </c>
      <c r="D10" s="47">
        <f>D9*D8</f>
        <v>450</v>
      </c>
      <c r="E10" s="46" t="s">
        <v>91</v>
      </c>
      <c r="F10" s="46"/>
    </row>
    <row r="11" spans="1:6" ht="15" thickBot="1" x14ac:dyDescent="0.4">
      <c r="B11" s="46" t="s">
        <v>111</v>
      </c>
      <c r="C11" s="46" t="s">
        <v>113</v>
      </c>
      <c r="D11" s="57">
        <v>1</v>
      </c>
      <c r="E11" s="46"/>
      <c r="F11" s="46"/>
    </row>
    <row r="12" spans="1:6" ht="15" thickBot="1" x14ac:dyDescent="0.4">
      <c r="B12" s="46" t="s">
        <v>112</v>
      </c>
      <c r="C12" s="46" t="s">
        <v>114</v>
      </c>
      <c r="D12" s="57">
        <v>1</v>
      </c>
      <c r="E12" s="46"/>
      <c r="F12" s="46"/>
    </row>
    <row r="13" spans="1:6" ht="15" thickBot="1" x14ac:dyDescent="0.4">
      <c r="B13" s="46" t="s">
        <v>7</v>
      </c>
      <c r="C13" s="46" t="s">
        <v>8</v>
      </c>
      <c r="D13" s="47">
        <f>D11*D12*D10</f>
        <v>450</v>
      </c>
      <c r="E13" s="46" t="s">
        <v>91</v>
      </c>
      <c r="F13" s="46"/>
    </row>
    <row r="14" spans="1:6" ht="15" thickBot="1" x14ac:dyDescent="0.4">
      <c r="B14" s="46" t="s">
        <v>9</v>
      </c>
      <c r="C14" s="46" t="s">
        <v>10</v>
      </c>
      <c r="D14" s="57">
        <v>6</v>
      </c>
      <c r="E14" s="46"/>
      <c r="F14" s="46"/>
    </row>
    <row r="15" spans="1:6" ht="15" thickBot="1" x14ac:dyDescent="0.4">
      <c r="B15" s="46" t="s">
        <v>160</v>
      </c>
      <c r="C15" s="46" t="s">
        <v>11</v>
      </c>
      <c r="D15" s="57">
        <v>3.17</v>
      </c>
      <c r="E15" s="46" t="s">
        <v>106</v>
      </c>
      <c r="F15" s="46"/>
    </row>
    <row r="16" spans="1:6" ht="15" thickBot="1" x14ac:dyDescent="0.4">
      <c r="B16" s="46" t="s">
        <v>12</v>
      </c>
      <c r="C16" s="46" t="s">
        <v>13</v>
      </c>
      <c r="D16" s="48">
        <f>D15*D14</f>
        <v>19.02</v>
      </c>
      <c r="E16" s="46" t="s">
        <v>106</v>
      </c>
      <c r="F16" s="46"/>
    </row>
    <row r="17" spans="2:6" ht="15" thickBot="1" x14ac:dyDescent="0.4">
      <c r="B17" s="46" t="s">
        <v>122</v>
      </c>
      <c r="C17" s="46" t="s">
        <v>14</v>
      </c>
      <c r="D17" s="58">
        <v>0.35</v>
      </c>
      <c r="E17" s="46" t="s">
        <v>106</v>
      </c>
      <c r="F17" s="46"/>
    </row>
    <row r="18" spans="2:6" ht="15" thickBot="1" x14ac:dyDescent="0.4">
      <c r="B18" s="46" t="s">
        <v>15</v>
      </c>
      <c r="C18" s="46" t="s">
        <v>16</v>
      </c>
      <c r="D18" s="57">
        <v>0.4</v>
      </c>
      <c r="E18" s="46" t="s">
        <v>107</v>
      </c>
      <c r="F18" s="46"/>
    </row>
    <row r="19" spans="2:6" ht="15" thickBot="1" x14ac:dyDescent="0.4">
      <c r="B19" s="46" t="s">
        <v>123</v>
      </c>
      <c r="C19" s="46" t="s">
        <v>141</v>
      </c>
      <c r="D19" s="47">
        <f>'frequency setting'!F20</f>
        <v>59</v>
      </c>
      <c r="E19" s="46" t="s">
        <v>124</v>
      </c>
      <c r="F19" s="46"/>
    </row>
    <row r="20" spans="2:6" ht="15" thickBot="1" x14ac:dyDescent="0.4">
      <c r="B20" s="46" t="s">
        <v>115</v>
      </c>
      <c r="C20" s="46" t="s">
        <v>17</v>
      </c>
      <c r="D20" s="47">
        <f>IF(D18&lt;1, 22,10)</f>
        <v>22</v>
      </c>
      <c r="E20" s="46" t="s">
        <v>108</v>
      </c>
      <c r="F20" s="46"/>
    </row>
    <row r="21" spans="2:6" ht="15" thickBot="1" x14ac:dyDescent="0.4">
      <c r="B21" s="46" t="s">
        <v>116</v>
      </c>
      <c r="C21" s="46" t="s">
        <v>117</v>
      </c>
      <c r="D21" s="57">
        <v>22</v>
      </c>
      <c r="E21" s="46" t="s">
        <v>108</v>
      </c>
      <c r="F21" s="46"/>
    </row>
    <row r="22" spans="2:6" ht="15" thickBot="1" x14ac:dyDescent="0.4">
      <c r="B22" s="46" t="s">
        <v>200</v>
      </c>
      <c r="C22" s="46" t="s">
        <v>18</v>
      </c>
      <c r="D22" s="58">
        <v>1.2330000000000001E-2</v>
      </c>
      <c r="E22" s="46" t="s">
        <v>121</v>
      </c>
      <c r="F22" s="46"/>
    </row>
    <row r="23" spans="2:6" ht="15" thickBot="1" x14ac:dyDescent="0.4">
      <c r="B23" s="46" t="s">
        <v>137</v>
      </c>
      <c r="C23" s="46" t="s">
        <v>135</v>
      </c>
      <c r="D23" s="48">
        <f>IF(D6="Boost",IF(Boost!Ivalley&gt;=0,Boost!Ipeak_ccm,Boost!Ipeak),IF(BuckBoost!Ivalley&gt;=0,BuckBoost!Ipeak_ccm,BuckBoost!Ipeak))</f>
        <v>2.1578192299511483</v>
      </c>
      <c r="E23" s="46" t="s">
        <v>136</v>
      </c>
      <c r="F23" s="46" t="s">
        <v>202</v>
      </c>
    </row>
    <row r="24" spans="2:6" ht="15" thickBot="1" x14ac:dyDescent="0.4">
      <c r="B24" s="46" t="s">
        <v>138</v>
      </c>
      <c r="C24" s="46" t="s">
        <v>142</v>
      </c>
      <c r="D24" s="48">
        <f>IF(D6="Boost",IF(Boost!Ivalley&gt;=0,Boost!Ipp,Boost!Ipeak),IF(BuckBoost!Ivalley&gt;=0,BuckBoost!Ipp,BuckBoost!Ipeak))</f>
        <v>0.3727352716349363</v>
      </c>
      <c r="E24" s="46" t="s">
        <v>136</v>
      </c>
      <c r="F24" s="46"/>
    </row>
    <row r="25" spans="2:6" ht="15" thickBot="1" x14ac:dyDescent="0.4">
      <c r="B25" s="46" t="s">
        <v>139</v>
      </c>
      <c r="C25" s="46" t="s">
        <v>140</v>
      </c>
      <c r="D25" s="48">
        <f>(D23+D24/2)*1.5</f>
        <v>3.5162802986529247</v>
      </c>
      <c r="E25" s="46" t="s">
        <v>136</v>
      </c>
      <c r="F25" s="46"/>
    </row>
    <row r="26" spans="2:6" ht="15" thickBot="1" x14ac:dyDescent="0.4">
      <c r="B26" s="46" t="s">
        <v>118</v>
      </c>
      <c r="C26" s="46" t="s">
        <v>119</v>
      </c>
      <c r="D26" s="48">
        <f>1000*1000*0.2/D13</f>
        <v>444.44444444444446</v>
      </c>
      <c r="E26" s="46" t="s">
        <v>120</v>
      </c>
      <c r="F26" s="46"/>
    </row>
    <row r="27" spans="2:6" ht="15" thickBot="1" x14ac:dyDescent="0.4">
      <c r="B27" s="46" t="s">
        <v>189</v>
      </c>
      <c r="C27" s="46" t="s">
        <v>190</v>
      </c>
      <c r="D27" s="58">
        <v>400</v>
      </c>
      <c r="E27" s="46" t="s">
        <v>120</v>
      </c>
      <c r="F27" s="46"/>
    </row>
    <row r="28" spans="2:6" ht="15" thickBot="1" x14ac:dyDescent="0.4">
      <c r="B28" s="46" t="s">
        <v>134</v>
      </c>
      <c r="C28" s="46"/>
      <c r="D28" s="48">
        <f>IF(D6="Boost",Boost!K12,BuckBoost!K12)</f>
        <v>0.35591836272873439</v>
      </c>
      <c r="E28" s="46" t="s">
        <v>109</v>
      </c>
      <c r="F28" s="46"/>
    </row>
    <row r="29" spans="2:6" ht="15" thickBot="1" x14ac:dyDescent="0.4">
      <c r="B29" s="46" t="s">
        <v>191</v>
      </c>
      <c r="C29" s="46" t="s">
        <v>194</v>
      </c>
      <c r="D29" s="57">
        <v>500</v>
      </c>
      <c r="E29" s="46" t="s">
        <v>124</v>
      </c>
      <c r="F29" s="46"/>
    </row>
    <row r="30" spans="2:6" ht="15" thickBot="1" x14ac:dyDescent="0.4">
      <c r="B30" s="46" t="s">
        <v>192</v>
      </c>
      <c r="C30" s="46" t="s">
        <v>195</v>
      </c>
      <c r="D30" s="59">
        <v>10</v>
      </c>
      <c r="E30" s="46" t="s">
        <v>124</v>
      </c>
      <c r="F30" s="46"/>
    </row>
    <row r="31" spans="2:6" ht="15" thickBot="1" x14ac:dyDescent="0.4">
      <c r="B31" s="46" t="s">
        <v>193</v>
      </c>
      <c r="C31" s="46"/>
      <c r="D31" s="47" t="str">
        <f>IF(D6="Boost",IF(D16*(D30/(D30+D29))&lt;1.2, "PASS", "FAIL"),IF((D16+D7)*(D30/(D30+D29))&lt;1.2, "PASS", "FAIL"))</f>
        <v>PASS</v>
      </c>
      <c r="E31" s="46"/>
      <c r="F31" s="46"/>
    </row>
    <row r="32" spans="2:6" ht="15" thickBot="1" x14ac:dyDescent="0.4">
      <c r="B32" s="46" t="s">
        <v>130</v>
      </c>
      <c r="C32" s="46"/>
      <c r="D32" s="57" t="s">
        <v>125</v>
      </c>
      <c r="E32" s="46"/>
      <c r="F32" s="46"/>
    </row>
    <row r="33" spans="2:6" ht="15" thickBot="1" x14ac:dyDescent="0.4">
      <c r="B33" s="46" t="s">
        <v>131</v>
      </c>
      <c r="C33" s="46" t="s">
        <v>126</v>
      </c>
      <c r="D33" s="48">
        <f>IF(D6="Boost",Boost!K15,BuckBoost!K15)</f>
        <v>0.79832773030158566</v>
      </c>
      <c r="E33" s="46" t="s">
        <v>109</v>
      </c>
      <c r="F33" s="46"/>
    </row>
    <row r="34" spans="2:6" ht="15" thickBot="1" x14ac:dyDescent="0.4">
      <c r="B34" s="46" t="s">
        <v>132</v>
      </c>
      <c r="C34" s="46" t="s">
        <v>127</v>
      </c>
      <c r="D34" s="48">
        <f>IF(D6="Boost",Boost!K16,BuckBoost!K16)</f>
        <v>23.949831909047571</v>
      </c>
      <c r="E34" s="46" t="s">
        <v>128</v>
      </c>
      <c r="F34" s="46"/>
    </row>
    <row r="35" spans="2:6" ht="15" thickBot="1" x14ac:dyDescent="0.4">
      <c r="B35" s="46" t="s">
        <v>129</v>
      </c>
      <c r="C35" s="46" t="s">
        <v>152</v>
      </c>
      <c r="D35" s="57">
        <v>100</v>
      </c>
      <c r="E35" s="46" t="s">
        <v>128</v>
      </c>
      <c r="F35" s="46" t="s">
        <v>163</v>
      </c>
    </row>
    <row r="36" spans="2:6" ht="15" thickBot="1" x14ac:dyDescent="0.4">
      <c r="B36" s="46" t="s">
        <v>129</v>
      </c>
      <c r="C36" s="46" t="s">
        <v>133</v>
      </c>
      <c r="D36" s="49">
        <f>'thermal foldback'!Z5</f>
        <v>57.586786000001666</v>
      </c>
      <c r="E36" s="46" t="s">
        <v>124</v>
      </c>
      <c r="F36" s="46"/>
    </row>
    <row r="37" spans="2:6" ht="15" thickBot="1" x14ac:dyDescent="0.4">
      <c r="B37" s="46" t="s">
        <v>155</v>
      </c>
      <c r="C37" s="50" t="s">
        <v>156</v>
      </c>
      <c r="D37" s="51">
        <f>IF(D6="Boost",Boost!K19,BuckBoost!K19)</f>
        <v>0.85793434244060518</v>
      </c>
      <c r="E37" s="46"/>
      <c r="F37" s="46" t="s">
        <v>164</v>
      </c>
    </row>
    <row r="38" spans="2:6" ht="15" thickBot="1" x14ac:dyDescent="0.4">
      <c r="B38" s="46" t="s">
        <v>143</v>
      </c>
      <c r="C38" s="46" t="s">
        <v>144</v>
      </c>
      <c r="D38" s="57">
        <v>22</v>
      </c>
      <c r="E38" s="46" t="s">
        <v>110</v>
      </c>
      <c r="F38" s="46" t="s">
        <v>162</v>
      </c>
    </row>
    <row r="39" spans="2:6" ht="15" thickBot="1" x14ac:dyDescent="0.4">
      <c r="B39" s="46" t="s">
        <v>21</v>
      </c>
      <c r="C39" s="46" t="s">
        <v>22</v>
      </c>
      <c r="D39" s="57">
        <v>10</v>
      </c>
      <c r="E39" s="46" t="s">
        <v>110</v>
      </c>
      <c r="F39" s="46"/>
    </row>
    <row r="40" spans="2:6" ht="15" thickBot="1" x14ac:dyDescent="0.4">
      <c r="B40" s="46" t="s">
        <v>23</v>
      </c>
      <c r="C40" s="46" t="s">
        <v>48</v>
      </c>
      <c r="D40" s="57">
        <v>0.01</v>
      </c>
      <c r="E40" s="52" t="s">
        <v>109</v>
      </c>
      <c r="F40" s="46"/>
    </row>
    <row r="41" spans="2:6" ht="15" thickBot="1" x14ac:dyDescent="0.4">
      <c r="B41" s="46" t="s">
        <v>145</v>
      </c>
      <c r="C41" s="46" t="s">
        <v>147</v>
      </c>
      <c r="D41" s="57">
        <v>25</v>
      </c>
      <c r="E41" s="46" t="s">
        <v>196</v>
      </c>
      <c r="F41" s="46"/>
    </row>
    <row r="42" spans="2:6" ht="15" thickBot="1" x14ac:dyDescent="0.4">
      <c r="B42" s="46" t="s">
        <v>146</v>
      </c>
      <c r="C42" s="46" t="s">
        <v>148</v>
      </c>
      <c r="D42" s="48">
        <f>IF(D6="Boost",Boost!C12,BuckBoost!C12)*100</f>
        <v>1.164797723859176</v>
      </c>
      <c r="E42" s="46" t="s">
        <v>196</v>
      </c>
      <c r="F42" s="46" t="s">
        <v>165</v>
      </c>
    </row>
    <row r="43" spans="2:6" ht="15" thickBot="1" x14ac:dyDescent="0.4">
      <c r="B43" s="56" t="s">
        <v>197</v>
      </c>
      <c r="C43" s="56" t="s">
        <v>198</v>
      </c>
      <c r="D43" s="48">
        <f>Boost!D*(1-Boost!D)*Boost!IL/(Boost!FS*0.3)*1000000</f>
        <v>2.8940317352851155</v>
      </c>
      <c r="E43" s="56" t="s">
        <v>110</v>
      </c>
      <c r="F43" s="46" t="s">
        <v>199</v>
      </c>
    </row>
  </sheetData>
  <sheetProtection algorithmName="SHA-512" hashValue="x32RZn0mi8jiJkMlNkVQyPKOSmiM2eJ5zBwKQUvOOBg718rJWkYVyyzze9Z+ZXfGRvBKlPqEFqjD2gC7Xo/Kpw==" saltValue="unjvTuvqDN1kljIk/Ev+2Q==" spinCount="100000" sheet="1" objects="1" scenarios="1" selectLockedCells="1"/>
  <dataValidations count="3">
    <dataValidation type="list" allowBlank="1" showInputMessage="1" showErrorMessage="1" sqref="D32" xr:uid="{8BDD0D01-3AFD-4D0E-BD1A-29907A04C523}">
      <formula1>"VSON, WSON, SOT"</formula1>
    </dataValidation>
    <dataValidation type="list" allowBlank="1" showInputMessage="1" showErrorMessage="1" sqref="D18" xr:uid="{3C80B117-8450-4C8C-863C-7BC3B1FC2A19}">
      <formula1>"0.1,0.2,0.3,0.4,0.6,0.8,1,1.2,1.5,1.8,2.2"</formula1>
    </dataValidation>
    <dataValidation type="list" allowBlank="1" showInputMessage="1" showErrorMessage="1" sqref="D6" xr:uid="{33A61AC5-7C75-4D76-8794-F17749EB0801}">
      <formula1>"Boost, Buck-Boost"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0AEF-6A1C-45D9-81E9-34F7AB419930}">
  <sheetPr codeName="Sheet2"/>
  <dimension ref="A1:AD45"/>
  <sheetViews>
    <sheetView zoomScaleNormal="100" workbookViewId="0">
      <selection activeCell="Q28" sqref="Q28"/>
    </sheetView>
  </sheetViews>
  <sheetFormatPr defaultColWidth="9.1796875" defaultRowHeight="14.5" x14ac:dyDescent="0.35"/>
  <cols>
    <col min="1" max="2" width="9.1796875" style="3"/>
    <col min="3" max="3" width="12.1796875" style="3" bestFit="1" customWidth="1"/>
    <col min="4" max="4" width="11.453125" style="3" customWidth="1"/>
    <col min="5" max="5" width="9.81640625" style="3" customWidth="1"/>
    <col min="6" max="6" width="10.81640625" style="3" customWidth="1"/>
    <col min="7" max="7" width="9.81640625" style="3" customWidth="1"/>
    <col min="8" max="9" width="9.1796875" style="3"/>
    <col min="10" max="10" width="26.54296875" style="3" customWidth="1"/>
    <col min="11" max="11" width="9.453125" style="3" customWidth="1"/>
    <col min="12" max="12" width="10.453125" style="3" customWidth="1"/>
    <col min="13" max="13" width="12" style="3" bestFit="1" customWidth="1"/>
    <col min="14" max="14" width="29.54296875" style="3" bestFit="1" customWidth="1"/>
    <col min="15" max="15" width="9.1796875" style="3"/>
    <col min="16" max="16" width="16.54296875" style="3" customWidth="1"/>
    <col min="17" max="23" width="9.1796875" style="3"/>
    <col min="24" max="24" width="11" style="3" customWidth="1"/>
    <col min="25" max="25" width="9.1796875" style="3"/>
    <col min="26" max="26" width="12.81640625" style="3" bestFit="1" customWidth="1"/>
    <col min="27" max="27" width="11.54296875" style="3" customWidth="1"/>
    <col min="28" max="28" width="11" style="3" customWidth="1"/>
    <col min="29" max="16384" width="9.1796875" style="3"/>
  </cols>
  <sheetData>
    <row r="1" spans="1:28" x14ac:dyDescent="0.35">
      <c r="A1" s="2"/>
      <c r="D1" s="4" t="s">
        <v>167</v>
      </c>
      <c r="E1" s="4"/>
      <c r="F1" s="4"/>
      <c r="G1" s="4"/>
      <c r="H1" s="4"/>
      <c r="P1" s="7" t="s">
        <v>168</v>
      </c>
    </row>
    <row r="2" spans="1:28" x14ac:dyDescent="0.35">
      <c r="P2" s="5">
        <v>2E-8</v>
      </c>
    </row>
    <row r="3" spans="1:28" ht="16.5" x14ac:dyDescent="0.4">
      <c r="A3" s="3" t="s">
        <v>169</v>
      </c>
      <c r="B3" s="6" t="s">
        <v>32</v>
      </c>
      <c r="C3" s="6" t="s">
        <v>33</v>
      </c>
      <c r="D3" s="6" t="s">
        <v>34</v>
      </c>
      <c r="E3" s="6" t="s">
        <v>166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  <c r="M3" s="7" t="s">
        <v>42</v>
      </c>
      <c r="N3" s="8" t="s">
        <v>43</v>
      </c>
      <c r="O3" s="9" t="s">
        <v>44</v>
      </c>
      <c r="P3" s="7" t="s">
        <v>45</v>
      </c>
      <c r="Q3" s="9" t="s">
        <v>46</v>
      </c>
      <c r="R3" s="9" t="s">
        <v>47</v>
      </c>
    </row>
    <row r="4" spans="1:28" x14ac:dyDescent="0.35">
      <c r="A4" s="3">
        <v>25</v>
      </c>
      <c r="B4" s="10">
        <f>IF('Main Table'!D6="Boost",'Main Table'!D7,0)</f>
        <v>5</v>
      </c>
      <c r="C4" s="10">
        <f>IF('Main Table'!D6="Boost",'Main Table'!D16,0)</f>
        <v>19.02</v>
      </c>
      <c r="D4" s="10">
        <f>IF('Main Table'!D6="Boost",'Main Table'!D22,0)</f>
        <v>1.2330000000000001E-2</v>
      </c>
      <c r="E4" s="10">
        <v>0.15</v>
      </c>
      <c r="F4" s="10">
        <f>IF('Main Table'!D6="Boost",'Main Table'!D27/1000,0)</f>
        <v>0.4</v>
      </c>
      <c r="G4" s="10">
        <v>0.01</v>
      </c>
      <c r="H4" s="10">
        <f>IF('Main Table'!D6="Boost",'Main Table'!D17,0)</f>
        <v>0.35</v>
      </c>
      <c r="I4" s="10">
        <f>IF('Main Table'!D6="Boost",'Main Table'!D13/1000,0)</f>
        <v>0.45</v>
      </c>
      <c r="J4" s="11">
        <f>IF('Main Table'!D6="Boost",'Main Table'!D21*0.000001,0)</f>
        <v>2.1999999999999999E-5</v>
      </c>
      <c r="K4" s="12">
        <f>IF('Main Table'!D6="Boost",'Main Table'!D18*1000000,0)</f>
        <v>400000</v>
      </c>
      <c r="L4" s="6"/>
      <c r="M4" s="7">
        <f>1/FS</f>
        <v>2.5000000000000002E-6</v>
      </c>
      <c r="N4" s="8" t="str">
        <f>IF(Ivalley&gt;=0,"CCM","DCM")</f>
        <v>CCM</v>
      </c>
      <c r="O4" s="7">
        <f>IF('Main Table'!D32="VSON",30,IF('Main Table'!D32="WSON",47.4, 154))</f>
        <v>30</v>
      </c>
      <c r="P4" s="5">
        <v>2E-8</v>
      </c>
      <c r="R4" s="13">
        <v>1.0000000000000001E-5</v>
      </c>
      <c r="T4" s="3" t="s">
        <v>49</v>
      </c>
    </row>
    <row r="5" spans="1:28" ht="15" thickBot="1" x14ac:dyDescent="0.4">
      <c r="J5" s="15" t="s">
        <v>170</v>
      </c>
      <c r="K5" s="16">
        <f>IF(Ivalley&gt;=0, 0.5*(VO+VD)*Ivalley*FS*MOS_On_time_s+0.5*(VO+VD)*Ipeak_ccm*FS*MOS_Off_time_s,0.5*(VO+VD)*Ipeak*FS*MOS_Off_time_s)</f>
        <v>0.30549613902695516</v>
      </c>
      <c r="M5" s="7"/>
      <c r="N5" s="7"/>
      <c r="O5" s="7"/>
      <c r="P5" s="7"/>
      <c r="T5" s="3" t="s">
        <v>50</v>
      </c>
      <c r="U5" s="3" t="s">
        <v>171</v>
      </c>
      <c r="V5" s="3" t="s">
        <v>53</v>
      </c>
      <c r="W5" s="3" t="s">
        <v>54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</row>
    <row r="6" spans="1:28" ht="15" thickBot="1" x14ac:dyDescent="0.4">
      <c r="B6" s="17" t="s">
        <v>171</v>
      </c>
      <c r="C6" s="18">
        <f>U15</f>
        <v>0.22825820392396934</v>
      </c>
      <c r="G6" s="17" t="s">
        <v>61</v>
      </c>
      <c r="H6" s="19">
        <f>U45</f>
        <v>1.307287508580388E-50</v>
      </c>
      <c r="J6" s="20" t="s">
        <v>62</v>
      </c>
      <c r="K6" s="21">
        <f>IF(Ivalley&gt;=0, (IL*IL+Ipp*Ipp/12)*RDS_ON*D, (ILD*ILD+Ipeak*Ipeak/12)*RDS_ON*D1_)</f>
        <v>0.45126046696256861</v>
      </c>
      <c r="M6" s="7" t="s">
        <v>63</v>
      </c>
      <c r="N6" s="7" t="s">
        <v>64</v>
      </c>
      <c r="O6" s="7" t="s">
        <v>64</v>
      </c>
      <c r="P6" s="7" t="s">
        <v>65</v>
      </c>
      <c r="S6" s="3">
        <v>1</v>
      </c>
      <c r="T6" s="22">
        <f>(VO+VD)/VIN*ILOAD</f>
        <v>1.7433000000000001</v>
      </c>
      <c r="U6" s="18">
        <f t="shared" ref="U6:U26" si="0">ILOAD/T6</f>
        <v>0.25813113061435211</v>
      </c>
      <c r="V6" s="3">
        <f t="shared" ref="V6:V26" si="1">(VO+VD-VIN)*U6/L/FS</f>
        <v>0.4215164030600273</v>
      </c>
      <c r="W6" s="3">
        <f>IF(T6-V6/2&gt;0, T6-V6/2,0)</f>
        <v>1.5325417984699865</v>
      </c>
      <c r="X6" s="13">
        <f>(VO+VD)*W6*FS*P$4</f>
        <v>0.23748267709090914</v>
      </c>
      <c r="Y6" s="3">
        <f>(T6*T6+V6*V6/12)*RDS_ON*(1-U6)</f>
        <v>0.33983913788923548</v>
      </c>
      <c r="Z6" s="3">
        <f t="shared" ref="Z6:Z26" si="2">(T6*T6+V6*V6/12)*RD*(U6)+VD*T6*(U6)</f>
        <v>0.16538306977242487</v>
      </c>
      <c r="AA6" s="3">
        <f t="shared" ref="AA6:AA26" si="3">RL*(T6*T6+V6*V6/12)</f>
        <v>3.7654602163895004E-2</v>
      </c>
      <c r="AB6" s="3">
        <f>(T6*T6+V6*V6/12)*$F$4*U6</f>
        <v>0.31532279089699428</v>
      </c>
    </row>
    <row r="7" spans="1:28" ht="15" thickBot="1" x14ac:dyDescent="0.4">
      <c r="B7" s="23" t="s">
        <v>50</v>
      </c>
      <c r="C7" s="22">
        <f>T15</f>
        <v>1.9714515941336803</v>
      </c>
      <c r="G7" s="23" t="s">
        <v>66</v>
      </c>
      <c r="H7" s="22">
        <f>R45</f>
        <v>3.9271193888834448E+100</v>
      </c>
      <c r="J7" s="20" t="s">
        <v>67</v>
      </c>
      <c r="K7" s="21">
        <f>(G15*VO^2+0.5*G17*VO^2+G16*(VIN+VO)*VO)*FS/1000000000000</f>
        <v>3.1571124312061855E-2</v>
      </c>
      <c r="M7" s="7">
        <v>0</v>
      </c>
      <c r="N7" s="7">
        <f t="shared" ref="N7:N13" si="4">M7*TS</f>
        <v>0</v>
      </c>
      <c r="O7" s="7">
        <f>N7*1000000</f>
        <v>0</v>
      </c>
      <c r="P7" s="7">
        <f>IF(Ivalley&gt;=0,Ivalley,0)</f>
        <v>1.7850839583162121</v>
      </c>
      <c r="S7" s="3">
        <v>2</v>
      </c>
      <c r="T7" s="3">
        <f t="shared" ref="T7:T26" si="5">(VO*ILOAD+X6+Y6+Z6+AA6+AB6)/VIN</f>
        <v>1.9309364555626918</v>
      </c>
      <c r="U7" s="18">
        <f t="shared" si="0"/>
        <v>0.2330475447307592</v>
      </c>
      <c r="V7" s="3">
        <f t="shared" si="1"/>
        <v>0.38055604747511473</v>
      </c>
      <c r="W7" s="3">
        <f t="shared" ref="W7:W26" si="6">IF(T7-V7/2&gt;0, T7-V7/2,0)</f>
        <v>1.7406584318251344</v>
      </c>
      <c r="X7" s="13">
        <f t="shared" ref="X7:X26" si="7">(VO+VD)*W7*FS*P$4</f>
        <v>0.2697324305956228</v>
      </c>
      <c r="Y7" s="3">
        <f t="shared" ref="Y7:Y26" si="8">(T7*T7+V7*V7/12)*RDS_ON*(1-U7)</f>
        <v>0.43032753209736946</v>
      </c>
      <c r="Z7" s="3">
        <f t="shared" si="2"/>
        <v>0.16621733956877704</v>
      </c>
      <c r="AA7" s="3">
        <f t="shared" si="3"/>
        <v>4.6121402826705876E-2</v>
      </c>
      <c r="AB7" s="3">
        <f t="shared" ref="AB7:AB26" si="9">(T7*T7+V7*V7/12)*$F$4*U7</f>
        <v>0.34869358275108198</v>
      </c>
    </row>
    <row r="8" spans="1:28" ht="15" thickBot="1" x14ac:dyDescent="0.4">
      <c r="B8" s="23" t="s">
        <v>52</v>
      </c>
      <c r="C8" s="22">
        <f>1-Dbar</f>
        <v>0.77174179607603066</v>
      </c>
      <c r="G8" s="23" t="s">
        <v>69</v>
      </c>
      <c r="H8" s="22">
        <f>W45</f>
        <v>4.5486691321516634E-51</v>
      </c>
      <c r="J8" s="20" t="s">
        <v>70</v>
      </c>
      <c r="K8" s="21">
        <f>IF(Ivalley&gt;=0,  (IL*IL+Ipp*Ipp/12)*RD*Dbar+VD*IL*Dbar, (ILD*ILD+Ipeak*Ipeak/12)*RD*D2_+VD*ILD*D2_)</f>
        <v>0.16639795906821836</v>
      </c>
      <c r="M8" s="7">
        <f>IF(Ivalley&gt;=0,D,D1_)</f>
        <v>0.77174179607603066</v>
      </c>
      <c r="N8" s="7">
        <f t="shared" si="4"/>
        <v>1.9293544901900767E-6</v>
      </c>
      <c r="O8" s="7">
        <f t="shared" ref="O8:O13" si="10">N8*1000000</f>
        <v>1.9293544901900768</v>
      </c>
      <c r="P8" s="7">
        <f>IF(Ivalley&gt;=0,Ivalley+Ipp,Ipeak)</f>
        <v>2.1578192299511483</v>
      </c>
      <c r="S8" s="3">
        <v>3</v>
      </c>
      <c r="T8" s="3">
        <f t="shared" si="5"/>
        <v>1.9640184575679112</v>
      </c>
      <c r="U8" s="18">
        <f t="shared" si="0"/>
        <v>0.22912208297535314</v>
      </c>
      <c r="V8" s="3">
        <f t="shared" si="1"/>
        <v>0.37414594685861646</v>
      </c>
      <c r="W8" s="3">
        <f t="shared" si="6"/>
        <v>1.776945484138603</v>
      </c>
      <c r="X8" s="13">
        <f t="shared" si="7"/>
        <v>0.27535547222211798</v>
      </c>
      <c r="Y8" s="3">
        <f t="shared" si="8"/>
        <v>0.4473829230059711</v>
      </c>
      <c r="Z8" s="3">
        <f t="shared" si="2"/>
        <v>0.1663648111409019</v>
      </c>
      <c r="AA8" s="3">
        <f t="shared" si="3"/>
        <v>4.7705188407822875E-2</v>
      </c>
      <c r="AB8" s="3">
        <f t="shared" si="9"/>
        <v>0.35459244563607611</v>
      </c>
    </row>
    <row r="9" spans="1:28" ht="15" thickBot="1" x14ac:dyDescent="0.4">
      <c r="B9" s="23" t="s">
        <v>53</v>
      </c>
      <c r="C9" s="24">
        <f>(VO+VD-VIN)*Dbar/L/FS</f>
        <v>0.3727352716349363</v>
      </c>
      <c r="D9" s="3" t="s">
        <v>172</v>
      </c>
      <c r="E9" s="3">
        <f>(IL^2+Ipp^2/12)^0.5</f>
        <v>1.9743857322989413</v>
      </c>
      <c r="G9" s="23" t="s">
        <v>71</v>
      </c>
      <c r="H9" s="22">
        <f>V45</f>
        <v>7.4277699351158418E-51</v>
      </c>
      <c r="J9" s="20" t="s">
        <v>72</v>
      </c>
      <c r="K9" s="21">
        <f>G14*VIN^2*FS/1000000000000</f>
        <v>8.0000000000000004E-4</v>
      </c>
      <c r="M9" s="7">
        <f>IF(Ivalley&gt;=0,1,D1_+D2_)</f>
        <v>1</v>
      </c>
      <c r="N9" s="7">
        <f t="shared" si="4"/>
        <v>2.5000000000000002E-6</v>
      </c>
      <c r="O9" s="7">
        <f t="shared" si="10"/>
        <v>2.5</v>
      </c>
      <c r="P9" s="7">
        <f>IF(Ivalley&gt;=0,Ivalley,0)</f>
        <v>1.7850839583162121</v>
      </c>
      <c r="S9" s="3">
        <v>4</v>
      </c>
      <c r="T9" s="3">
        <f t="shared" si="5"/>
        <v>1.9700801680825779</v>
      </c>
      <c r="U9" s="18">
        <f t="shared" si="0"/>
        <v>0.22841710062894141</v>
      </c>
      <c r="V9" s="3">
        <f t="shared" si="1"/>
        <v>0.37299474273157823</v>
      </c>
      <c r="W9" s="3">
        <f t="shared" si="6"/>
        <v>1.7835827967167888</v>
      </c>
      <c r="X9" s="13">
        <f t="shared" si="7"/>
        <v>0.2763839901792336</v>
      </c>
      <c r="Y9" s="3">
        <f t="shared" si="8"/>
        <v>0.45054380059451515</v>
      </c>
      <c r="Z9" s="3">
        <f t="shared" si="2"/>
        <v>0.16639184287884295</v>
      </c>
      <c r="AA9" s="3">
        <f t="shared" si="3"/>
        <v>4.7998342678482492E-2</v>
      </c>
      <c r="AB9" s="3">
        <f t="shared" si="9"/>
        <v>0.35567371515371771</v>
      </c>
    </row>
    <row r="10" spans="1:28" ht="15" thickBot="1" x14ac:dyDescent="0.4">
      <c r="B10" s="23" t="s">
        <v>54</v>
      </c>
      <c r="C10" s="24">
        <f>ILOAD/Dbar-Ipp/2</f>
        <v>1.7850839583162121</v>
      </c>
      <c r="D10" s="3" t="s">
        <v>71</v>
      </c>
      <c r="E10" s="25">
        <f>IL+Ipp/2</f>
        <v>2.1578192299511483</v>
      </c>
      <c r="F10" s="25"/>
      <c r="G10" s="26" t="s">
        <v>73</v>
      </c>
      <c r="H10" s="27">
        <f>1-D1_-D2_</f>
        <v>1</v>
      </c>
      <c r="J10" s="20" t="s">
        <v>74</v>
      </c>
      <c r="K10" s="21">
        <f>IF(Ivalley&gt;=0, RL*(IL*IL+Ipp*Ipp/12), RL*(ILD*ILD+Ipeak*Ipeak/12))</f>
        <v>4.8064793915436381E-2</v>
      </c>
      <c r="M10" s="7">
        <v>1</v>
      </c>
      <c r="N10" s="7">
        <f>M10*TS</f>
        <v>2.5000000000000002E-6</v>
      </c>
      <c r="O10" s="7">
        <f>N10*1000000</f>
        <v>2.5</v>
      </c>
      <c r="P10" s="7">
        <f>IF(Ivalley&gt;=0, Ivalley,0)</f>
        <v>1.7850839583162121</v>
      </c>
      <c r="S10" s="3">
        <v>5</v>
      </c>
      <c r="T10" s="3">
        <f t="shared" si="5"/>
        <v>1.9711983382969582</v>
      </c>
      <c r="U10" s="18">
        <f t="shared" si="0"/>
        <v>0.22828753010657629</v>
      </c>
      <c r="V10" s="3">
        <f t="shared" si="1"/>
        <v>0.37278315995812517</v>
      </c>
      <c r="W10" s="3">
        <f t="shared" si="6"/>
        <v>1.7848067583178957</v>
      </c>
      <c r="X10" s="13">
        <f t="shared" si="7"/>
        <v>0.27657365526894118</v>
      </c>
      <c r="Y10" s="3">
        <f t="shared" si="8"/>
        <v>0.45112808032864449</v>
      </c>
      <c r="Z10" s="3">
        <f t="shared" si="2"/>
        <v>0.16639682960409424</v>
      </c>
      <c r="AA10" s="3">
        <f t="shared" si="3"/>
        <v>4.8052519104862773E-2</v>
      </c>
      <c r="AB10" s="3">
        <f t="shared" si="9"/>
        <v>0.35587318416376945</v>
      </c>
    </row>
    <row r="11" spans="1:28" ht="15" thickBot="1" x14ac:dyDescent="0.4">
      <c r="B11" s="60" t="s">
        <v>49</v>
      </c>
      <c r="C11" s="61"/>
      <c r="D11" s="61"/>
      <c r="E11" s="62"/>
      <c r="F11" s="28"/>
      <c r="G11" s="29" t="s">
        <v>75</v>
      </c>
      <c r="H11" s="27"/>
      <c r="J11" s="20" t="s">
        <v>76</v>
      </c>
      <c r="K11" s="21">
        <f>18.1*10^(-6)*FS^1.155*(0.06374*IF(Ivalley&gt;=0,Ipeak_ccm,Ipeak))^2.378/10</f>
        <v>4.7779054586694091E-2</v>
      </c>
      <c r="M11" s="7">
        <f>IF(Ivalley&gt;=0,1+D,1+D1_)</f>
        <v>1.7717417960760307</v>
      </c>
      <c r="N11" s="7">
        <f t="shared" si="4"/>
        <v>4.4293544901900769E-6</v>
      </c>
      <c r="O11" s="7">
        <f t="shared" si="10"/>
        <v>4.429354490190077</v>
      </c>
      <c r="P11" s="7">
        <f>IF(Ivalley&gt;=0, Ivalley+Ipp,Ipeak)</f>
        <v>2.1578192299511483</v>
      </c>
      <c r="S11" s="3">
        <v>6</v>
      </c>
      <c r="T11" s="3">
        <f t="shared" si="5"/>
        <v>1.971404853694062</v>
      </c>
      <c r="U11" s="18">
        <f t="shared" si="0"/>
        <v>0.22826361574426485</v>
      </c>
      <c r="V11" s="3">
        <f t="shared" si="1"/>
        <v>0.37274410889148707</v>
      </c>
      <c r="W11" s="3">
        <f t="shared" si="6"/>
        <v>1.7850327992483186</v>
      </c>
      <c r="X11" s="13">
        <f t="shared" si="7"/>
        <v>0.27660868257151949</v>
      </c>
      <c r="Y11" s="3">
        <f t="shared" si="8"/>
        <v>0.45123603246969413</v>
      </c>
      <c r="Z11" s="3">
        <f t="shared" si="2"/>
        <v>0.16639775061596654</v>
      </c>
      <c r="AA11" s="3">
        <f t="shared" si="3"/>
        <v>4.8062528378495603E-2</v>
      </c>
      <c r="AB11" s="3">
        <f t="shared" si="9"/>
        <v>0.35591002463866167</v>
      </c>
    </row>
    <row r="12" spans="1:28" ht="15" thickBot="1" x14ac:dyDescent="0.4">
      <c r="B12" s="3" t="s">
        <v>77</v>
      </c>
      <c r="C12" s="13">
        <f>Ipp/(8*FS*R4)</f>
        <v>1.164797723859176E-2</v>
      </c>
      <c r="E12" s="3">
        <f>TS*Dbar*10^9</f>
        <v>570.6455098099234</v>
      </c>
      <c r="G12" s="3" t="s">
        <v>77</v>
      </c>
      <c r="H12" s="13">
        <f>Ipeak*(D1_+D2_)/(2*R4*FS)</f>
        <v>1.6361097044055571E-101</v>
      </c>
      <c r="J12" s="20" t="s">
        <v>78</v>
      </c>
      <c r="K12" s="21">
        <f>IF(Ivalley&gt;=0, (IL*IL+Ipp*Ipp/12)*F4*Dbar,  (ILD*ILD+Ipeak*Ipeak/12)*F4*D2_)</f>
        <v>0.35591836272873439</v>
      </c>
      <c r="M12" s="7">
        <f>IF(Ivalley&gt;=0,2,1+D1_+D2_)</f>
        <v>2</v>
      </c>
      <c r="N12" s="7">
        <f t="shared" si="4"/>
        <v>5.0000000000000004E-6</v>
      </c>
      <c r="O12" s="7">
        <f>N12*1000000</f>
        <v>5</v>
      </c>
      <c r="P12" s="7">
        <f>IF(Ivalley&gt;=0, Ivalley,0)</f>
        <v>1.7850839583162121</v>
      </c>
      <c r="S12" s="3">
        <v>7</v>
      </c>
      <c r="T12" s="3">
        <f t="shared" si="5"/>
        <v>1.9714430037348674</v>
      </c>
      <c r="U12" s="18">
        <f t="shared" si="0"/>
        <v>0.22825919854009585</v>
      </c>
      <c r="V12" s="3">
        <f t="shared" si="1"/>
        <v>0.37273689579786112</v>
      </c>
      <c r="W12" s="3">
        <f t="shared" si="6"/>
        <v>1.7850745558359369</v>
      </c>
      <c r="X12" s="13">
        <f t="shared" si="7"/>
        <v>0.27661515317233681</v>
      </c>
      <c r="Y12" s="3">
        <f t="shared" si="8"/>
        <v>0.45125597611162338</v>
      </c>
      <c r="Z12" s="3">
        <f t="shared" si="2"/>
        <v>0.1663979207568842</v>
      </c>
      <c r="AA12" s="3">
        <f t="shared" si="3"/>
        <v>4.806437752961365E-2</v>
      </c>
      <c r="AB12" s="3">
        <f t="shared" si="9"/>
        <v>0.35591683027536752</v>
      </c>
    </row>
    <row r="13" spans="1:28" ht="15" thickBot="1" x14ac:dyDescent="0.4">
      <c r="J13" s="20" t="s">
        <v>79</v>
      </c>
      <c r="K13" s="21">
        <f>ILOAD*L4</f>
        <v>0</v>
      </c>
      <c r="M13" s="7">
        <v>2</v>
      </c>
      <c r="N13" s="7">
        <f t="shared" si="4"/>
        <v>5.0000000000000004E-6</v>
      </c>
      <c r="O13" s="7">
        <f t="shared" si="10"/>
        <v>5</v>
      </c>
      <c r="P13" s="7">
        <f>IF(Ivalley&gt;=0, Ivalley,0)</f>
        <v>1.7850839583162121</v>
      </c>
      <c r="S13" s="3">
        <v>8</v>
      </c>
      <c r="T13" s="3">
        <f t="shared" si="5"/>
        <v>1.9714500515691646</v>
      </c>
      <c r="U13" s="18">
        <f t="shared" si="0"/>
        <v>0.22825838252499728</v>
      </c>
      <c r="V13" s="3">
        <f t="shared" si="1"/>
        <v>0.37273556328229673</v>
      </c>
      <c r="W13" s="3">
        <f t="shared" si="6"/>
        <v>1.7850822699280162</v>
      </c>
      <c r="X13" s="13">
        <f t="shared" si="7"/>
        <v>0.2766163485480454</v>
      </c>
      <c r="Y13" s="3">
        <f t="shared" si="8"/>
        <v>0.45125966054583044</v>
      </c>
      <c r="Z13" s="3">
        <f t="shared" si="2"/>
        <v>0.16639795218871137</v>
      </c>
      <c r="AA13" s="3">
        <f t="shared" si="3"/>
        <v>4.8064719145548419E-2</v>
      </c>
      <c r="AB13" s="3">
        <f t="shared" si="9"/>
        <v>0.35591808754845583</v>
      </c>
    </row>
    <row r="14" spans="1:28" ht="15" thickBot="1" x14ac:dyDescent="0.4">
      <c r="B14" s="3" t="s">
        <v>173</v>
      </c>
      <c r="C14" s="3">
        <f>VIN*0.01</f>
        <v>0.05</v>
      </c>
      <c r="E14" s="30" t="s">
        <v>19</v>
      </c>
      <c r="F14" s="31" t="s">
        <v>20</v>
      </c>
      <c r="G14" s="31">
        <v>80</v>
      </c>
      <c r="H14" s="32" t="s">
        <v>81</v>
      </c>
      <c r="J14" s="20" t="s">
        <v>80</v>
      </c>
      <c r="K14" s="21">
        <f>G18*VIN/1000</f>
        <v>0.01</v>
      </c>
      <c r="M14" s="7"/>
      <c r="N14" s="7"/>
      <c r="O14" s="7"/>
      <c r="P14" s="7"/>
      <c r="S14" s="3">
        <v>9</v>
      </c>
      <c r="T14" s="3">
        <f t="shared" si="5"/>
        <v>1.9714513535953184</v>
      </c>
      <c r="U14" s="18">
        <f t="shared" si="0"/>
        <v>0.22825823177393598</v>
      </c>
      <c r="V14" s="3">
        <f t="shared" si="1"/>
        <v>0.37273531711266594</v>
      </c>
      <c r="W14" s="3">
        <f t="shared" si="6"/>
        <v>1.7850836950389855</v>
      </c>
      <c r="X14" s="13">
        <f t="shared" si="7"/>
        <v>0.2766165693832412</v>
      </c>
      <c r="Y14" s="3">
        <f t="shared" si="8"/>
        <v>0.45126034121467795</v>
      </c>
      <c r="Z14" s="3">
        <f t="shared" si="2"/>
        <v>0.16639795799546883</v>
      </c>
      <c r="AA14" s="3">
        <f t="shared" si="3"/>
        <v>4.8064782256259611E-2</v>
      </c>
      <c r="AB14" s="3">
        <f t="shared" si="9"/>
        <v>0.35591831981875333</v>
      </c>
    </row>
    <row r="15" spans="1:28" ht="15" thickBot="1" x14ac:dyDescent="0.4">
      <c r="B15" s="3" t="s">
        <v>144</v>
      </c>
      <c r="C15" s="3">
        <f>Ipp/(8*FS*C14)</f>
        <v>2.3295954477183519E-6</v>
      </c>
      <c r="E15" s="34" t="s">
        <v>24</v>
      </c>
      <c r="F15" s="1" t="s">
        <v>25</v>
      </c>
      <c r="G15" s="1">
        <f>90/RDS_ON/5</f>
        <v>120</v>
      </c>
      <c r="H15" s="35" t="s">
        <v>81</v>
      </c>
      <c r="J15" s="20" t="s">
        <v>82</v>
      </c>
      <c r="K15" s="33">
        <f>SUM(K5:K7)+K14</f>
        <v>0.79832773030158566</v>
      </c>
      <c r="M15" s="3" t="s">
        <v>83</v>
      </c>
      <c r="N15" s="3" t="s">
        <v>174</v>
      </c>
      <c r="O15" s="7"/>
      <c r="P15" s="7"/>
      <c r="S15" s="3">
        <v>10</v>
      </c>
      <c r="T15" s="3">
        <f t="shared" si="5"/>
        <v>1.9714515941336803</v>
      </c>
      <c r="U15" s="18">
        <f t="shared" si="0"/>
        <v>0.22825820392396934</v>
      </c>
      <c r="V15" s="3">
        <f t="shared" si="1"/>
        <v>0.3727352716349363</v>
      </c>
      <c r="W15" s="3">
        <f t="shared" si="6"/>
        <v>1.7850839583162121</v>
      </c>
      <c r="X15" s="13">
        <f t="shared" si="7"/>
        <v>0.27661661018068029</v>
      </c>
      <c r="Y15" s="3">
        <f t="shared" si="8"/>
        <v>0.45126046696256861</v>
      </c>
      <c r="Z15" s="3">
        <f t="shared" si="2"/>
        <v>0.16639795906821836</v>
      </c>
      <c r="AA15" s="3">
        <f t="shared" si="3"/>
        <v>4.8064793915436381E-2</v>
      </c>
      <c r="AB15" s="3">
        <f t="shared" si="9"/>
        <v>0.35591836272873439</v>
      </c>
    </row>
    <row r="16" spans="1:28" ht="15" thickBot="1" x14ac:dyDescent="0.4">
      <c r="B16" s="3" t="s">
        <v>175</v>
      </c>
      <c r="C16" s="3">
        <f>(Ipp^2/12)^0.5</f>
        <v>0.10759940470744937</v>
      </c>
      <c r="E16" s="34" t="s">
        <v>26</v>
      </c>
      <c r="F16" s="1" t="s">
        <v>27</v>
      </c>
      <c r="G16" s="36">
        <f>190/RDS_ON/SQRT((60+5)*5)</f>
        <v>70.262024855195691</v>
      </c>
      <c r="H16" s="35" t="s">
        <v>81</v>
      </c>
      <c r="J16" s="20" t="s">
        <v>84</v>
      </c>
      <c r="K16" s="21">
        <f>K15*O4</f>
        <v>23.949831909047571</v>
      </c>
      <c r="M16" s="3" t="s">
        <v>85</v>
      </c>
      <c r="N16" s="3" t="s">
        <v>176</v>
      </c>
      <c r="O16" s="7"/>
      <c r="P16" s="7"/>
      <c r="T16" s="3">
        <f t="shared" si="5"/>
        <v>1.9714516385711278</v>
      </c>
      <c r="U16" s="18">
        <f t="shared" si="0"/>
        <v>0.22825819877892201</v>
      </c>
      <c r="V16" s="3">
        <f t="shared" si="1"/>
        <v>0.37273526323330786</v>
      </c>
      <c r="W16" s="3">
        <f t="shared" si="6"/>
        <v>1.7850840069544738</v>
      </c>
      <c r="X16" s="13">
        <f t="shared" si="7"/>
        <v>0.27661661771766527</v>
      </c>
      <c r="Y16" s="3">
        <f t="shared" si="8"/>
        <v>0.45126049019344</v>
      </c>
      <c r="Z16" s="3">
        <f t="shared" si="2"/>
        <v>0.16639795926639983</v>
      </c>
      <c r="AA16" s="3">
        <f t="shared" si="3"/>
        <v>4.8064796069371786E-2</v>
      </c>
      <c r="AB16" s="3">
        <f t="shared" si="9"/>
        <v>0.35591837065599402</v>
      </c>
    </row>
    <row r="17" spans="2:28" ht="15" thickBot="1" x14ac:dyDescent="0.4">
      <c r="B17" s="3" t="s">
        <v>177</v>
      </c>
      <c r="C17" s="3">
        <f>ILOAD*VO*0.005/C16^2</f>
        <v>3.6963517577722644</v>
      </c>
      <c r="E17" s="34" t="s">
        <v>28</v>
      </c>
      <c r="F17" s="1" t="s">
        <v>29</v>
      </c>
      <c r="G17" s="36">
        <f>170/RDS_ON/60</f>
        <v>18.888888888888893</v>
      </c>
      <c r="H17" s="35" t="s">
        <v>81</v>
      </c>
      <c r="J17" s="20" t="s">
        <v>86</v>
      </c>
      <c r="K17" s="21">
        <f>K16+A4</f>
        <v>48.949831909047575</v>
      </c>
      <c r="M17" s="3" t="s">
        <v>87</v>
      </c>
      <c r="N17" s="3" t="s">
        <v>88</v>
      </c>
      <c r="O17" s="7"/>
      <c r="P17" s="7"/>
      <c r="T17" s="3">
        <f t="shared" si="5"/>
        <v>1.9714516467805741</v>
      </c>
      <c r="U17" s="18">
        <f t="shared" si="0"/>
        <v>0.22825819782841764</v>
      </c>
      <c r="V17" s="3">
        <f t="shared" si="1"/>
        <v>0.37273526168117749</v>
      </c>
      <c r="W17" s="3">
        <f t="shared" si="6"/>
        <v>1.7850840159399852</v>
      </c>
      <c r="X17" s="13">
        <f t="shared" si="7"/>
        <v>0.27661661911006014</v>
      </c>
      <c r="Y17" s="3">
        <f t="shared" si="8"/>
        <v>0.45126049448514893</v>
      </c>
      <c r="Z17" s="3">
        <f t="shared" si="2"/>
        <v>0.16639795930301218</v>
      </c>
      <c r="AA17" s="3">
        <f t="shared" si="3"/>
        <v>4.8064796467293315E-2</v>
      </c>
      <c r="AB17" s="3">
        <f t="shared" si="9"/>
        <v>0.35591837212048877</v>
      </c>
    </row>
    <row r="18" spans="2:28" ht="15" thickBot="1" x14ac:dyDescent="0.4">
      <c r="E18" s="37" t="s">
        <v>30</v>
      </c>
      <c r="F18" s="38" t="s">
        <v>31</v>
      </c>
      <c r="G18" s="38">
        <v>2</v>
      </c>
      <c r="H18" s="39" t="s">
        <v>91</v>
      </c>
      <c r="J18" s="20" t="s">
        <v>89</v>
      </c>
      <c r="K18" s="33">
        <f>SUM(K5:K12)+K14</f>
        <v>1.4172879006006687</v>
      </c>
      <c r="M18" s="3" t="s">
        <v>90</v>
      </c>
      <c r="N18" s="3" t="s">
        <v>178</v>
      </c>
      <c r="T18" s="3">
        <f t="shared" si="5"/>
        <v>1.9714516482972004</v>
      </c>
      <c r="U18" s="18">
        <f t="shared" si="0"/>
        <v>0.22825819765281993</v>
      </c>
      <c r="V18" s="3">
        <f t="shared" si="1"/>
        <v>0.37273526139443441</v>
      </c>
      <c r="W18" s="3">
        <f t="shared" si="6"/>
        <v>1.7850840175999831</v>
      </c>
      <c r="X18" s="13">
        <f t="shared" si="7"/>
        <v>0.27661661936729343</v>
      </c>
      <c r="Y18" s="3">
        <f t="shared" si="8"/>
        <v>0.45126049527800621</v>
      </c>
      <c r="Z18" s="3">
        <f t="shared" si="2"/>
        <v>0.16639795930977605</v>
      </c>
      <c r="AA18" s="3">
        <f t="shared" si="3"/>
        <v>4.8064796540805983E-2</v>
      </c>
      <c r="AB18" s="3">
        <f t="shared" si="9"/>
        <v>0.35591837239104196</v>
      </c>
    </row>
    <row r="19" spans="2:28" ht="15" thickBot="1" x14ac:dyDescent="0.4">
      <c r="B19" s="3" t="s">
        <v>173</v>
      </c>
      <c r="C19" s="3">
        <f>VO*0.01</f>
        <v>0.19020000000000001</v>
      </c>
      <c r="J19" s="20" t="s">
        <v>92</v>
      </c>
      <c r="K19" s="21">
        <f>ILOAD*(VO+L4)/(ILOAD*(VO+L4)+K18)</f>
        <v>0.85793434244060518</v>
      </c>
      <c r="M19" s="3" t="s">
        <v>93</v>
      </c>
      <c r="N19" s="3" t="s">
        <v>94</v>
      </c>
      <c r="T19" s="3">
        <f t="shared" si="5"/>
        <v>1.971451648577385</v>
      </c>
      <c r="U19" s="18">
        <f t="shared" si="0"/>
        <v>0.22825819762037966</v>
      </c>
      <c r="V19" s="3">
        <f t="shared" si="1"/>
        <v>0.37273526134146096</v>
      </c>
      <c r="W19" s="3">
        <f t="shared" si="6"/>
        <v>1.7850840179066545</v>
      </c>
      <c r="X19" s="13">
        <f t="shared" si="7"/>
        <v>0.27661661941481519</v>
      </c>
      <c r="Y19" s="3">
        <f t="shared" si="8"/>
        <v>0.45126049542448027</v>
      </c>
      <c r="Z19" s="3">
        <f t="shared" si="2"/>
        <v>0.16639795931102558</v>
      </c>
      <c r="AA19" s="3">
        <f t="shared" si="3"/>
        <v>4.8064796554386863E-2</v>
      </c>
      <c r="AB19" s="3">
        <f t="shared" si="9"/>
        <v>0.35591837244102448</v>
      </c>
    </row>
    <row r="20" spans="2:28" ht="15" thickBot="1" x14ac:dyDescent="0.4">
      <c r="B20" s="3" t="s">
        <v>101</v>
      </c>
      <c r="C20" s="3">
        <f>D*ILOAD/(FS*C19)</f>
        <v>4.5647188253708434E-6</v>
      </c>
      <c r="J20" s="40" t="s">
        <v>95</v>
      </c>
      <c r="K20" s="41">
        <f>ILOAD*VO/(ILOAD*(VO+L4)+K18)</f>
        <v>0.85793434244060518</v>
      </c>
      <c r="M20" s="3" t="s">
        <v>96</v>
      </c>
      <c r="N20" s="3" t="s">
        <v>97</v>
      </c>
      <c r="T20" s="3">
        <f t="shared" si="5"/>
        <v>1.9714516486291462</v>
      </c>
      <c r="U20" s="18">
        <f t="shared" si="0"/>
        <v>0.22825819761438665</v>
      </c>
      <c r="V20" s="3">
        <f t="shared" si="1"/>
        <v>0.37273526133167456</v>
      </c>
      <c r="W20" s="3">
        <f t="shared" si="6"/>
        <v>1.785084017963309</v>
      </c>
      <c r="X20" s="13">
        <f t="shared" si="7"/>
        <v>0.27661661942359439</v>
      </c>
      <c r="Y20" s="3">
        <f t="shared" si="8"/>
        <v>0.45126049545153984</v>
      </c>
      <c r="Z20" s="3">
        <f t="shared" si="2"/>
        <v>0.16639795931125645</v>
      </c>
      <c r="AA20" s="3">
        <f t="shared" si="3"/>
        <v>4.8064796556895793E-2</v>
      </c>
      <c r="AB20" s="3">
        <f t="shared" si="9"/>
        <v>0.35591837245025826</v>
      </c>
    </row>
    <row r="21" spans="2:28" ht="15" thickBot="1" x14ac:dyDescent="0.4">
      <c r="B21" s="3" t="s">
        <v>179</v>
      </c>
      <c r="C21" s="3">
        <f>((1-D)*(D*T25^2+Ipp^2/12))^0.5</f>
        <v>0.82903313846960758</v>
      </c>
      <c r="M21" s="3" t="s">
        <v>98</v>
      </c>
      <c r="N21" s="3" t="s">
        <v>180</v>
      </c>
      <c r="T21" s="3">
        <f t="shared" si="5"/>
        <v>1.9714516486387086</v>
      </c>
      <c r="U21" s="18">
        <f t="shared" si="0"/>
        <v>0.22825819761327951</v>
      </c>
      <c r="V21" s="3">
        <f t="shared" si="1"/>
        <v>0.37273526132986667</v>
      </c>
      <c r="W21" s="3">
        <f t="shared" si="6"/>
        <v>1.7850840179737752</v>
      </c>
      <c r="X21" s="13">
        <f t="shared" si="7"/>
        <v>0.27661661942521626</v>
      </c>
      <c r="Y21" s="3">
        <f t="shared" si="8"/>
        <v>0.45126049545653879</v>
      </c>
      <c r="Z21" s="3">
        <f t="shared" si="2"/>
        <v>0.16639795931129911</v>
      </c>
      <c r="AA21" s="3">
        <f t="shared" si="3"/>
        <v>4.8064796557359284E-2</v>
      </c>
      <c r="AB21" s="3">
        <f t="shared" si="9"/>
        <v>0.35591837245196412</v>
      </c>
    </row>
    <row r="22" spans="2:28" ht="15" thickBot="1" x14ac:dyDescent="0.4">
      <c r="M22" s="3" t="s">
        <v>99</v>
      </c>
      <c r="N22" s="3" t="s">
        <v>100</v>
      </c>
      <c r="T22" s="3">
        <f t="shared" si="5"/>
        <v>1.9714516486404752</v>
      </c>
      <c r="U22" s="18">
        <f t="shared" si="0"/>
        <v>0.22825819761307498</v>
      </c>
      <c r="V22" s="3">
        <f t="shared" si="1"/>
        <v>0.37273526132953272</v>
      </c>
      <c r="W22" s="3">
        <f t="shared" si="6"/>
        <v>1.7850840179757088</v>
      </c>
      <c r="X22" s="13">
        <f t="shared" si="7"/>
        <v>0.27661661942551585</v>
      </c>
      <c r="Y22" s="3">
        <f t="shared" si="8"/>
        <v>0.45126049545746233</v>
      </c>
      <c r="Z22" s="3">
        <f t="shared" si="2"/>
        <v>0.16639795931130699</v>
      </c>
      <c r="AA22" s="3">
        <f t="shared" si="3"/>
        <v>4.8064796557444917E-2</v>
      </c>
      <c r="AB22" s="3">
        <f t="shared" si="9"/>
        <v>0.3559183724522792</v>
      </c>
    </row>
    <row r="23" spans="2:28" ht="15" thickBot="1" x14ac:dyDescent="0.4">
      <c r="M23" s="3" t="s">
        <v>102</v>
      </c>
      <c r="N23" s="3" t="s">
        <v>103</v>
      </c>
      <c r="T23" s="3">
        <f t="shared" si="5"/>
        <v>1.971451648640802</v>
      </c>
      <c r="U23" s="18">
        <f t="shared" si="0"/>
        <v>0.22825819761303712</v>
      </c>
      <c r="V23" s="3">
        <f t="shared" si="1"/>
        <v>0.37273526132947082</v>
      </c>
      <c r="W23" s="3">
        <f t="shared" si="6"/>
        <v>1.7850840179760665</v>
      </c>
      <c r="X23" s="13">
        <f t="shared" si="7"/>
        <v>0.27661661942557131</v>
      </c>
      <c r="Y23" s="3">
        <f t="shared" si="8"/>
        <v>0.45126049545763319</v>
      </c>
      <c r="Z23" s="3">
        <f t="shared" si="2"/>
        <v>0.16639795931130844</v>
      </c>
      <c r="AA23" s="3">
        <f t="shared" si="3"/>
        <v>4.8064796557460758E-2</v>
      </c>
      <c r="AB23" s="3">
        <f t="shared" si="9"/>
        <v>0.35591837245233754</v>
      </c>
    </row>
    <row r="24" spans="2:28" ht="15" thickBot="1" x14ac:dyDescent="0.4">
      <c r="T24" s="3">
        <f t="shared" si="5"/>
        <v>1.971451648640862</v>
      </c>
      <c r="U24" s="18">
        <f t="shared" si="0"/>
        <v>0.22825819761303018</v>
      </c>
      <c r="V24" s="3">
        <f t="shared" si="1"/>
        <v>0.37273526132945956</v>
      </c>
      <c r="W24" s="3">
        <f t="shared" si="6"/>
        <v>1.7850840179761323</v>
      </c>
      <c r="X24" s="13">
        <f t="shared" si="7"/>
        <v>0.27661661942558147</v>
      </c>
      <c r="Y24" s="3">
        <f t="shared" si="8"/>
        <v>0.4512604954576645</v>
      </c>
      <c r="Z24" s="3">
        <f t="shared" si="2"/>
        <v>0.16639795931130871</v>
      </c>
      <c r="AA24" s="3">
        <f t="shared" si="3"/>
        <v>4.8064796557463665E-2</v>
      </c>
      <c r="AB24" s="3">
        <f t="shared" si="9"/>
        <v>0.3559183724523482</v>
      </c>
    </row>
    <row r="25" spans="2:28" ht="15" thickBot="1" x14ac:dyDescent="0.4">
      <c r="M25" s="4"/>
      <c r="N25" s="4"/>
      <c r="T25" s="3">
        <f t="shared" si="5"/>
        <v>1.9714516486408733</v>
      </c>
      <c r="U25" s="18">
        <f t="shared" si="0"/>
        <v>0.22825819761302887</v>
      </c>
      <c r="V25" s="3">
        <f t="shared" si="1"/>
        <v>0.37273526132945745</v>
      </c>
      <c r="W25" s="3">
        <f t="shared" si="6"/>
        <v>1.7850840179761445</v>
      </c>
      <c r="X25" s="13">
        <f t="shared" si="7"/>
        <v>0.27661661942558335</v>
      </c>
      <c r="Y25" s="3">
        <f t="shared" si="8"/>
        <v>0.4512604954576705</v>
      </c>
      <c r="Z25" s="3">
        <f t="shared" si="2"/>
        <v>0.16639795931130877</v>
      </c>
      <c r="AA25" s="3">
        <f t="shared" si="3"/>
        <v>4.8064796557464214E-2</v>
      </c>
      <c r="AB25" s="3">
        <f t="shared" si="9"/>
        <v>0.35591837245235025</v>
      </c>
    </row>
    <row r="26" spans="2:28" x14ac:dyDescent="0.35">
      <c r="T26" s="3">
        <f t="shared" si="5"/>
        <v>1.9714516486408755</v>
      </c>
      <c r="U26" s="18">
        <f t="shared" si="0"/>
        <v>0.22825819761302862</v>
      </c>
      <c r="V26" s="3">
        <f t="shared" si="1"/>
        <v>0.372735261329457</v>
      </c>
      <c r="W26" s="3">
        <f t="shared" si="6"/>
        <v>1.7850840179761471</v>
      </c>
      <c r="X26" s="13">
        <f t="shared" si="7"/>
        <v>0.2766166194255838</v>
      </c>
      <c r="Y26" s="3">
        <f t="shared" si="8"/>
        <v>0.45126049545767166</v>
      </c>
      <c r="Z26" s="3">
        <f t="shared" si="2"/>
        <v>0.1663979593113088</v>
      </c>
      <c r="AA26" s="3">
        <f t="shared" si="3"/>
        <v>4.8064796557464325E-2</v>
      </c>
      <c r="AB26" s="3">
        <f t="shared" si="9"/>
        <v>0.3559183724523507</v>
      </c>
    </row>
    <row r="32" spans="2:28" x14ac:dyDescent="0.35">
      <c r="J32" s="7"/>
      <c r="K32" s="7"/>
      <c r="L32" s="7"/>
      <c r="M32" s="7"/>
      <c r="X32" s="13"/>
    </row>
    <row r="33" spans="10:30" x14ac:dyDescent="0.35">
      <c r="J33" s="7"/>
      <c r="K33" s="7"/>
      <c r="L33" s="7"/>
      <c r="M33" s="7"/>
    </row>
    <row r="34" spans="10:30" x14ac:dyDescent="0.35">
      <c r="J34" s="7"/>
      <c r="K34" s="7"/>
      <c r="L34" s="7"/>
      <c r="M34" s="7"/>
      <c r="R34" s="3" t="s">
        <v>75</v>
      </c>
    </row>
    <row r="35" spans="10:30" x14ac:dyDescent="0.35">
      <c r="J35" s="7"/>
      <c r="K35" s="7"/>
      <c r="L35" s="7"/>
      <c r="M35" s="7"/>
      <c r="R35" s="3" t="s">
        <v>50</v>
      </c>
      <c r="S35" s="3" t="s">
        <v>104</v>
      </c>
      <c r="T35" s="3" t="s">
        <v>105</v>
      </c>
      <c r="U35" s="3" t="s">
        <v>61</v>
      </c>
      <c r="V35" s="3" t="s">
        <v>53</v>
      </c>
      <c r="W35" s="3" t="s">
        <v>69</v>
      </c>
      <c r="X35" s="3" t="s">
        <v>73</v>
      </c>
      <c r="Y35" s="3" t="s">
        <v>54</v>
      </c>
      <c r="Z35" s="3" t="s">
        <v>56</v>
      </c>
      <c r="AA35" s="3" t="s">
        <v>57</v>
      </c>
      <c r="AB35" s="3" t="s">
        <v>58</v>
      </c>
      <c r="AC35" s="3" t="s">
        <v>59</v>
      </c>
      <c r="AD35" s="3" t="s">
        <v>60</v>
      </c>
    </row>
    <row r="36" spans="10:30" x14ac:dyDescent="0.35">
      <c r="R36" s="3">
        <f>(VO+VD)*ILOAD/VIN</f>
        <v>1.7433000000000001</v>
      </c>
      <c r="S36" s="3">
        <f t="shared" ref="S36:S45" si="11">VIN-R36*(RDS_ON+RL)</f>
        <v>4.7170101110000004</v>
      </c>
      <c r="T36" s="3">
        <f t="shared" ref="T36:T45" si="12">R36*(RL+RD+F4)+VO+VD-VIN</f>
        <v>15.106247889000002</v>
      </c>
      <c r="U36" s="3">
        <f t="shared" ref="U36:U45" si="13">(2*ILOAD*L*FS*T36/(S36)^2)^0.5</f>
        <v>2.3188576402167955</v>
      </c>
      <c r="V36" s="3">
        <f t="shared" ref="V36:V45" si="14">(VIN)*U36/L/FS</f>
        <v>1.3175327501231793</v>
      </c>
      <c r="W36" s="3">
        <f t="shared" ref="W36:W45" si="15">V36*L*FS/(VO+VD-VIN)</f>
        <v>0.80683981914293501</v>
      </c>
      <c r="X36" s="3">
        <f>1-U36-W36</f>
        <v>-2.1256974593597304</v>
      </c>
      <c r="Y36" s="3">
        <f>IF(R36-V36/2&gt;0, R36-V36/2,0)</f>
        <v>1.0845336249384103</v>
      </c>
      <c r="Z36" s="13">
        <f t="shared" ref="Z36:Z45" si="16">(VO+VD)*Y36*FS*R$4</f>
        <v>84.029665260228057</v>
      </c>
      <c r="AA36" s="3">
        <f t="shared" ref="AA36:AA45" si="17">(R36*R36+V36*V36/12)*RDS_ON*(U36)</f>
        <v>1.1074003569618858</v>
      </c>
      <c r="AB36" s="3">
        <f t="shared" ref="AB36:AB45" si="18">(R36*R36+V36*V36/12)*RD*W36+VD*R36*W36</f>
        <v>0.51798513358754505</v>
      </c>
      <c r="AC36" s="3">
        <f t="shared" ref="AC36:AC45" si="19">RL*(R36*R36+V36*V36/12)</f>
        <v>3.925566958640745E-2</v>
      </c>
      <c r="AD36" s="3">
        <f>(R36*R36+V36*V36/12)*$F$4*W36</f>
        <v>1.0275113495355006</v>
      </c>
    </row>
    <row r="37" spans="10:30" x14ac:dyDescent="0.35">
      <c r="R37" s="3">
        <f t="shared" ref="R37:R45" si="20">(VO*ILOAD+AC36+AD36+Z36+AA36+AB36)/VIN</f>
        <v>19.056163553979879</v>
      </c>
      <c r="S37" s="3">
        <f t="shared" si="11"/>
        <v>1.9066129702824464</v>
      </c>
      <c r="T37" s="3">
        <f t="shared" si="12"/>
        <v>14.79552413216037</v>
      </c>
      <c r="U37" s="3">
        <f t="shared" si="13"/>
        <v>5.6776056580768186</v>
      </c>
      <c r="V37" s="3">
        <f t="shared" si="14"/>
        <v>3.2259123057254646</v>
      </c>
      <c r="W37" s="3">
        <f t="shared" si="15"/>
        <v>1.9755064920239447</v>
      </c>
      <c r="X37" s="3">
        <f t="shared" ref="X37:X45" si="21">1-U37-W37</f>
        <v>-6.6531121501007631</v>
      </c>
      <c r="Y37" s="3">
        <f t="shared" ref="Y37:Y45" si="22">IF(R37-V37/2&gt;0, R37-V37/2,0)</f>
        <v>17.443207401117146</v>
      </c>
      <c r="Z37" s="13">
        <f t="shared" si="16"/>
        <v>1351.4997094385565</v>
      </c>
      <c r="AA37" s="3">
        <f t="shared" si="17"/>
        <v>310.00116823651035</v>
      </c>
      <c r="AB37" s="3">
        <f t="shared" si="18"/>
        <v>20.366885265991776</v>
      </c>
      <c r="AC37" s="3">
        <f t="shared" si="19"/>
        <v>4.4881764538879105</v>
      </c>
      <c r="AD37" s="3">
        <f t="shared" ref="AD37:AD45" si="23">(R37*R37+V37*V37/12)*$F$4*W37</f>
        <v>287.63736324426839</v>
      </c>
    </row>
    <row r="38" spans="10:30" x14ac:dyDescent="0.35">
      <c r="R38" s="3">
        <f t="shared" si="20"/>
        <v>396.51046052784301</v>
      </c>
      <c r="S38" s="3">
        <f t="shared" si="11"/>
        <v>-59.365543057484757</v>
      </c>
      <c r="T38" s="3">
        <f t="shared" si="12"/>
        <v>23.224078583586738</v>
      </c>
      <c r="U38" s="3">
        <f t="shared" si="13"/>
        <v>0.22845327696924123</v>
      </c>
      <c r="V38" s="3">
        <f t="shared" si="14"/>
        <v>0.12980299827797798</v>
      </c>
      <c r="W38" s="3">
        <f t="shared" si="15"/>
        <v>7.9489657957286436E-2</v>
      </c>
      <c r="X38" s="3">
        <f t="shared" si="21"/>
        <v>0.69205706507347231</v>
      </c>
      <c r="Y38" s="3">
        <f t="shared" si="22"/>
        <v>396.445559028704</v>
      </c>
      <c r="Z38" s="13">
        <f t="shared" si="16"/>
        <v>30716.601913543989</v>
      </c>
      <c r="AA38" s="3">
        <f t="shared" si="17"/>
        <v>5387.6323654902208</v>
      </c>
      <c r="AB38" s="3">
        <f t="shared" si="18"/>
        <v>136.00554312934599</v>
      </c>
      <c r="AC38" s="3">
        <f t="shared" si="19"/>
        <v>1938.5293409598276</v>
      </c>
      <c r="AD38" s="3">
        <f t="shared" si="23"/>
        <v>4998.9629928000186</v>
      </c>
    </row>
    <row r="39" spans="10:30" x14ac:dyDescent="0.35">
      <c r="R39" s="3">
        <f t="shared" si="20"/>
        <v>8637.2582311846818</v>
      </c>
      <c r="S39" s="3">
        <f t="shared" si="11"/>
        <v>-1397.0861286682093</v>
      </c>
      <c r="T39" s="3">
        <f t="shared" si="12"/>
        <v>207.23997630235397</v>
      </c>
      <c r="U39" s="3">
        <f t="shared" si="13"/>
        <v>2.8998542953679627E-2</v>
      </c>
      <c r="V39" s="3">
        <f t="shared" si="14"/>
        <v>1.6476444860045243E-2</v>
      </c>
      <c r="W39" s="3">
        <f t="shared" si="15"/>
        <v>1.0089959274070852E-2</v>
      </c>
      <c r="X39" s="3">
        <f t="shared" si="21"/>
        <v>0.96091149777224949</v>
      </c>
      <c r="Y39" s="3">
        <f t="shared" si="22"/>
        <v>8637.2499929622518</v>
      </c>
      <c r="Z39" s="13">
        <f t="shared" si="16"/>
        <v>669214.12945471529</v>
      </c>
      <c r="AA39" s="3">
        <f t="shared" si="17"/>
        <v>324503.39458637434</v>
      </c>
      <c r="AB39" s="3">
        <f t="shared" si="18"/>
        <v>7557.8369538720544</v>
      </c>
      <c r="AC39" s="3">
        <f t="shared" si="19"/>
        <v>919845.49284450465</v>
      </c>
      <c r="AD39" s="3">
        <f t="shared" si="23"/>
        <v>301093.38398179022</v>
      </c>
    </row>
    <row r="40" spans="10:30" x14ac:dyDescent="0.35">
      <c r="R40" s="3">
        <f t="shared" si="20"/>
        <v>444444.55936425133</v>
      </c>
      <c r="S40" s="3">
        <f t="shared" si="11"/>
        <v>-72141.685321598925</v>
      </c>
      <c r="T40" s="3">
        <f t="shared" si="12"/>
        <v>9938.8170106037342</v>
      </c>
      <c r="U40" s="3">
        <f t="shared" si="13"/>
        <v>3.8890511426055499E-3</v>
      </c>
      <c r="V40" s="3">
        <f t="shared" si="14"/>
        <v>2.2096881492076987E-3</v>
      </c>
      <c r="W40" s="3">
        <f t="shared" si="15"/>
        <v>1.3531841136414577E-3</v>
      </c>
      <c r="X40" s="3">
        <f t="shared" si="21"/>
        <v>0.99475776474375299</v>
      </c>
      <c r="Y40" s="3">
        <f t="shared" si="22"/>
        <v>444444.55825940723</v>
      </c>
      <c r="Z40" s="13">
        <f t="shared" si="16"/>
        <v>34435564.373938873</v>
      </c>
      <c r="AA40" s="3">
        <f t="shared" si="17"/>
        <v>115231204.55663224</v>
      </c>
      <c r="AB40" s="3">
        <f t="shared" si="18"/>
        <v>2673168.1515111271</v>
      </c>
      <c r="AC40" s="3">
        <f t="shared" si="19"/>
        <v>2435556815.0768018</v>
      </c>
      <c r="AD40" s="3">
        <f t="shared" si="23"/>
        <v>106918306.24600533</v>
      </c>
    </row>
    <row r="41" spans="10:30" x14ac:dyDescent="0.35">
      <c r="R41" s="3">
        <f t="shared" si="20"/>
        <v>538963013.39277792</v>
      </c>
      <c r="S41" s="3">
        <f t="shared" si="11"/>
        <v>-87489860.964049637</v>
      </c>
      <c r="T41" s="3">
        <f t="shared" si="12"/>
        <v>12035058.459060732</v>
      </c>
      <c r="U41" s="3">
        <f t="shared" si="13"/>
        <v>1.1159094785693642E-4</v>
      </c>
      <c r="V41" s="3">
        <f t="shared" si="14"/>
        <v>6.3403947645986601E-5</v>
      </c>
      <c r="W41" s="3">
        <f t="shared" si="15"/>
        <v>3.8827748036512316E-5</v>
      </c>
      <c r="X41" s="3">
        <f t="shared" si="21"/>
        <v>0.99984958130410651</v>
      </c>
      <c r="Y41" s="3">
        <f t="shared" si="22"/>
        <v>538963013.39274621</v>
      </c>
      <c r="Z41" s="13">
        <f t="shared" si="16"/>
        <v>41758854277.669975</v>
      </c>
      <c r="AA41" s="3">
        <f t="shared" si="17"/>
        <v>4862259691431.1523</v>
      </c>
      <c r="AB41" s="3">
        <f t="shared" si="18"/>
        <v>112787288498.81622</v>
      </c>
      <c r="AC41" s="3">
        <f t="shared" si="19"/>
        <v>3581632330500874</v>
      </c>
      <c r="AD41" s="3">
        <f t="shared" si="23"/>
        <v>4511491246978.5674</v>
      </c>
    </row>
    <row r="42" spans="10:30" x14ac:dyDescent="0.35">
      <c r="R42" s="3">
        <f t="shared" si="20"/>
        <v>718232125516413.75</v>
      </c>
      <c r="S42" s="3">
        <f t="shared" si="11"/>
        <v>-116590620935074.45</v>
      </c>
      <c r="T42" s="3">
        <f t="shared" si="12"/>
        <v>16038123362795.891</v>
      </c>
      <c r="U42" s="3">
        <f t="shared" si="13"/>
        <v>9.6666445685206919E-8</v>
      </c>
      <c r="V42" s="3">
        <f t="shared" si="14"/>
        <v>5.4924116866594842E-8</v>
      </c>
      <c r="W42" s="3">
        <f t="shared" si="15"/>
        <v>3.3634810607239709E-8</v>
      </c>
      <c r="X42" s="3">
        <f t="shared" si="21"/>
        <v>0.99999986969874366</v>
      </c>
      <c r="Y42" s="3">
        <f t="shared" si="22"/>
        <v>718232125516413.75</v>
      </c>
      <c r="Z42" s="13">
        <f t="shared" si="16"/>
        <v>5.5648625085011744E+16</v>
      </c>
      <c r="AA42" s="3">
        <f t="shared" si="17"/>
        <v>7.4799149995577395E+21</v>
      </c>
      <c r="AB42" s="3">
        <f t="shared" si="18"/>
        <v>1.7350765482621442E+20</v>
      </c>
      <c r="AC42" s="3">
        <f t="shared" si="19"/>
        <v>6.3605215709067691E+27</v>
      </c>
      <c r="AD42" s="3">
        <f t="shared" si="23"/>
        <v>6.9403061930482393E+21</v>
      </c>
    </row>
    <row r="43" spans="10:30" x14ac:dyDescent="0.35">
      <c r="R43" s="3">
        <f t="shared" si="20"/>
        <v>1.2721072329382531E+27</v>
      </c>
      <c r="S43" s="3">
        <f t="shared" si="11"/>
        <v>-2.0650116712286665E+26</v>
      </c>
      <c r="T43" s="3">
        <f t="shared" si="12"/>
        <v>2.8406154511511194E+25</v>
      </c>
      <c r="U43" s="3">
        <f t="shared" si="13"/>
        <v>7.2635060517996312E-14</v>
      </c>
      <c r="V43" s="3">
        <f t="shared" si="14"/>
        <v>4.1269920748861542E-14</v>
      </c>
      <c r="W43" s="3">
        <f t="shared" si="15"/>
        <v>2.5273159540012636E-14</v>
      </c>
      <c r="X43" s="3">
        <f t="shared" si="21"/>
        <v>0.99999999999990208</v>
      </c>
      <c r="Y43" s="3">
        <f t="shared" si="22"/>
        <v>1.2721072329382531E+27</v>
      </c>
      <c r="Z43" s="13">
        <f t="shared" si="16"/>
        <v>9.8562868408055879E+28</v>
      </c>
      <c r="AA43" s="3">
        <f t="shared" si="17"/>
        <v>1.763132722201415E+40</v>
      </c>
      <c r="AB43" s="3">
        <f t="shared" si="18"/>
        <v>4.0898462588759341E+38</v>
      </c>
      <c r="AC43" s="3">
        <f t="shared" si="19"/>
        <v>1.995310649311679E+52</v>
      </c>
      <c r="AD43" s="3">
        <f t="shared" si="23"/>
        <v>1.6359385035503738E+40</v>
      </c>
    </row>
    <row r="44" spans="10:30" x14ac:dyDescent="0.35">
      <c r="R44" s="3">
        <f t="shared" si="20"/>
        <v>3.9906212986302378E+51</v>
      </c>
      <c r="S44" s="3">
        <f t="shared" si="11"/>
        <v>-6.4779755540664653E+50</v>
      </c>
      <c r="T44" s="3">
        <f t="shared" si="12"/>
        <v>8.911057359841322E+49</v>
      </c>
      <c r="U44" s="3">
        <f t="shared" si="13"/>
        <v>4.1009824015542575E-26</v>
      </c>
      <c r="V44" s="3">
        <f t="shared" si="14"/>
        <v>2.3301036372467372E-26</v>
      </c>
      <c r="W44" s="3">
        <f t="shared" si="15"/>
        <v>1.4269249831434436E-26</v>
      </c>
      <c r="X44" s="3">
        <f t="shared" si="21"/>
        <v>1</v>
      </c>
      <c r="Y44" s="3">
        <f t="shared" si="22"/>
        <v>3.9906212986302378E+51</v>
      </c>
      <c r="Z44" s="13">
        <f t="shared" si="16"/>
        <v>3.0919333821787087E+53</v>
      </c>
      <c r="AA44" s="3">
        <f t="shared" si="17"/>
        <v>9.7962576049960576E+76</v>
      </c>
      <c r="AB44" s="3">
        <f t="shared" si="18"/>
        <v>2.272386361632117E+75</v>
      </c>
      <c r="AC44" s="3">
        <f t="shared" si="19"/>
        <v>1.9635596944417226E+101</v>
      </c>
      <c r="AD44" s="3">
        <f t="shared" si="23"/>
        <v>9.0895454465284684E+76</v>
      </c>
    </row>
    <row r="45" spans="10:30" x14ac:dyDescent="0.35">
      <c r="R45" s="3">
        <f t="shared" si="20"/>
        <v>3.9271193888834448E+100</v>
      </c>
      <c r="S45" s="3">
        <f t="shared" si="11"/>
        <v>-6.3748929039744961E+99</v>
      </c>
      <c r="T45" s="3">
        <f t="shared" si="12"/>
        <v>8.7692575953767336E+98</v>
      </c>
      <c r="U45" s="3">
        <f t="shared" si="13"/>
        <v>1.307287508580388E-50</v>
      </c>
      <c r="V45" s="3">
        <f t="shared" si="14"/>
        <v>7.4277699351158418E-51</v>
      </c>
      <c r="W45" s="3">
        <f t="shared" si="15"/>
        <v>4.5486691321516634E-51</v>
      </c>
      <c r="X45" s="3">
        <f t="shared" si="21"/>
        <v>1</v>
      </c>
      <c r="Y45" s="3">
        <f t="shared" si="22"/>
        <v>3.9271193888834448E+100</v>
      </c>
      <c r="Z45" s="13">
        <f t="shared" si="16"/>
        <v>3.0427321025068935E+102</v>
      </c>
      <c r="AA45" s="3">
        <f t="shared" si="17"/>
        <v>3.0242004905659634E+150</v>
      </c>
      <c r="AB45" s="3">
        <f t="shared" si="18"/>
        <v>7.0150788461284235E+148</v>
      </c>
      <c r="AC45" s="3">
        <f t="shared" si="19"/>
        <v>1.90156548343731E+199</v>
      </c>
      <c r="AD45" s="3">
        <f t="shared" si="23"/>
        <v>2.8060315384513698E+150</v>
      </c>
    </row>
  </sheetData>
  <sheetProtection selectLockedCells="1"/>
  <mergeCells count="1">
    <mergeCell ref="B11:E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30B-C7CC-4BD5-94DB-E9E9C30E0ADB}">
  <sheetPr codeName="Sheet3"/>
  <dimension ref="A1:AH48"/>
  <sheetViews>
    <sheetView topLeftCell="A4" zoomScale="40" zoomScaleNormal="40" workbookViewId="0">
      <selection activeCell="Q28" sqref="Q28"/>
    </sheetView>
  </sheetViews>
  <sheetFormatPr defaultColWidth="9.1796875" defaultRowHeight="14.5" x14ac:dyDescent="0.35"/>
  <cols>
    <col min="1" max="1" width="9.1796875" style="3"/>
    <col min="2" max="2" width="19.7265625" style="3" customWidth="1"/>
    <col min="3" max="3" width="12.453125" style="3" customWidth="1"/>
    <col min="4" max="4" width="11.453125" style="3" customWidth="1"/>
    <col min="5" max="5" width="9.81640625" style="3" customWidth="1"/>
    <col min="6" max="6" width="10.81640625" style="3" customWidth="1"/>
    <col min="7" max="9" width="9.1796875" style="3"/>
    <col min="10" max="10" width="30.453125" style="3" customWidth="1"/>
    <col min="11" max="11" width="9.453125" style="3" customWidth="1"/>
    <col min="12" max="12" width="10.453125" style="3" customWidth="1"/>
    <col min="13" max="13" width="12" style="3" bestFit="1" customWidth="1"/>
    <col min="14" max="14" width="11.81640625" style="3" bestFit="1" customWidth="1"/>
    <col min="15" max="15" width="9.1796875" style="3"/>
    <col min="16" max="16" width="16.54296875" style="3" customWidth="1"/>
    <col min="17" max="20" width="9.1796875" style="3"/>
    <col min="21" max="21" width="9.1796875" style="14"/>
    <col min="22" max="25" width="9.1796875" style="3"/>
    <col min="26" max="26" width="12.453125" style="3" bestFit="1" customWidth="1"/>
    <col min="27" max="27" width="9.1796875" style="3"/>
    <col min="28" max="28" width="12.54296875" style="3" bestFit="1" customWidth="1"/>
    <col min="29" max="29" width="10.81640625" style="3" bestFit="1" customWidth="1"/>
    <col min="30" max="30" width="9.1796875" style="3"/>
    <col min="31" max="31" width="12.1796875" style="3" customWidth="1"/>
    <col min="32" max="16384" width="9.1796875" style="3"/>
  </cols>
  <sheetData>
    <row r="1" spans="1:32" x14ac:dyDescent="0.35">
      <c r="A1" s="2"/>
      <c r="D1" s="4"/>
      <c r="E1" s="4"/>
      <c r="F1" s="4"/>
      <c r="G1" s="4"/>
      <c r="H1" s="4"/>
      <c r="P1" s="7" t="s">
        <v>168</v>
      </c>
    </row>
    <row r="2" spans="1:32" x14ac:dyDescent="0.35">
      <c r="P2" s="5">
        <v>2E-8</v>
      </c>
    </row>
    <row r="3" spans="1:32" ht="16.5" x14ac:dyDescent="0.4">
      <c r="B3" s="6" t="s">
        <v>32</v>
      </c>
      <c r="C3" s="6" t="s">
        <v>33</v>
      </c>
      <c r="D3" s="6" t="s">
        <v>34</v>
      </c>
      <c r="E3" s="6" t="s">
        <v>166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  <c r="M3" s="7" t="s">
        <v>42</v>
      </c>
      <c r="N3" s="8" t="s">
        <v>43</v>
      </c>
      <c r="O3" s="9" t="s">
        <v>44</v>
      </c>
      <c r="P3" s="7" t="s">
        <v>45</v>
      </c>
      <c r="Q3" s="9" t="s">
        <v>46</v>
      </c>
      <c r="R3" s="9" t="s">
        <v>47</v>
      </c>
      <c r="S3" s="3" t="s">
        <v>48</v>
      </c>
    </row>
    <row r="4" spans="1:32" x14ac:dyDescent="0.35">
      <c r="B4" s="10">
        <f>IF('Main Table'!D6="Buck-Boost",'Main Table'!D7,0)</f>
        <v>0</v>
      </c>
      <c r="C4" s="10">
        <f>IF('Main Table'!D6="Buck-Boost",'Main Table'!D16,0)</f>
        <v>0</v>
      </c>
      <c r="D4" s="10">
        <f>IF('Main Table'!D6="Buck-Boost",'Main Table'!D22,0)</f>
        <v>0</v>
      </c>
      <c r="E4" s="10">
        <v>0.15</v>
      </c>
      <c r="F4" s="10">
        <f>IF('Main Table'!D6="Buck-Boost",'Main Table'!D27/1000,0)</f>
        <v>0</v>
      </c>
      <c r="G4" s="10">
        <v>0.05</v>
      </c>
      <c r="H4" s="10">
        <f>IF('Main Table'!D6="Buck-Boost",'Main Table'!D17,0)</f>
        <v>0</v>
      </c>
      <c r="I4" s="10">
        <f>IF('Main Table'!D6="Buck-Boost",'Main Table'!D13/1000,0)</f>
        <v>0</v>
      </c>
      <c r="J4" s="11">
        <f>IF('Main Table'!D6="Buck-Boost",'Main Table'!D21*0.000001,0)</f>
        <v>0</v>
      </c>
      <c r="K4" s="12">
        <f>IF('Main Table'!D6="Buck-Boost",'Main Table'!D18*1000000,0)</f>
        <v>0</v>
      </c>
      <c r="L4" s="6">
        <v>0</v>
      </c>
      <c r="M4" s="7" t="e">
        <f>1/FS</f>
        <v>#DIV/0!</v>
      </c>
      <c r="N4" s="8" t="e">
        <f>IF(Ivalley&gt;=0,"CCM","DCM")</f>
        <v>#DIV/0!</v>
      </c>
      <c r="O4" s="7">
        <f>IF('Main Table'!D32="VSON",30,IF('Main Table'!D32="WSON",47.4, 154))</f>
        <v>30</v>
      </c>
      <c r="P4" s="5">
        <v>2E-8</v>
      </c>
      <c r="R4" s="13">
        <v>9.9999999999999995E-7</v>
      </c>
      <c r="S4" s="3">
        <v>5.0000000000000001E-3</v>
      </c>
      <c r="U4" s="14" t="s">
        <v>49</v>
      </c>
    </row>
    <row r="5" spans="1:32" ht="17" thickBot="1" x14ac:dyDescent="0.5">
      <c r="J5" s="15" t="s">
        <v>170</v>
      </c>
      <c r="K5" s="16" t="e">
        <f>IF(Ivalley&gt;=0, 0.5*(VIN+VD+VO)*Ivalley*FS*MOS_On_time_s+0.5*(VIN+VD+VO)*Ipeak_ccm*FS*MOS_Off_time_s,0.5*(VIN+VO+VD)*Ipeak*FS*MOS_Off_time_s)</f>
        <v>#DIV/0!</v>
      </c>
      <c r="M5" s="7"/>
      <c r="N5" s="7"/>
      <c r="O5" s="7"/>
      <c r="P5" s="7"/>
      <c r="U5" s="14" t="s">
        <v>181</v>
      </c>
      <c r="V5" s="3" t="s">
        <v>51</v>
      </c>
      <c r="W5" s="3" t="s">
        <v>52</v>
      </c>
      <c r="X5" s="3" t="s">
        <v>50</v>
      </c>
      <c r="Y5" s="3" t="s">
        <v>53</v>
      </c>
      <c r="Z5" s="3" t="s">
        <v>54</v>
      </c>
      <c r="AA5" s="3" t="s">
        <v>55</v>
      </c>
      <c r="AB5" s="3" t="s">
        <v>56</v>
      </c>
      <c r="AC5" s="3" t="s">
        <v>57</v>
      </c>
      <c r="AD5" s="3" t="s">
        <v>58</v>
      </c>
      <c r="AE5" s="3" t="s">
        <v>59</v>
      </c>
      <c r="AF5" s="3" t="s">
        <v>60</v>
      </c>
    </row>
    <row r="6" spans="1:32" ht="15" thickBot="1" x14ac:dyDescent="0.4">
      <c r="B6" s="17" t="s">
        <v>52</v>
      </c>
      <c r="C6" s="18" t="e">
        <f>W15</f>
        <v>#DIV/0!</v>
      </c>
      <c r="G6" s="17" t="s">
        <v>61</v>
      </c>
      <c r="H6" s="19" t="e">
        <f>W48</f>
        <v>#DIV/0!</v>
      </c>
      <c r="I6" s="3" t="e">
        <f>2*V24/Ipeak</f>
        <v>#DIV/0!</v>
      </c>
      <c r="J6" s="20" t="s">
        <v>62</v>
      </c>
      <c r="K6" s="21" t="e">
        <f>IF(Ivalley&gt;=0,IL^2*(1+(Ipp^2/IL^2)/12)*RDS_ON*Dbar, ILD^2*(1+(Ipeak^2/ILD^2)/12)*RDS_ON*D1_)</f>
        <v>#DIV/0!</v>
      </c>
      <c r="M6" s="7" t="s">
        <v>63</v>
      </c>
      <c r="N6" s="7" t="s">
        <v>64</v>
      </c>
      <c r="O6" s="7" t="s">
        <v>64</v>
      </c>
      <c r="P6" s="7" t="s">
        <v>65</v>
      </c>
      <c r="T6" s="3">
        <v>1</v>
      </c>
      <c r="U6" s="53">
        <f t="shared" ref="U6:U26" si="0">ILOAD</f>
        <v>0</v>
      </c>
      <c r="V6" s="22" t="e">
        <f>ILOAD*(VO+VD)/VIN</f>
        <v>#DIV/0!</v>
      </c>
      <c r="W6" s="18" t="e">
        <f t="shared" ref="W6:W26" si="1">V6/(ILOAD+V6)</f>
        <v>#DIV/0!</v>
      </c>
      <c r="X6" s="54" t="e">
        <f>V6/W6</f>
        <v>#DIV/0!</v>
      </c>
      <c r="Y6" s="3" t="e">
        <f t="shared" ref="Y6:Y26" si="2">(VO+VD)*(1-W6)/L/FS</f>
        <v>#DIV/0!</v>
      </c>
      <c r="Z6" s="3" t="e">
        <f>IF(X6-Y6/2&gt;0, X6-Y6/2,0)</f>
        <v>#DIV/0!</v>
      </c>
      <c r="AA6" s="3" t="e">
        <f>(X6^2+Y6^2/12)^0.5</f>
        <v>#DIV/0!</v>
      </c>
      <c r="AB6" s="13" t="e">
        <f t="shared" ref="AB6:AB26" si="3">(VIN+VD+VO)*Z6*FS*P$4</f>
        <v>#DIV/0!</v>
      </c>
      <c r="AC6" s="3" t="e">
        <f>AA6^2*RDS_ON*(W6)</f>
        <v>#DIV/0!</v>
      </c>
      <c r="AD6" s="3" t="e">
        <f t="shared" ref="AD6:AD26" si="4">AA6*AA6*RD*(1-W6)+VD*U6</f>
        <v>#DIV/0!</v>
      </c>
      <c r="AE6" s="3" t="e">
        <f>RL*AA6^2</f>
        <v>#DIV/0!</v>
      </c>
      <c r="AF6" s="3" t="e">
        <f>AA6*AA6*$F$4*(1-W6)</f>
        <v>#DIV/0!</v>
      </c>
    </row>
    <row r="7" spans="1:32" ht="15" thickBot="1" x14ac:dyDescent="0.4">
      <c r="B7" s="23" t="s">
        <v>50</v>
      </c>
      <c r="C7" s="22" t="e">
        <f>X26</f>
        <v>#DIV/0!</v>
      </c>
      <c r="G7" s="23" t="s">
        <v>66</v>
      </c>
      <c r="H7" s="22" t="e">
        <f>Y48</f>
        <v>#DIV/0!</v>
      </c>
      <c r="J7" s="20" t="s">
        <v>67</v>
      </c>
      <c r="K7" s="21">
        <f>(D16*(VIN+VO)^2+0.5*D18*(VIN+VO)^2+D17*(VIN+VO)*VO)*FS/1000000000000</f>
        <v>0</v>
      </c>
      <c r="M7" s="7">
        <v>0</v>
      </c>
      <c r="N7" s="7" t="e">
        <f t="shared" ref="N7:N13" si="5">M7*TS</f>
        <v>#DIV/0!</v>
      </c>
      <c r="O7" s="7" t="e">
        <f>N7*1000000</f>
        <v>#DIV/0!</v>
      </c>
      <c r="P7" s="7" t="e">
        <f>IF(Ivalley&gt;=0,Ivalley,0)</f>
        <v>#DIV/0!</v>
      </c>
      <c r="T7" s="3">
        <v>2</v>
      </c>
      <c r="U7" s="53">
        <f t="shared" si="0"/>
        <v>0</v>
      </c>
      <c r="V7" s="22" t="e">
        <f t="shared" ref="V7:V26" si="6">(VO*ILOAD+AB6+AC6+AD6+AE6+AF6)/VIN</f>
        <v>#DIV/0!</v>
      </c>
      <c r="W7" s="18" t="e">
        <f t="shared" si="1"/>
        <v>#DIV/0!</v>
      </c>
      <c r="X7" s="54" t="e">
        <f>V7/W7</f>
        <v>#DIV/0!</v>
      </c>
      <c r="Y7" s="3" t="e">
        <f t="shared" si="2"/>
        <v>#DIV/0!</v>
      </c>
      <c r="Z7" s="3" t="e">
        <f t="shared" ref="Z7:Z26" si="7">IF(X7-Y7/2&gt;0, X7-Y7/2,0)</f>
        <v>#DIV/0!</v>
      </c>
      <c r="AA7" s="3" t="e">
        <f t="shared" ref="AA7:AA26" si="8">(X7^2+Y7^2/12)^0.5</f>
        <v>#DIV/0!</v>
      </c>
      <c r="AB7" s="13" t="e">
        <f t="shared" si="3"/>
        <v>#DIV/0!</v>
      </c>
      <c r="AC7" s="3" t="e">
        <f t="shared" ref="AC7:AC26" si="9">AA7^2*RDS_ON*(W7)</f>
        <v>#DIV/0!</v>
      </c>
      <c r="AD7" s="3" t="e">
        <f t="shared" si="4"/>
        <v>#DIV/0!</v>
      </c>
      <c r="AE7" s="3" t="e">
        <f t="shared" ref="AE7:AE26" si="10">RL*AA7^2</f>
        <v>#DIV/0!</v>
      </c>
      <c r="AF7" s="3" t="e">
        <f t="shared" ref="AF7:AF26" si="11">AA7*AA7*$F$4*(1-W7)</f>
        <v>#DIV/0!</v>
      </c>
    </row>
    <row r="8" spans="1:32" ht="15" thickBot="1" x14ac:dyDescent="0.4">
      <c r="B8" s="23" t="s">
        <v>68</v>
      </c>
      <c r="C8" s="22" t="e">
        <f>1-Dbar</f>
        <v>#DIV/0!</v>
      </c>
      <c r="G8" s="23" t="s">
        <v>69</v>
      </c>
      <c r="H8" s="22" t="e">
        <f>Z48</f>
        <v>#DIV/0!</v>
      </c>
      <c r="I8" s="3" t="e">
        <f>2*ILOAD/Ipeak</f>
        <v>#DIV/0!</v>
      </c>
      <c r="J8" s="20" t="s">
        <v>70</v>
      </c>
      <c r="K8" s="21" t="e">
        <f>IF(Ivalley&gt;=0,(IL^2+Ipp^2/12)*RD*D+VD*ILOAD,(ILD^2+Ipeak^2/12)*RD*D2_+VD*ILOAD)</f>
        <v>#DIV/0!</v>
      </c>
      <c r="M8" s="7" t="e">
        <f>IF(Ivalley&gt;=0,Dbar,D1_)</f>
        <v>#DIV/0!</v>
      </c>
      <c r="N8" s="7" t="e">
        <f>M8*TS</f>
        <v>#DIV/0!</v>
      </c>
      <c r="O8" s="7" t="e">
        <f t="shared" ref="O8:O13" si="12">N8*1000000</f>
        <v>#DIV/0!</v>
      </c>
      <c r="P8" s="7" t="e">
        <f>IF(Ivalley&gt;=0,Ivalley+Ipp,Ipeak)</f>
        <v>#DIV/0!</v>
      </c>
      <c r="T8" s="3">
        <v>3</v>
      </c>
      <c r="U8" s="53">
        <f t="shared" si="0"/>
        <v>0</v>
      </c>
      <c r="V8" s="22" t="e">
        <f t="shared" si="6"/>
        <v>#DIV/0!</v>
      </c>
      <c r="W8" s="18" t="e">
        <f t="shared" si="1"/>
        <v>#DIV/0!</v>
      </c>
      <c r="X8" s="54" t="e">
        <f>V8/W8</f>
        <v>#DIV/0!</v>
      </c>
      <c r="Y8" s="3" t="e">
        <f t="shared" si="2"/>
        <v>#DIV/0!</v>
      </c>
      <c r="Z8" s="3" t="e">
        <f t="shared" si="7"/>
        <v>#DIV/0!</v>
      </c>
      <c r="AA8" s="3" t="e">
        <f t="shared" si="8"/>
        <v>#DIV/0!</v>
      </c>
      <c r="AB8" s="13" t="e">
        <f t="shared" si="3"/>
        <v>#DIV/0!</v>
      </c>
      <c r="AC8" s="3" t="e">
        <f>AA8^2*RDS_ON*(W8)</f>
        <v>#DIV/0!</v>
      </c>
      <c r="AD8" s="3" t="e">
        <f t="shared" si="4"/>
        <v>#DIV/0!</v>
      </c>
      <c r="AE8" s="3" t="e">
        <f t="shared" si="10"/>
        <v>#DIV/0!</v>
      </c>
      <c r="AF8" s="3" t="e">
        <f t="shared" si="11"/>
        <v>#DIV/0!</v>
      </c>
    </row>
    <row r="9" spans="1:32" ht="15" thickBot="1" x14ac:dyDescent="0.4">
      <c r="B9" s="23" t="s">
        <v>53</v>
      </c>
      <c r="C9" s="24" t="e">
        <f>(VO+VD)*D/L/FS</f>
        <v>#DIV/0!</v>
      </c>
      <c r="G9" s="23" t="s">
        <v>71</v>
      </c>
      <c r="H9" s="22" t="e">
        <f>X48</f>
        <v>#DIV/0!</v>
      </c>
      <c r="J9" s="20" t="s">
        <v>72</v>
      </c>
      <c r="K9" s="21">
        <f>D15*VIN^2*FS/1000000000000</f>
        <v>0</v>
      </c>
      <c r="M9" s="7" t="e">
        <f>IF(Ivalley&gt;=0,1,D1_+D2_)</f>
        <v>#DIV/0!</v>
      </c>
      <c r="N9" s="7" t="e">
        <f t="shared" si="5"/>
        <v>#DIV/0!</v>
      </c>
      <c r="O9" s="7" t="e">
        <f t="shared" si="12"/>
        <v>#DIV/0!</v>
      </c>
      <c r="P9" s="7" t="e">
        <f>IF(Ivalley&gt;=0,Ivalley,0)</f>
        <v>#DIV/0!</v>
      </c>
      <c r="T9" s="3">
        <v>4</v>
      </c>
      <c r="U9" s="53">
        <f t="shared" si="0"/>
        <v>0</v>
      </c>
      <c r="V9" s="22" t="e">
        <f t="shared" si="6"/>
        <v>#DIV/0!</v>
      </c>
      <c r="W9" s="18" t="e">
        <f t="shared" si="1"/>
        <v>#DIV/0!</v>
      </c>
      <c r="X9" s="54" t="e">
        <f t="shared" ref="X9:X26" si="13">V9/W9</f>
        <v>#DIV/0!</v>
      </c>
      <c r="Y9" s="3" t="e">
        <f t="shared" si="2"/>
        <v>#DIV/0!</v>
      </c>
      <c r="Z9" s="3" t="e">
        <f t="shared" si="7"/>
        <v>#DIV/0!</v>
      </c>
      <c r="AA9" s="3" t="e">
        <f t="shared" si="8"/>
        <v>#DIV/0!</v>
      </c>
      <c r="AB9" s="13" t="e">
        <f t="shared" si="3"/>
        <v>#DIV/0!</v>
      </c>
      <c r="AC9" s="3" t="e">
        <f t="shared" si="9"/>
        <v>#DIV/0!</v>
      </c>
      <c r="AD9" s="3" t="e">
        <f t="shared" si="4"/>
        <v>#DIV/0!</v>
      </c>
      <c r="AE9" s="3" t="e">
        <f t="shared" si="10"/>
        <v>#DIV/0!</v>
      </c>
      <c r="AF9" s="3" t="e">
        <f t="shared" si="11"/>
        <v>#DIV/0!</v>
      </c>
    </row>
    <row r="10" spans="1:32" ht="15" thickBot="1" x14ac:dyDescent="0.4">
      <c r="B10" s="23" t="s">
        <v>54</v>
      </c>
      <c r="C10" s="24" t="e">
        <f>IL-Ipp/2</f>
        <v>#DIV/0!</v>
      </c>
      <c r="D10" s="3" t="s">
        <v>71</v>
      </c>
      <c r="E10" s="25" t="e">
        <f>IL+Ipp/2</f>
        <v>#DIV/0!</v>
      </c>
      <c r="F10" s="25"/>
      <c r="G10" s="26" t="s">
        <v>73</v>
      </c>
      <c r="H10" s="27" t="e">
        <f>1-D1_-D2_</f>
        <v>#DIV/0!</v>
      </c>
      <c r="J10" s="20" t="s">
        <v>74</v>
      </c>
      <c r="K10" s="21" t="e">
        <f>IF(Ivalley&gt;=0,IL^2*(1+(Ipp^2/IL^2)/12)*RL,ILD^2*(1+(Ipeak^2/ILD^2)/12)*RL)</f>
        <v>#DIV/0!</v>
      </c>
      <c r="M10" s="7">
        <v>1</v>
      </c>
      <c r="N10" s="7" t="e">
        <f t="shared" si="5"/>
        <v>#DIV/0!</v>
      </c>
      <c r="O10" s="7" t="e">
        <f t="shared" si="12"/>
        <v>#DIV/0!</v>
      </c>
      <c r="P10" s="7" t="e">
        <f>IF(Ivalley&gt;=0, Ivalley,0)</f>
        <v>#DIV/0!</v>
      </c>
      <c r="T10" s="3">
        <v>5</v>
      </c>
      <c r="U10" s="53">
        <f t="shared" si="0"/>
        <v>0</v>
      </c>
      <c r="V10" s="22" t="e">
        <f t="shared" si="6"/>
        <v>#DIV/0!</v>
      </c>
      <c r="W10" s="18" t="e">
        <f t="shared" si="1"/>
        <v>#DIV/0!</v>
      </c>
      <c r="X10" s="54" t="e">
        <f t="shared" si="13"/>
        <v>#DIV/0!</v>
      </c>
      <c r="Y10" s="3" t="e">
        <f t="shared" si="2"/>
        <v>#DIV/0!</v>
      </c>
      <c r="Z10" s="3" t="e">
        <f t="shared" si="7"/>
        <v>#DIV/0!</v>
      </c>
      <c r="AA10" s="3" t="e">
        <f t="shared" si="8"/>
        <v>#DIV/0!</v>
      </c>
      <c r="AB10" s="13" t="e">
        <f t="shared" si="3"/>
        <v>#DIV/0!</v>
      </c>
      <c r="AC10" s="3" t="e">
        <f t="shared" si="9"/>
        <v>#DIV/0!</v>
      </c>
      <c r="AD10" s="3" t="e">
        <f t="shared" si="4"/>
        <v>#DIV/0!</v>
      </c>
      <c r="AE10" s="3" t="e">
        <f t="shared" si="10"/>
        <v>#DIV/0!</v>
      </c>
      <c r="AF10" s="3" t="e">
        <f t="shared" si="11"/>
        <v>#DIV/0!</v>
      </c>
    </row>
    <row r="11" spans="1:32" ht="15" thickBot="1" x14ac:dyDescent="0.4">
      <c r="B11" s="60" t="s">
        <v>49</v>
      </c>
      <c r="C11" s="61"/>
      <c r="D11" s="61"/>
      <c r="E11" s="62"/>
      <c r="F11" s="28"/>
      <c r="G11" s="29" t="s">
        <v>75</v>
      </c>
      <c r="H11" s="27"/>
      <c r="J11" s="20" t="s">
        <v>76</v>
      </c>
      <c r="K11" s="21" t="e">
        <f>18.1*10^(-6)*FS^1.155*(0.06374*IF(Ivalley&gt;=0,Ipeak_ccm,Ipeak))^2.378/10</f>
        <v>#DIV/0!</v>
      </c>
      <c r="M11" s="7" t="e">
        <f>IF(Ivalley&gt;=0,1+Dbar,1+D1_)</f>
        <v>#DIV/0!</v>
      </c>
      <c r="N11" s="7" t="e">
        <f t="shared" si="5"/>
        <v>#DIV/0!</v>
      </c>
      <c r="O11" s="7" t="e">
        <f t="shared" si="12"/>
        <v>#DIV/0!</v>
      </c>
      <c r="P11" s="7" t="e">
        <f>IF(Ivalley&gt;=0, Ivalley+Ipp,Ipeak)</f>
        <v>#DIV/0!</v>
      </c>
      <c r="T11" s="3">
        <v>6</v>
      </c>
      <c r="U11" s="53">
        <f t="shared" si="0"/>
        <v>0</v>
      </c>
      <c r="V11" s="22" t="e">
        <f t="shared" si="6"/>
        <v>#DIV/0!</v>
      </c>
      <c r="W11" s="18" t="e">
        <f t="shared" si="1"/>
        <v>#DIV/0!</v>
      </c>
      <c r="X11" s="54" t="e">
        <f t="shared" si="13"/>
        <v>#DIV/0!</v>
      </c>
      <c r="Y11" s="3" t="e">
        <f t="shared" si="2"/>
        <v>#DIV/0!</v>
      </c>
      <c r="Z11" s="3" t="e">
        <f t="shared" si="7"/>
        <v>#DIV/0!</v>
      </c>
      <c r="AA11" s="3" t="e">
        <f t="shared" si="8"/>
        <v>#DIV/0!</v>
      </c>
      <c r="AB11" s="13" t="e">
        <f t="shared" si="3"/>
        <v>#DIV/0!</v>
      </c>
      <c r="AC11" s="3" t="e">
        <f t="shared" si="9"/>
        <v>#DIV/0!</v>
      </c>
      <c r="AD11" s="3" t="e">
        <f t="shared" si="4"/>
        <v>#DIV/0!</v>
      </c>
      <c r="AE11" s="3" t="e">
        <f t="shared" si="10"/>
        <v>#DIV/0!</v>
      </c>
      <c r="AF11" s="3" t="e">
        <f t="shared" si="11"/>
        <v>#DIV/0!</v>
      </c>
    </row>
    <row r="12" spans="1:32" ht="15" thickBot="1" x14ac:dyDescent="0.4">
      <c r="B12" s="3" t="s">
        <v>77</v>
      </c>
      <c r="C12" s="13" t="e">
        <f>IF(Ipp/ILOAD&lt;2*Dbar/(1-Dbar),ILOAD*Dbar*TS/R4,(0.5*(ILOAD-Ivalley)*D*TS*Ivalley/(E10-Ivalley)+ILOAD*(TS-TS*D))/R4+Ipp*S4)</f>
        <v>#DIV/0!</v>
      </c>
      <c r="G12" s="3" t="s">
        <v>77</v>
      </c>
      <c r="H12" s="13" t="e">
        <f>(D2_*TS*ILOAD^2/(2*Ipeak)+ILOAD*(TS-TS*D2_))/R4+Ipeak*S4</f>
        <v>#DIV/0!</v>
      </c>
      <c r="J12" s="20" t="s">
        <v>78</v>
      </c>
      <c r="K12" s="21" t="e">
        <f>IF(Ivalley&gt;=0,IL^2*(1+(Ipp^2/IL^2)/12)*F4*D, ILD^2*(1+(Ipeak^2/ILD^2)/12)*F4*D2_)</f>
        <v>#DIV/0!</v>
      </c>
      <c r="M12" s="7" t="e">
        <f>IF(Ivalley&gt;=0,2,1+D1_+D2_)</f>
        <v>#DIV/0!</v>
      </c>
      <c r="N12" s="7" t="e">
        <f t="shared" si="5"/>
        <v>#DIV/0!</v>
      </c>
      <c r="O12" s="7" t="e">
        <f t="shared" si="12"/>
        <v>#DIV/0!</v>
      </c>
      <c r="P12" s="7" t="e">
        <f>IF(Ivalley&gt;=0, Ivalley,0)</f>
        <v>#DIV/0!</v>
      </c>
      <c r="T12" s="3">
        <v>7</v>
      </c>
      <c r="U12" s="53">
        <f t="shared" si="0"/>
        <v>0</v>
      </c>
      <c r="V12" s="22" t="e">
        <f t="shared" si="6"/>
        <v>#DIV/0!</v>
      </c>
      <c r="W12" s="18" t="e">
        <f t="shared" si="1"/>
        <v>#DIV/0!</v>
      </c>
      <c r="X12" s="54" t="e">
        <f t="shared" si="13"/>
        <v>#DIV/0!</v>
      </c>
      <c r="Y12" s="3" t="e">
        <f t="shared" si="2"/>
        <v>#DIV/0!</v>
      </c>
      <c r="Z12" s="3" t="e">
        <f t="shared" si="7"/>
        <v>#DIV/0!</v>
      </c>
      <c r="AA12" s="3" t="e">
        <f t="shared" si="8"/>
        <v>#DIV/0!</v>
      </c>
      <c r="AB12" s="13" t="e">
        <f t="shared" si="3"/>
        <v>#DIV/0!</v>
      </c>
      <c r="AC12" s="3" t="e">
        <f t="shared" si="9"/>
        <v>#DIV/0!</v>
      </c>
      <c r="AD12" s="3" t="e">
        <f t="shared" si="4"/>
        <v>#DIV/0!</v>
      </c>
      <c r="AE12" s="3" t="e">
        <f t="shared" si="10"/>
        <v>#DIV/0!</v>
      </c>
      <c r="AF12" s="3" t="e">
        <f t="shared" si="11"/>
        <v>#DIV/0!</v>
      </c>
    </row>
    <row r="13" spans="1:32" ht="15" thickBot="1" x14ac:dyDescent="0.4">
      <c r="J13" s="20" t="s">
        <v>79</v>
      </c>
      <c r="K13" s="21">
        <f>ILOAD*L4</f>
        <v>0</v>
      </c>
      <c r="M13" s="7">
        <v>2</v>
      </c>
      <c r="N13" s="7" t="e">
        <f t="shared" si="5"/>
        <v>#DIV/0!</v>
      </c>
      <c r="O13" s="7" t="e">
        <f t="shared" si="12"/>
        <v>#DIV/0!</v>
      </c>
      <c r="P13" s="7" t="e">
        <f>IF(Ivalley&gt;=0, Ivalley,0)</f>
        <v>#DIV/0!</v>
      </c>
      <c r="T13" s="3">
        <v>8</v>
      </c>
      <c r="U13" s="53">
        <f t="shared" si="0"/>
        <v>0</v>
      </c>
      <c r="V13" s="22" t="e">
        <f t="shared" si="6"/>
        <v>#DIV/0!</v>
      </c>
      <c r="W13" s="18" t="e">
        <f t="shared" si="1"/>
        <v>#DIV/0!</v>
      </c>
      <c r="X13" s="54" t="e">
        <f t="shared" si="13"/>
        <v>#DIV/0!</v>
      </c>
      <c r="Y13" s="3" t="e">
        <f t="shared" si="2"/>
        <v>#DIV/0!</v>
      </c>
      <c r="Z13" s="3" t="e">
        <f t="shared" si="7"/>
        <v>#DIV/0!</v>
      </c>
      <c r="AA13" s="3" t="e">
        <f t="shared" si="8"/>
        <v>#DIV/0!</v>
      </c>
      <c r="AB13" s="13" t="e">
        <f t="shared" si="3"/>
        <v>#DIV/0!</v>
      </c>
      <c r="AC13" s="3" t="e">
        <f t="shared" si="9"/>
        <v>#DIV/0!</v>
      </c>
      <c r="AD13" s="3" t="e">
        <f t="shared" si="4"/>
        <v>#DIV/0!</v>
      </c>
      <c r="AE13" s="3" t="e">
        <f t="shared" si="10"/>
        <v>#DIV/0!</v>
      </c>
      <c r="AF13" s="3" t="e">
        <f t="shared" si="11"/>
        <v>#DIV/0!</v>
      </c>
    </row>
    <row r="14" spans="1:32" ht="15" thickBot="1" x14ac:dyDescent="0.4">
      <c r="J14" s="20" t="s">
        <v>80</v>
      </c>
      <c r="K14" s="21">
        <f>D19*VIN/1000</f>
        <v>0</v>
      </c>
      <c r="M14" s="7"/>
      <c r="N14" s="7"/>
      <c r="O14" s="7"/>
      <c r="P14" s="7"/>
      <c r="T14" s="3">
        <v>9</v>
      </c>
      <c r="U14" s="53">
        <f t="shared" si="0"/>
        <v>0</v>
      </c>
      <c r="V14" s="22" t="e">
        <f t="shared" si="6"/>
        <v>#DIV/0!</v>
      </c>
      <c r="W14" s="18" t="e">
        <f t="shared" si="1"/>
        <v>#DIV/0!</v>
      </c>
      <c r="X14" s="54" t="e">
        <f t="shared" si="13"/>
        <v>#DIV/0!</v>
      </c>
      <c r="Y14" s="3" t="e">
        <f t="shared" si="2"/>
        <v>#DIV/0!</v>
      </c>
      <c r="Z14" s="3" t="e">
        <f t="shared" si="7"/>
        <v>#DIV/0!</v>
      </c>
      <c r="AA14" s="3" t="e">
        <f t="shared" si="8"/>
        <v>#DIV/0!</v>
      </c>
      <c r="AB14" s="13" t="e">
        <f t="shared" si="3"/>
        <v>#DIV/0!</v>
      </c>
      <c r="AC14" s="3" t="e">
        <f t="shared" si="9"/>
        <v>#DIV/0!</v>
      </c>
      <c r="AD14" s="3" t="e">
        <f t="shared" si="4"/>
        <v>#DIV/0!</v>
      </c>
      <c r="AE14" s="3" t="e">
        <f t="shared" si="10"/>
        <v>#DIV/0!</v>
      </c>
      <c r="AF14" s="3" t="e">
        <f t="shared" si="11"/>
        <v>#DIV/0!</v>
      </c>
    </row>
    <row r="15" spans="1:32" ht="15" thickBot="1" x14ac:dyDescent="0.4">
      <c r="B15" s="30" t="s">
        <v>19</v>
      </c>
      <c r="C15" s="31" t="s">
        <v>20</v>
      </c>
      <c r="D15" s="31">
        <v>80</v>
      </c>
      <c r="E15" s="32" t="s">
        <v>81</v>
      </c>
      <c r="J15" s="20" t="s">
        <v>82</v>
      </c>
      <c r="K15" s="33" t="e">
        <f>SUM(K5:K7)+K14</f>
        <v>#DIV/0!</v>
      </c>
      <c r="M15" s="3" t="s">
        <v>83</v>
      </c>
      <c r="N15" s="3" t="s">
        <v>182</v>
      </c>
      <c r="O15" s="7"/>
      <c r="P15" s="7"/>
      <c r="T15" s="3">
        <v>10</v>
      </c>
      <c r="U15" s="53">
        <f t="shared" si="0"/>
        <v>0</v>
      </c>
      <c r="V15" s="22" t="e">
        <f t="shared" si="6"/>
        <v>#DIV/0!</v>
      </c>
      <c r="W15" s="18" t="e">
        <f t="shared" si="1"/>
        <v>#DIV/0!</v>
      </c>
      <c r="X15" s="54" t="e">
        <f t="shared" si="13"/>
        <v>#DIV/0!</v>
      </c>
      <c r="Y15" s="3" t="e">
        <f t="shared" si="2"/>
        <v>#DIV/0!</v>
      </c>
      <c r="Z15" s="3" t="e">
        <f t="shared" si="7"/>
        <v>#DIV/0!</v>
      </c>
      <c r="AA15" s="3" t="e">
        <f t="shared" si="8"/>
        <v>#DIV/0!</v>
      </c>
      <c r="AB15" s="13" t="e">
        <f t="shared" si="3"/>
        <v>#DIV/0!</v>
      </c>
      <c r="AC15" s="3" t="e">
        <f t="shared" si="9"/>
        <v>#DIV/0!</v>
      </c>
      <c r="AD15" s="3" t="e">
        <f t="shared" si="4"/>
        <v>#DIV/0!</v>
      </c>
      <c r="AE15" s="3" t="e">
        <f t="shared" si="10"/>
        <v>#DIV/0!</v>
      </c>
      <c r="AF15" s="3" t="e">
        <f t="shared" si="11"/>
        <v>#DIV/0!</v>
      </c>
    </row>
    <row r="16" spans="1:32" ht="15" thickBot="1" x14ac:dyDescent="0.4">
      <c r="B16" s="34" t="s">
        <v>24</v>
      </c>
      <c r="C16" s="1" t="s">
        <v>25</v>
      </c>
      <c r="D16" s="1">
        <f>90/RDS_ON/5</f>
        <v>120</v>
      </c>
      <c r="E16" s="35" t="s">
        <v>81</v>
      </c>
      <c r="J16" s="20" t="s">
        <v>84</v>
      </c>
      <c r="K16" s="21" t="e">
        <f>K15*O4</f>
        <v>#DIV/0!</v>
      </c>
      <c r="M16" s="3" t="s">
        <v>85</v>
      </c>
      <c r="N16" s="3" t="s">
        <v>183</v>
      </c>
      <c r="O16" s="7"/>
      <c r="P16" s="7"/>
      <c r="U16" s="53">
        <f t="shared" si="0"/>
        <v>0</v>
      </c>
      <c r="V16" s="22" t="e">
        <f t="shared" si="6"/>
        <v>#DIV/0!</v>
      </c>
      <c r="W16" s="18" t="e">
        <f t="shared" si="1"/>
        <v>#DIV/0!</v>
      </c>
      <c r="X16" s="54" t="e">
        <f t="shared" si="13"/>
        <v>#DIV/0!</v>
      </c>
      <c r="Y16" s="3" t="e">
        <f t="shared" si="2"/>
        <v>#DIV/0!</v>
      </c>
      <c r="Z16" s="3" t="e">
        <f t="shared" si="7"/>
        <v>#DIV/0!</v>
      </c>
      <c r="AA16" s="3" t="e">
        <f t="shared" si="8"/>
        <v>#DIV/0!</v>
      </c>
      <c r="AB16" s="13" t="e">
        <f t="shared" si="3"/>
        <v>#DIV/0!</v>
      </c>
      <c r="AC16" s="3" t="e">
        <f t="shared" si="9"/>
        <v>#DIV/0!</v>
      </c>
      <c r="AD16" s="3" t="e">
        <f t="shared" si="4"/>
        <v>#DIV/0!</v>
      </c>
      <c r="AE16" s="3" t="e">
        <f t="shared" si="10"/>
        <v>#DIV/0!</v>
      </c>
      <c r="AF16" s="3" t="e">
        <f t="shared" si="11"/>
        <v>#DIV/0!</v>
      </c>
    </row>
    <row r="17" spans="2:34" ht="15" thickBot="1" x14ac:dyDescent="0.4">
      <c r="B17" s="34" t="s">
        <v>26</v>
      </c>
      <c r="C17" s="1" t="s">
        <v>27</v>
      </c>
      <c r="D17" s="36">
        <f>190/RDS_ON/SQRT((60+5)*5)</f>
        <v>70.262024855195691</v>
      </c>
      <c r="E17" s="35" t="s">
        <v>81</v>
      </c>
      <c r="J17" s="20" t="s">
        <v>86</v>
      </c>
      <c r="K17" s="21" t="e">
        <f>K16+A4</f>
        <v>#DIV/0!</v>
      </c>
      <c r="M17" s="3" t="s">
        <v>87</v>
      </c>
      <c r="N17" s="3" t="s">
        <v>88</v>
      </c>
      <c r="O17" s="7"/>
      <c r="P17" s="7"/>
      <c r="U17" s="53">
        <f t="shared" si="0"/>
        <v>0</v>
      </c>
      <c r="V17" s="22" t="e">
        <f t="shared" si="6"/>
        <v>#DIV/0!</v>
      </c>
      <c r="W17" s="18" t="e">
        <f t="shared" si="1"/>
        <v>#DIV/0!</v>
      </c>
      <c r="X17" s="54" t="e">
        <f t="shared" si="13"/>
        <v>#DIV/0!</v>
      </c>
      <c r="Y17" s="3" t="e">
        <f t="shared" si="2"/>
        <v>#DIV/0!</v>
      </c>
      <c r="Z17" s="3" t="e">
        <f t="shared" si="7"/>
        <v>#DIV/0!</v>
      </c>
      <c r="AA17" s="3" t="e">
        <f t="shared" si="8"/>
        <v>#DIV/0!</v>
      </c>
      <c r="AB17" s="13" t="e">
        <f t="shared" si="3"/>
        <v>#DIV/0!</v>
      </c>
      <c r="AC17" s="3" t="e">
        <f t="shared" si="9"/>
        <v>#DIV/0!</v>
      </c>
      <c r="AD17" s="3" t="e">
        <f t="shared" si="4"/>
        <v>#DIV/0!</v>
      </c>
      <c r="AE17" s="3" t="e">
        <f t="shared" si="10"/>
        <v>#DIV/0!</v>
      </c>
      <c r="AF17" s="3" t="e">
        <f t="shared" si="11"/>
        <v>#DIV/0!</v>
      </c>
    </row>
    <row r="18" spans="2:34" ht="15" thickBot="1" x14ac:dyDescent="0.4">
      <c r="B18" s="34" t="s">
        <v>28</v>
      </c>
      <c r="C18" s="1" t="s">
        <v>29</v>
      </c>
      <c r="D18" s="36">
        <f>170/RDS_ON/60</f>
        <v>18.888888888888893</v>
      </c>
      <c r="E18" s="35" t="s">
        <v>81</v>
      </c>
      <c r="J18" s="20" t="s">
        <v>89</v>
      </c>
      <c r="K18" s="33" t="e">
        <f>SUM(K5:K12)+K14</f>
        <v>#DIV/0!</v>
      </c>
      <c r="M18" s="3" t="s">
        <v>90</v>
      </c>
      <c r="N18" s="3" t="s">
        <v>184</v>
      </c>
      <c r="U18" s="53">
        <f t="shared" si="0"/>
        <v>0</v>
      </c>
      <c r="V18" s="22" t="e">
        <f t="shared" si="6"/>
        <v>#DIV/0!</v>
      </c>
      <c r="W18" s="18" t="e">
        <f t="shared" si="1"/>
        <v>#DIV/0!</v>
      </c>
      <c r="X18" s="54" t="e">
        <f t="shared" si="13"/>
        <v>#DIV/0!</v>
      </c>
      <c r="Y18" s="3" t="e">
        <f t="shared" si="2"/>
        <v>#DIV/0!</v>
      </c>
      <c r="Z18" s="3" t="e">
        <f t="shared" si="7"/>
        <v>#DIV/0!</v>
      </c>
      <c r="AA18" s="3" t="e">
        <f t="shared" si="8"/>
        <v>#DIV/0!</v>
      </c>
      <c r="AB18" s="13" t="e">
        <f t="shared" si="3"/>
        <v>#DIV/0!</v>
      </c>
      <c r="AC18" s="3" t="e">
        <f t="shared" si="9"/>
        <v>#DIV/0!</v>
      </c>
      <c r="AD18" s="3" t="e">
        <f t="shared" si="4"/>
        <v>#DIV/0!</v>
      </c>
      <c r="AE18" s="3" t="e">
        <f t="shared" si="10"/>
        <v>#DIV/0!</v>
      </c>
      <c r="AF18" s="3" t="e">
        <f t="shared" si="11"/>
        <v>#DIV/0!</v>
      </c>
    </row>
    <row r="19" spans="2:34" ht="15" thickBot="1" x14ac:dyDescent="0.4">
      <c r="B19" s="37" t="s">
        <v>30</v>
      </c>
      <c r="C19" s="38" t="s">
        <v>31</v>
      </c>
      <c r="D19" s="38">
        <v>2</v>
      </c>
      <c r="E19" s="39" t="s">
        <v>91</v>
      </c>
      <c r="J19" s="20" t="s">
        <v>92</v>
      </c>
      <c r="K19" s="21" t="e">
        <f>ILOAD*(VO+L4)/(ILOAD*(VO+L4)+K18)</f>
        <v>#DIV/0!</v>
      </c>
      <c r="M19" s="3" t="s">
        <v>93</v>
      </c>
      <c r="N19" s="3" t="s">
        <v>94</v>
      </c>
      <c r="U19" s="53">
        <f t="shared" si="0"/>
        <v>0</v>
      </c>
      <c r="V19" s="22" t="e">
        <f t="shared" si="6"/>
        <v>#DIV/0!</v>
      </c>
      <c r="W19" s="18" t="e">
        <f t="shared" si="1"/>
        <v>#DIV/0!</v>
      </c>
      <c r="X19" s="54" t="e">
        <f t="shared" si="13"/>
        <v>#DIV/0!</v>
      </c>
      <c r="Y19" s="3" t="e">
        <f t="shared" si="2"/>
        <v>#DIV/0!</v>
      </c>
      <c r="Z19" s="3" t="e">
        <f t="shared" si="7"/>
        <v>#DIV/0!</v>
      </c>
      <c r="AA19" s="3" t="e">
        <f t="shared" si="8"/>
        <v>#DIV/0!</v>
      </c>
      <c r="AB19" s="13" t="e">
        <f t="shared" si="3"/>
        <v>#DIV/0!</v>
      </c>
      <c r="AC19" s="3" t="e">
        <f t="shared" si="9"/>
        <v>#DIV/0!</v>
      </c>
      <c r="AD19" s="3" t="e">
        <f t="shared" si="4"/>
        <v>#DIV/0!</v>
      </c>
      <c r="AE19" s="3" t="e">
        <f t="shared" si="10"/>
        <v>#DIV/0!</v>
      </c>
      <c r="AF19" s="3" t="e">
        <f t="shared" si="11"/>
        <v>#DIV/0!</v>
      </c>
    </row>
    <row r="20" spans="2:34" ht="15" thickBot="1" x14ac:dyDescent="0.4">
      <c r="J20" s="40" t="s">
        <v>95</v>
      </c>
      <c r="K20" s="41" t="e">
        <f>ILOAD*VO/(ILOAD*(VO+L4)+K18)</f>
        <v>#DIV/0!</v>
      </c>
      <c r="M20" s="3" t="s">
        <v>96</v>
      </c>
      <c r="N20" s="3" t="s">
        <v>97</v>
      </c>
      <c r="U20" s="53">
        <f t="shared" si="0"/>
        <v>0</v>
      </c>
      <c r="V20" s="22" t="e">
        <f t="shared" si="6"/>
        <v>#DIV/0!</v>
      </c>
      <c r="W20" s="18" t="e">
        <f t="shared" si="1"/>
        <v>#DIV/0!</v>
      </c>
      <c r="X20" s="54" t="e">
        <f t="shared" si="13"/>
        <v>#DIV/0!</v>
      </c>
      <c r="Y20" s="3" t="e">
        <f t="shared" si="2"/>
        <v>#DIV/0!</v>
      </c>
      <c r="Z20" s="3" t="e">
        <f t="shared" si="7"/>
        <v>#DIV/0!</v>
      </c>
      <c r="AA20" s="3" t="e">
        <f t="shared" si="8"/>
        <v>#DIV/0!</v>
      </c>
      <c r="AB20" s="13" t="e">
        <f t="shared" si="3"/>
        <v>#DIV/0!</v>
      </c>
      <c r="AC20" s="3" t="e">
        <f t="shared" si="9"/>
        <v>#DIV/0!</v>
      </c>
      <c r="AD20" s="3" t="e">
        <f t="shared" si="4"/>
        <v>#DIV/0!</v>
      </c>
      <c r="AE20" s="3" t="e">
        <f t="shared" si="10"/>
        <v>#DIV/0!</v>
      </c>
      <c r="AF20" s="3" t="e">
        <f t="shared" si="11"/>
        <v>#DIV/0!</v>
      </c>
    </row>
    <row r="21" spans="2:34" ht="15" thickBot="1" x14ac:dyDescent="0.4">
      <c r="M21" s="3" t="s">
        <v>98</v>
      </c>
      <c r="N21" s="3" t="s">
        <v>185</v>
      </c>
      <c r="U21" s="53">
        <f t="shared" si="0"/>
        <v>0</v>
      </c>
      <c r="V21" s="22" t="e">
        <f t="shared" si="6"/>
        <v>#DIV/0!</v>
      </c>
      <c r="W21" s="18" t="e">
        <f t="shared" si="1"/>
        <v>#DIV/0!</v>
      </c>
      <c r="X21" s="54" t="e">
        <f t="shared" si="13"/>
        <v>#DIV/0!</v>
      </c>
      <c r="Y21" s="3" t="e">
        <f t="shared" si="2"/>
        <v>#DIV/0!</v>
      </c>
      <c r="Z21" s="3" t="e">
        <f t="shared" si="7"/>
        <v>#DIV/0!</v>
      </c>
      <c r="AA21" s="3" t="e">
        <f t="shared" si="8"/>
        <v>#DIV/0!</v>
      </c>
      <c r="AB21" s="13" t="e">
        <f t="shared" si="3"/>
        <v>#DIV/0!</v>
      </c>
      <c r="AC21" s="3" t="e">
        <f t="shared" si="9"/>
        <v>#DIV/0!</v>
      </c>
      <c r="AD21" s="3" t="e">
        <f t="shared" si="4"/>
        <v>#DIV/0!</v>
      </c>
      <c r="AE21" s="3" t="e">
        <f t="shared" si="10"/>
        <v>#DIV/0!</v>
      </c>
      <c r="AF21" s="3" t="e">
        <f t="shared" si="11"/>
        <v>#DIV/0!</v>
      </c>
    </row>
    <row r="22" spans="2:34" ht="15" thickBot="1" x14ac:dyDescent="0.4">
      <c r="M22" s="3" t="s">
        <v>99</v>
      </c>
      <c r="N22" s="3" t="s">
        <v>100</v>
      </c>
      <c r="U22" s="53">
        <f t="shared" si="0"/>
        <v>0</v>
      </c>
      <c r="V22" s="22" t="e">
        <f t="shared" si="6"/>
        <v>#DIV/0!</v>
      </c>
      <c r="W22" s="18" t="e">
        <f t="shared" si="1"/>
        <v>#DIV/0!</v>
      </c>
      <c r="X22" s="54" t="e">
        <f t="shared" si="13"/>
        <v>#DIV/0!</v>
      </c>
      <c r="Y22" s="3" t="e">
        <f t="shared" si="2"/>
        <v>#DIV/0!</v>
      </c>
      <c r="Z22" s="3" t="e">
        <f t="shared" si="7"/>
        <v>#DIV/0!</v>
      </c>
      <c r="AA22" s="3" t="e">
        <f t="shared" si="8"/>
        <v>#DIV/0!</v>
      </c>
      <c r="AB22" s="13" t="e">
        <f t="shared" si="3"/>
        <v>#DIV/0!</v>
      </c>
      <c r="AC22" s="3" t="e">
        <f t="shared" si="9"/>
        <v>#DIV/0!</v>
      </c>
      <c r="AD22" s="3" t="e">
        <f t="shared" si="4"/>
        <v>#DIV/0!</v>
      </c>
      <c r="AE22" s="3" t="e">
        <f t="shared" si="10"/>
        <v>#DIV/0!</v>
      </c>
      <c r="AF22" s="3" t="e">
        <f t="shared" si="11"/>
        <v>#DIV/0!</v>
      </c>
    </row>
    <row r="23" spans="2:34" ht="15" thickBot="1" x14ac:dyDescent="0.4">
      <c r="M23" s="3" t="s">
        <v>102</v>
      </c>
      <c r="N23" s="3" t="s">
        <v>103</v>
      </c>
      <c r="U23" s="53">
        <f t="shared" si="0"/>
        <v>0</v>
      </c>
      <c r="V23" s="22" t="e">
        <f t="shared" si="6"/>
        <v>#DIV/0!</v>
      </c>
      <c r="W23" s="18" t="e">
        <f t="shared" si="1"/>
        <v>#DIV/0!</v>
      </c>
      <c r="X23" s="54" t="e">
        <f t="shared" si="13"/>
        <v>#DIV/0!</v>
      </c>
      <c r="Y23" s="3" t="e">
        <f t="shared" si="2"/>
        <v>#DIV/0!</v>
      </c>
      <c r="Z23" s="3" t="e">
        <f t="shared" si="7"/>
        <v>#DIV/0!</v>
      </c>
      <c r="AA23" s="3" t="e">
        <f t="shared" si="8"/>
        <v>#DIV/0!</v>
      </c>
      <c r="AB23" s="13" t="e">
        <f t="shared" si="3"/>
        <v>#DIV/0!</v>
      </c>
      <c r="AC23" s="3" t="e">
        <f t="shared" si="9"/>
        <v>#DIV/0!</v>
      </c>
      <c r="AD23" s="3" t="e">
        <f t="shared" si="4"/>
        <v>#DIV/0!</v>
      </c>
      <c r="AE23" s="3" t="e">
        <f t="shared" si="10"/>
        <v>#DIV/0!</v>
      </c>
      <c r="AF23" s="3" t="e">
        <f t="shared" si="11"/>
        <v>#DIV/0!</v>
      </c>
    </row>
    <row r="24" spans="2:34" ht="15" thickBot="1" x14ac:dyDescent="0.4">
      <c r="U24" s="53">
        <f t="shared" si="0"/>
        <v>0</v>
      </c>
      <c r="V24" s="22" t="e">
        <f t="shared" si="6"/>
        <v>#DIV/0!</v>
      </c>
      <c r="W24" s="18" t="e">
        <f t="shared" si="1"/>
        <v>#DIV/0!</v>
      </c>
      <c r="X24" s="54" t="e">
        <f t="shared" si="13"/>
        <v>#DIV/0!</v>
      </c>
      <c r="Y24" s="3" t="e">
        <f t="shared" si="2"/>
        <v>#DIV/0!</v>
      </c>
      <c r="Z24" s="3" t="e">
        <f t="shared" si="7"/>
        <v>#DIV/0!</v>
      </c>
      <c r="AA24" s="3" t="e">
        <f t="shared" si="8"/>
        <v>#DIV/0!</v>
      </c>
      <c r="AB24" s="13" t="e">
        <f t="shared" si="3"/>
        <v>#DIV/0!</v>
      </c>
      <c r="AC24" s="3" t="e">
        <f t="shared" si="9"/>
        <v>#DIV/0!</v>
      </c>
      <c r="AD24" s="3" t="e">
        <f t="shared" si="4"/>
        <v>#DIV/0!</v>
      </c>
      <c r="AE24" s="3" t="e">
        <f t="shared" si="10"/>
        <v>#DIV/0!</v>
      </c>
      <c r="AF24" s="3" t="e">
        <f t="shared" si="11"/>
        <v>#DIV/0!</v>
      </c>
    </row>
    <row r="25" spans="2:34" ht="15" thickBot="1" x14ac:dyDescent="0.4">
      <c r="M25" s="4"/>
      <c r="N25" s="4"/>
      <c r="U25" s="53">
        <f t="shared" si="0"/>
        <v>0</v>
      </c>
      <c r="V25" s="22" t="e">
        <f t="shared" si="6"/>
        <v>#DIV/0!</v>
      </c>
      <c r="W25" s="18" t="e">
        <f t="shared" si="1"/>
        <v>#DIV/0!</v>
      </c>
      <c r="X25" s="54" t="e">
        <f t="shared" si="13"/>
        <v>#DIV/0!</v>
      </c>
      <c r="Y25" s="3" t="e">
        <f t="shared" si="2"/>
        <v>#DIV/0!</v>
      </c>
      <c r="Z25" s="3" t="e">
        <f t="shared" si="7"/>
        <v>#DIV/0!</v>
      </c>
      <c r="AA25" s="3" t="e">
        <f t="shared" si="8"/>
        <v>#DIV/0!</v>
      </c>
      <c r="AB25" s="13" t="e">
        <f t="shared" si="3"/>
        <v>#DIV/0!</v>
      </c>
      <c r="AC25" s="3" t="e">
        <f t="shared" si="9"/>
        <v>#DIV/0!</v>
      </c>
      <c r="AD25" s="3" t="e">
        <f t="shared" si="4"/>
        <v>#DIV/0!</v>
      </c>
      <c r="AE25" s="3" t="e">
        <f t="shared" si="10"/>
        <v>#DIV/0!</v>
      </c>
      <c r="AF25" s="3" t="e">
        <f t="shared" si="11"/>
        <v>#DIV/0!</v>
      </c>
    </row>
    <row r="26" spans="2:34" x14ac:dyDescent="0.35">
      <c r="U26" s="53">
        <f t="shared" si="0"/>
        <v>0</v>
      </c>
      <c r="V26" s="22" t="e">
        <f t="shared" si="6"/>
        <v>#DIV/0!</v>
      </c>
      <c r="W26" s="18" t="e">
        <f t="shared" si="1"/>
        <v>#DIV/0!</v>
      </c>
      <c r="X26" s="54" t="e">
        <f t="shared" si="13"/>
        <v>#DIV/0!</v>
      </c>
      <c r="Y26" s="3" t="e">
        <f t="shared" si="2"/>
        <v>#DIV/0!</v>
      </c>
      <c r="Z26" s="3" t="e">
        <f t="shared" si="7"/>
        <v>#DIV/0!</v>
      </c>
      <c r="AA26" s="3" t="e">
        <f t="shared" si="8"/>
        <v>#DIV/0!</v>
      </c>
      <c r="AB26" s="13" t="e">
        <f t="shared" si="3"/>
        <v>#DIV/0!</v>
      </c>
      <c r="AC26" s="3" t="e">
        <f t="shared" si="9"/>
        <v>#DIV/0!</v>
      </c>
      <c r="AD26" s="3" t="e">
        <f t="shared" si="4"/>
        <v>#DIV/0!</v>
      </c>
      <c r="AE26" s="3" t="e">
        <f t="shared" si="10"/>
        <v>#DIV/0!</v>
      </c>
      <c r="AF26" s="3" t="e">
        <f t="shared" si="11"/>
        <v>#DIV/0!</v>
      </c>
    </row>
    <row r="31" spans="2:34" x14ac:dyDescent="0.35">
      <c r="S31" s="14" t="s">
        <v>75</v>
      </c>
    </row>
    <row r="32" spans="2:34" x14ac:dyDescent="0.35">
      <c r="S32" s="3" t="s">
        <v>181</v>
      </c>
      <c r="T32" s="3" t="s">
        <v>51</v>
      </c>
      <c r="U32" s="3" t="s">
        <v>104</v>
      </c>
      <c r="V32" s="3" t="s">
        <v>105</v>
      </c>
      <c r="W32" s="3" t="s">
        <v>61</v>
      </c>
      <c r="X32" s="3" t="s">
        <v>53</v>
      </c>
      <c r="Y32" s="3" t="s">
        <v>50</v>
      </c>
      <c r="Z32" s="3" t="s">
        <v>69</v>
      </c>
      <c r="AA32" s="3" t="s">
        <v>73</v>
      </c>
      <c r="AB32" s="3" t="s">
        <v>54</v>
      </c>
      <c r="AC32" s="3" t="s">
        <v>186</v>
      </c>
      <c r="AD32" s="3" t="s">
        <v>56</v>
      </c>
      <c r="AE32" s="3" t="s">
        <v>57</v>
      </c>
      <c r="AF32" s="3" t="s">
        <v>58</v>
      </c>
      <c r="AG32" s="3" t="s">
        <v>59</v>
      </c>
      <c r="AH32" s="3" t="s">
        <v>60</v>
      </c>
    </row>
    <row r="33" spans="19:34" x14ac:dyDescent="0.35">
      <c r="S33" s="53">
        <f t="shared" ref="S33:S48" si="14">ILOAD</f>
        <v>0</v>
      </c>
      <c r="T33" s="3" t="e">
        <f>VO*ILOAD/VIN</f>
        <v>#DIV/0!</v>
      </c>
      <c r="U33" s="14" t="e">
        <f t="shared" ref="U33:U48" si="15">VIN-T33*(RL+RDS_ON)</f>
        <v>#DIV/0!</v>
      </c>
      <c r="V33" s="3">
        <f t="shared" ref="V33:V48" si="16">VO+VD+S33*(Rsense+RD+RL)</f>
        <v>0</v>
      </c>
      <c r="W33" s="3" t="e">
        <f t="shared" ref="W33:W48" si="17">(2*S33*L*FS*V33/(U33^2))^0.5</f>
        <v>#DIV/0!</v>
      </c>
      <c r="X33" s="3" t="e">
        <f t="shared" ref="X33:X48" si="18">U33*W33/L/FS</f>
        <v>#DIV/0!</v>
      </c>
      <c r="Y33" s="3" t="e">
        <f>X33*(W33+Z33)/2</f>
        <v>#DIV/0!</v>
      </c>
      <c r="Z33" s="3" t="e">
        <f t="shared" ref="Z33:Z48" si="19">X33*L*FS/V33</f>
        <v>#DIV/0!</v>
      </c>
      <c r="AA33" s="3" t="e">
        <f>1-W33-Z33</f>
        <v>#DIV/0!</v>
      </c>
      <c r="AB33" s="3" t="e">
        <f>IF(Y33-X33/2&gt;0, Y33-X33/2,0)</f>
        <v>#DIV/0!</v>
      </c>
      <c r="AC33" s="3" t="e">
        <f>(Y33^2+X33^2/12)^0.5</f>
        <v>#DIV/0!</v>
      </c>
      <c r="AD33" s="13" t="e">
        <f t="shared" ref="AD33:AD48" si="20">(VIN+VD+VO)*AB33*FS*R$4</f>
        <v>#DIV/0!</v>
      </c>
      <c r="AE33" s="3" t="e">
        <f t="shared" ref="AE33:AE48" si="21">AC33^2*RDS_ON*(W33)</f>
        <v>#DIV/0!</v>
      </c>
      <c r="AF33" s="3" t="e">
        <f t="shared" ref="AF33:AF48" si="22">AC33*AC33*RD*Z33+VD*S33</f>
        <v>#DIV/0!</v>
      </c>
      <c r="AG33" s="3" t="e">
        <f t="shared" ref="AG33:AG48" si="23">RL*AC33^2</f>
        <v>#DIV/0!</v>
      </c>
      <c r="AH33" s="3" t="e">
        <f>AC33*AC33*$F$4*Z33</f>
        <v>#DIV/0!</v>
      </c>
    </row>
    <row r="34" spans="19:34" x14ac:dyDescent="0.35">
      <c r="S34" s="53">
        <f t="shared" si="14"/>
        <v>0</v>
      </c>
      <c r="T34" s="22" t="e">
        <f t="shared" ref="T34:T48" si="24">(VO*ILOAD+AD33+AE33+AF33+AG33+AH33)/VIN</f>
        <v>#DIV/0!</v>
      </c>
      <c r="U34" s="14" t="e">
        <f t="shared" si="15"/>
        <v>#DIV/0!</v>
      </c>
      <c r="V34" s="3">
        <f t="shared" si="16"/>
        <v>0</v>
      </c>
      <c r="W34" s="3" t="e">
        <f t="shared" si="17"/>
        <v>#DIV/0!</v>
      </c>
      <c r="X34" s="3" t="e">
        <f t="shared" si="18"/>
        <v>#DIV/0!</v>
      </c>
      <c r="Y34" s="3" t="e">
        <f t="shared" ref="Y34:Y48" si="25">X34*(W34+Z34)/2</f>
        <v>#DIV/0!</v>
      </c>
      <c r="Z34" s="3" t="e">
        <f t="shared" si="19"/>
        <v>#DIV/0!</v>
      </c>
      <c r="AA34" s="3" t="e">
        <f t="shared" ref="AA34:AA48" si="26">1-W34-Z34</f>
        <v>#DIV/0!</v>
      </c>
      <c r="AB34" s="3" t="e">
        <f t="shared" ref="AB34:AB48" si="27">IF(Y34-X34/2&gt;0, Y34-X34/2,0)</f>
        <v>#DIV/0!</v>
      </c>
      <c r="AC34" s="3" t="e">
        <f t="shared" ref="AC34:AC48" si="28">(Y34^2+X34^2/12)^0.5</f>
        <v>#DIV/0!</v>
      </c>
      <c r="AD34" s="13" t="e">
        <f t="shared" si="20"/>
        <v>#DIV/0!</v>
      </c>
      <c r="AE34" s="3" t="e">
        <f t="shared" si="21"/>
        <v>#DIV/0!</v>
      </c>
      <c r="AF34" s="3" t="e">
        <f t="shared" si="22"/>
        <v>#DIV/0!</v>
      </c>
      <c r="AG34" s="3" t="e">
        <f t="shared" si="23"/>
        <v>#DIV/0!</v>
      </c>
      <c r="AH34" s="3" t="e">
        <f t="shared" ref="AH34:AH47" si="29">AC34*AC34*$F$4*Z34</f>
        <v>#DIV/0!</v>
      </c>
    </row>
    <row r="35" spans="19:34" x14ac:dyDescent="0.35">
      <c r="S35" s="53">
        <f t="shared" si="14"/>
        <v>0</v>
      </c>
      <c r="T35" s="22" t="e">
        <f t="shared" si="24"/>
        <v>#DIV/0!</v>
      </c>
      <c r="U35" s="14" t="e">
        <f t="shared" si="15"/>
        <v>#DIV/0!</v>
      </c>
      <c r="V35" s="3">
        <f t="shared" si="16"/>
        <v>0</v>
      </c>
      <c r="W35" s="3" t="e">
        <f t="shared" si="17"/>
        <v>#DIV/0!</v>
      </c>
      <c r="X35" s="3" t="e">
        <f t="shared" si="18"/>
        <v>#DIV/0!</v>
      </c>
      <c r="Y35" s="3" t="e">
        <f t="shared" si="25"/>
        <v>#DIV/0!</v>
      </c>
      <c r="Z35" s="3" t="e">
        <f t="shared" si="19"/>
        <v>#DIV/0!</v>
      </c>
      <c r="AA35" s="3" t="e">
        <f t="shared" si="26"/>
        <v>#DIV/0!</v>
      </c>
      <c r="AB35" s="3" t="e">
        <f t="shared" si="27"/>
        <v>#DIV/0!</v>
      </c>
      <c r="AC35" s="3" t="e">
        <f t="shared" si="28"/>
        <v>#DIV/0!</v>
      </c>
      <c r="AD35" s="13" t="e">
        <f t="shared" si="20"/>
        <v>#DIV/0!</v>
      </c>
      <c r="AE35" s="3" t="e">
        <f t="shared" si="21"/>
        <v>#DIV/0!</v>
      </c>
      <c r="AF35" s="3" t="e">
        <f t="shared" si="22"/>
        <v>#DIV/0!</v>
      </c>
      <c r="AG35" s="3" t="e">
        <f t="shared" si="23"/>
        <v>#DIV/0!</v>
      </c>
      <c r="AH35" s="3" t="e">
        <f t="shared" si="29"/>
        <v>#DIV/0!</v>
      </c>
    </row>
    <row r="36" spans="19:34" x14ac:dyDescent="0.35">
      <c r="S36" s="53">
        <f t="shared" si="14"/>
        <v>0</v>
      </c>
      <c r="T36" s="22" t="e">
        <f t="shared" si="24"/>
        <v>#DIV/0!</v>
      </c>
      <c r="U36" s="14" t="e">
        <f t="shared" si="15"/>
        <v>#DIV/0!</v>
      </c>
      <c r="V36" s="3">
        <f t="shared" si="16"/>
        <v>0</v>
      </c>
      <c r="W36" s="3" t="e">
        <f t="shared" si="17"/>
        <v>#DIV/0!</v>
      </c>
      <c r="X36" s="3" t="e">
        <f t="shared" si="18"/>
        <v>#DIV/0!</v>
      </c>
      <c r="Y36" s="3" t="e">
        <f t="shared" si="25"/>
        <v>#DIV/0!</v>
      </c>
      <c r="Z36" s="3" t="e">
        <f t="shared" si="19"/>
        <v>#DIV/0!</v>
      </c>
      <c r="AA36" s="3" t="e">
        <f t="shared" si="26"/>
        <v>#DIV/0!</v>
      </c>
      <c r="AB36" s="3" t="e">
        <f t="shared" si="27"/>
        <v>#DIV/0!</v>
      </c>
      <c r="AC36" s="3" t="e">
        <f t="shared" si="28"/>
        <v>#DIV/0!</v>
      </c>
      <c r="AD36" s="13" t="e">
        <f t="shared" si="20"/>
        <v>#DIV/0!</v>
      </c>
      <c r="AE36" s="3" t="e">
        <f t="shared" si="21"/>
        <v>#DIV/0!</v>
      </c>
      <c r="AF36" s="3" t="e">
        <f t="shared" si="22"/>
        <v>#DIV/0!</v>
      </c>
      <c r="AG36" s="3" t="e">
        <f t="shared" si="23"/>
        <v>#DIV/0!</v>
      </c>
      <c r="AH36" s="3" t="e">
        <f t="shared" si="29"/>
        <v>#DIV/0!</v>
      </c>
    </row>
    <row r="37" spans="19:34" x14ac:dyDescent="0.35">
      <c r="S37" s="53">
        <f t="shared" si="14"/>
        <v>0</v>
      </c>
      <c r="T37" s="22" t="e">
        <f t="shared" si="24"/>
        <v>#DIV/0!</v>
      </c>
      <c r="U37" s="14" t="e">
        <f t="shared" si="15"/>
        <v>#DIV/0!</v>
      </c>
      <c r="V37" s="3">
        <f t="shared" si="16"/>
        <v>0</v>
      </c>
      <c r="W37" s="3" t="e">
        <f t="shared" si="17"/>
        <v>#DIV/0!</v>
      </c>
      <c r="X37" s="3" t="e">
        <f t="shared" si="18"/>
        <v>#DIV/0!</v>
      </c>
      <c r="Y37" s="3" t="e">
        <f t="shared" si="25"/>
        <v>#DIV/0!</v>
      </c>
      <c r="Z37" s="3" t="e">
        <f t="shared" si="19"/>
        <v>#DIV/0!</v>
      </c>
      <c r="AA37" s="3" t="e">
        <f t="shared" si="26"/>
        <v>#DIV/0!</v>
      </c>
      <c r="AB37" s="3" t="e">
        <f t="shared" si="27"/>
        <v>#DIV/0!</v>
      </c>
      <c r="AC37" s="3" t="e">
        <f t="shared" si="28"/>
        <v>#DIV/0!</v>
      </c>
      <c r="AD37" s="13" t="e">
        <f t="shared" si="20"/>
        <v>#DIV/0!</v>
      </c>
      <c r="AE37" s="3" t="e">
        <f t="shared" si="21"/>
        <v>#DIV/0!</v>
      </c>
      <c r="AF37" s="3" t="e">
        <f t="shared" si="22"/>
        <v>#DIV/0!</v>
      </c>
      <c r="AG37" s="3" t="e">
        <f t="shared" si="23"/>
        <v>#DIV/0!</v>
      </c>
      <c r="AH37" s="3" t="e">
        <f t="shared" si="29"/>
        <v>#DIV/0!</v>
      </c>
    </row>
    <row r="38" spans="19:34" x14ac:dyDescent="0.35">
      <c r="S38" s="53">
        <f t="shared" si="14"/>
        <v>0</v>
      </c>
      <c r="T38" s="22" t="e">
        <f t="shared" si="24"/>
        <v>#DIV/0!</v>
      </c>
      <c r="U38" s="14" t="e">
        <f t="shared" si="15"/>
        <v>#DIV/0!</v>
      </c>
      <c r="V38" s="3">
        <f t="shared" si="16"/>
        <v>0</v>
      </c>
      <c r="W38" s="3" t="e">
        <f t="shared" si="17"/>
        <v>#DIV/0!</v>
      </c>
      <c r="X38" s="3" t="e">
        <f t="shared" si="18"/>
        <v>#DIV/0!</v>
      </c>
      <c r="Y38" s="3" t="e">
        <f t="shared" si="25"/>
        <v>#DIV/0!</v>
      </c>
      <c r="Z38" s="3" t="e">
        <f t="shared" si="19"/>
        <v>#DIV/0!</v>
      </c>
      <c r="AA38" s="3" t="e">
        <f t="shared" si="26"/>
        <v>#DIV/0!</v>
      </c>
      <c r="AB38" s="3" t="e">
        <f t="shared" si="27"/>
        <v>#DIV/0!</v>
      </c>
      <c r="AC38" s="3" t="e">
        <f t="shared" si="28"/>
        <v>#DIV/0!</v>
      </c>
      <c r="AD38" s="13" t="e">
        <f t="shared" si="20"/>
        <v>#DIV/0!</v>
      </c>
      <c r="AE38" s="3" t="e">
        <f t="shared" si="21"/>
        <v>#DIV/0!</v>
      </c>
      <c r="AF38" s="3" t="e">
        <f t="shared" si="22"/>
        <v>#DIV/0!</v>
      </c>
      <c r="AG38" s="3" t="e">
        <f t="shared" si="23"/>
        <v>#DIV/0!</v>
      </c>
      <c r="AH38" s="3" t="e">
        <f t="shared" si="29"/>
        <v>#DIV/0!</v>
      </c>
    </row>
    <row r="39" spans="19:34" x14ac:dyDescent="0.35">
      <c r="S39" s="53">
        <f t="shared" si="14"/>
        <v>0</v>
      </c>
      <c r="T39" s="22" t="e">
        <f t="shared" si="24"/>
        <v>#DIV/0!</v>
      </c>
      <c r="U39" s="14" t="e">
        <f t="shared" si="15"/>
        <v>#DIV/0!</v>
      </c>
      <c r="V39" s="3">
        <f t="shared" si="16"/>
        <v>0</v>
      </c>
      <c r="W39" s="3" t="e">
        <f t="shared" si="17"/>
        <v>#DIV/0!</v>
      </c>
      <c r="X39" s="3" t="e">
        <f t="shared" si="18"/>
        <v>#DIV/0!</v>
      </c>
      <c r="Y39" s="3" t="e">
        <f t="shared" si="25"/>
        <v>#DIV/0!</v>
      </c>
      <c r="Z39" s="3" t="e">
        <f t="shared" si="19"/>
        <v>#DIV/0!</v>
      </c>
      <c r="AA39" s="3" t="e">
        <f t="shared" si="26"/>
        <v>#DIV/0!</v>
      </c>
      <c r="AB39" s="3" t="e">
        <f t="shared" si="27"/>
        <v>#DIV/0!</v>
      </c>
      <c r="AC39" s="3" t="e">
        <f t="shared" si="28"/>
        <v>#DIV/0!</v>
      </c>
      <c r="AD39" s="13" t="e">
        <f t="shared" si="20"/>
        <v>#DIV/0!</v>
      </c>
      <c r="AE39" s="3" t="e">
        <f t="shared" si="21"/>
        <v>#DIV/0!</v>
      </c>
      <c r="AF39" s="3" t="e">
        <f t="shared" si="22"/>
        <v>#DIV/0!</v>
      </c>
      <c r="AG39" s="3" t="e">
        <f t="shared" si="23"/>
        <v>#DIV/0!</v>
      </c>
      <c r="AH39" s="3" t="e">
        <f t="shared" si="29"/>
        <v>#DIV/0!</v>
      </c>
    </row>
    <row r="40" spans="19:34" x14ac:dyDescent="0.35">
      <c r="S40" s="53">
        <f t="shared" si="14"/>
        <v>0</v>
      </c>
      <c r="T40" s="22" t="e">
        <f t="shared" si="24"/>
        <v>#DIV/0!</v>
      </c>
      <c r="U40" s="14" t="e">
        <f t="shared" si="15"/>
        <v>#DIV/0!</v>
      </c>
      <c r="V40" s="3">
        <f t="shared" si="16"/>
        <v>0</v>
      </c>
      <c r="W40" s="3" t="e">
        <f t="shared" si="17"/>
        <v>#DIV/0!</v>
      </c>
      <c r="X40" s="3" t="e">
        <f t="shared" si="18"/>
        <v>#DIV/0!</v>
      </c>
      <c r="Y40" s="3" t="e">
        <f t="shared" si="25"/>
        <v>#DIV/0!</v>
      </c>
      <c r="Z40" s="3" t="e">
        <f t="shared" si="19"/>
        <v>#DIV/0!</v>
      </c>
      <c r="AA40" s="3" t="e">
        <f t="shared" si="26"/>
        <v>#DIV/0!</v>
      </c>
      <c r="AB40" s="3" t="e">
        <f t="shared" si="27"/>
        <v>#DIV/0!</v>
      </c>
      <c r="AC40" s="3" t="e">
        <f t="shared" si="28"/>
        <v>#DIV/0!</v>
      </c>
      <c r="AD40" s="13" t="e">
        <f t="shared" si="20"/>
        <v>#DIV/0!</v>
      </c>
      <c r="AE40" s="3" t="e">
        <f t="shared" si="21"/>
        <v>#DIV/0!</v>
      </c>
      <c r="AF40" s="3" t="e">
        <f t="shared" si="22"/>
        <v>#DIV/0!</v>
      </c>
      <c r="AG40" s="3" t="e">
        <f t="shared" si="23"/>
        <v>#DIV/0!</v>
      </c>
      <c r="AH40" s="3" t="e">
        <f t="shared" si="29"/>
        <v>#DIV/0!</v>
      </c>
    </row>
    <row r="41" spans="19:34" x14ac:dyDescent="0.35">
      <c r="S41" s="53">
        <f t="shared" si="14"/>
        <v>0</v>
      </c>
      <c r="T41" s="22" t="e">
        <f t="shared" si="24"/>
        <v>#DIV/0!</v>
      </c>
      <c r="U41" s="14" t="e">
        <f t="shared" si="15"/>
        <v>#DIV/0!</v>
      </c>
      <c r="V41" s="3">
        <f t="shared" si="16"/>
        <v>0</v>
      </c>
      <c r="W41" s="3" t="e">
        <f t="shared" si="17"/>
        <v>#DIV/0!</v>
      </c>
      <c r="X41" s="3" t="e">
        <f t="shared" si="18"/>
        <v>#DIV/0!</v>
      </c>
      <c r="Y41" s="3" t="e">
        <f t="shared" si="25"/>
        <v>#DIV/0!</v>
      </c>
      <c r="Z41" s="3" t="e">
        <f t="shared" si="19"/>
        <v>#DIV/0!</v>
      </c>
      <c r="AA41" s="3" t="e">
        <f t="shared" si="26"/>
        <v>#DIV/0!</v>
      </c>
      <c r="AB41" s="3" t="e">
        <f t="shared" si="27"/>
        <v>#DIV/0!</v>
      </c>
      <c r="AC41" s="3" t="e">
        <f t="shared" si="28"/>
        <v>#DIV/0!</v>
      </c>
      <c r="AD41" s="13" t="e">
        <f t="shared" si="20"/>
        <v>#DIV/0!</v>
      </c>
      <c r="AE41" s="3" t="e">
        <f t="shared" si="21"/>
        <v>#DIV/0!</v>
      </c>
      <c r="AF41" s="3" t="e">
        <f t="shared" si="22"/>
        <v>#DIV/0!</v>
      </c>
      <c r="AG41" s="3" t="e">
        <f t="shared" si="23"/>
        <v>#DIV/0!</v>
      </c>
      <c r="AH41" s="3" t="e">
        <f t="shared" si="29"/>
        <v>#DIV/0!</v>
      </c>
    </row>
    <row r="42" spans="19:34" x14ac:dyDescent="0.35">
      <c r="S42" s="53">
        <f t="shared" si="14"/>
        <v>0</v>
      </c>
      <c r="T42" s="22" t="e">
        <f t="shared" si="24"/>
        <v>#DIV/0!</v>
      </c>
      <c r="U42" s="14" t="e">
        <f t="shared" si="15"/>
        <v>#DIV/0!</v>
      </c>
      <c r="V42" s="3">
        <f t="shared" si="16"/>
        <v>0</v>
      </c>
      <c r="W42" s="3" t="e">
        <f t="shared" si="17"/>
        <v>#DIV/0!</v>
      </c>
      <c r="X42" s="3" t="e">
        <f t="shared" si="18"/>
        <v>#DIV/0!</v>
      </c>
      <c r="Y42" s="3" t="e">
        <f t="shared" si="25"/>
        <v>#DIV/0!</v>
      </c>
      <c r="Z42" s="3" t="e">
        <f t="shared" si="19"/>
        <v>#DIV/0!</v>
      </c>
      <c r="AA42" s="3" t="e">
        <f t="shared" si="26"/>
        <v>#DIV/0!</v>
      </c>
      <c r="AB42" s="3" t="e">
        <f t="shared" si="27"/>
        <v>#DIV/0!</v>
      </c>
      <c r="AC42" s="3" t="e">
        <f t="shared" si="28"/>
        <v>#DIV/0!</v>
      </c>
      <c r="AD42" s="13" t="e">
        <f t="shared" si="20"/>
        <v>#DIV/0!</v>
      </c>
      <c r="AE42" s="3" t="e">
        <f t="shared" si="21"/>
        <v>#DIV/0!</v>
      </c>
      <c r="AF42" s="3" t="e">
        <f t="shared" si="22"/>
        <v>#DIV/0!</v>
      </c>
      <c r="AG42" s="3" t="e">
        <f t="shared" si="23"/>
        <v>#DIV/0!</v>
      </c>
      <c r="AH42" s="3" t="e">
        <f t="shared" si="29"/>
        <v>#DIV/0!</v>
      </c>
    </row>
    <row r="43" spans="19:34" x14ac:dyDescent="0.35">
      <c r="S43" s="53">
        <f t="shared" si="14"/>
        <v>0</v>
      </c>
      <c r="T43" s="22" t="e">
        <f t="shared" si="24"/>
        <v>#DIV/0!</v>
      </c>
      <c r="U43" s="14" t="e">
        <f t="shared" si="15"/>
        <v>#DIV/0!</v>
      </c>
      <c r="V43" s="3">
        <f t="shared" si="16"/>
        <v>0</v>
      </c>
      <c r="W43" s="3" t="e">
        <f t="shared" si="17"/>
        <v>#DIV/0!</v>
      </c>
      <c r="X43" s="3" t="e">
        <f t="shared" si="18"/>
        <v>#DIV/0!</v>
      </c>
      <c r="Y43" s="3" t="e">
        <f t="shared" si="25"/>
        <v>#DIV/0!</v>
      </c>
      <c r="Z43" s="3" t="e">
        <f t="shared" si="19"/>
        <v>#DIV/0!</v>
      </c>
      <c r="AA43" s="3" t="e">
        <f t="shared" si="26"/>
        <v>#DIV/0!</v>
      </c>
      <c r="AB43" s="3" t="e">
        <f t="shared" si="27"/>
        <v>#DIV/0!</v>
      </c>
      <c r="AC43" s="3" t="e">
        <f t="shared" si="28"/>
        <v>#DIV/0!</v>
      </c>
      <c r="AD43" s="13" t="e">
        <f t="shared" si="20"/>
        <v>#DIV/0!</v>
      </c>
      <c r="AE43" s="3" t="e">
        <f t="shared" si="21"/>
        <v>#DIV/0!</v>
      </c>
      <c r="AF43" s="3" t="e">
        <f t="shared" si="22"/>
        <v>#DIV/0!</v>
      </c>
      <c r="AG43" s="3" t="e">
        <f t="shared" si="23"/>
        <v>#DIV/0!</v>
      </c>
      <c r="AH43" s="3" t="e">
        <f t="shared" si="29"/>
        <v>#DIV/0!</v>
      </c>
    </row>
    <row r="44" spans="19:34" x14ac:dyDescent="0.35">
      <c r="S44" s="53">
        <f t="shared" si="14"/>
        <v>0</v>
      </c>
      <c r="T44" s="22" t="e">
        <f t="shared" si="24"/>
        <v>#DIV/0!</v>
      </c>
      <c r="U44" s="14" t="e">
        <f t="shared" si="15"/>
        <v>#DIV/0!</v>
      </c>
      <c r="V44" s="3">
        <f t="shared" si="16"/>
        <v>0</v>
      </c>
      <c r="W44" s="3" t="e">
        <f t="shared" si="17"/>
        <v>#DIV/0!</v>
      </c>
      <c r="X44" s="3" t="e">
        <f t="shared" si="18"/>
        <v>#DIV/0!</v>
      </c>
      <c r="Y44" s="3" t="e">
        <f t="shared" si="25"/>
        <v>#DIV/0!</v>
      </c>
      <c r="Z44" s="3" t="e">
        <f t="shared" si="19"/>
        <v>#DIV/0!</v>
      </c>
      <c r="AA44" s="3" t="e">
        <f t="shared" si="26"/>
        <v>#DIV/0!</v>
      </c>
      <c r="AB44" s="3" t="e">
        <f t="shared" si="27"/>
        <v>#DIV/0!</v>
      </c>
      <c r="AC44" s="3" t="e">
        <f t="shared" si="28"/>
        <v>#DIV/0!</v>
      </c>
      <c r="AD44" s="13" t="e">
        <f t="shared" si="20"/>
        <v>#DIV/0!</v>
      </c>
      <c r="AE44" s="3" t="e">
        <f t="shared" si="21"/>
        <v>#DIV/0!</v>
      </c>
      <c r="AF44" s="3" t="e">
        <f t="shared" si="22"/>
        <v>#DIV/0!</v>
      </c>
      <c r="AG44" s="3" t="e">
        <f t="shared" si="23"/>
        <v>#DIV/0!</v>
      </c>
      <c r="AH44" s="3" t="e">
        <f t="shared" si="29"/>
        <v>#DIV/0!</v>
      </c>
    </row>
    <row r="45" spans="19:34" x14ac:dyDescent="0.35">
      <c r="S45" s="53">
        <f t="shared" si="14"/>
        <v>0</v>
      </c>
      <c r="T45" s="22" t="e">
        <f t="shared" si="24"/>
        <v>#DIV/0!</v>
      </c>
      <c r="U45" s="14" t="e">
        <f t="shared" si="15"/>
        <v>#DIV/0!</v>
      </c>
      <c r="V45" s="3">
        <f t="shared" si="16"/>
        <v>0</v>
      </c>
      <c r="W45" s="3" t="e">
        <f t="shared" si="17"/>
        <v>#DIV/0!</v>
      </c>
      <c r="X45" s="3" t="e">
        <f t="shared" si="18"/>
        <v>#DIV/0!</v>
      </c>
      <c r="Y45" s="3" t="e">
        <f t="shared" si="25"/>
        <v>#DIV/0!</v>
      </c>
      <c r="Z45" s="3" t="e">
        <f t="shared" si="19"/>
        <v>#DIV/0!</v>
      </c>
      <c r="AA45" s="3" t="e">
        <f t="shared" si="26"/>
        <v>#DIV/0!</v>
      </c>
      <c r="AB45" s="3" t="e">
        <f t="shared" si="27"/>
        <v>#DIV/0!</v>
      </c>
      <c r="AC45" s="3" t="e">
        <f t="shared" si="28"/>
        <v>#DIV/0!</v>
      </c>
      <c r="AD45" s="13" t="e">
        <f t="shared" si="20"/>
        <v>#DIV/0!</v>
      </c>
      <c r="AE45" s="3" t="e">
        <f t="shared" si="21"/>
        <v>#DIV/0!</v>
      </c>
      <c r="AF45" s="3" t="e">
        <f t="shared" si="22"/>
        <v>#DIV/0!</v>
      </c>
      <c r="AG45" s="3" t="e">
        <f t="shared" si="23"/>
        <v>#DIV/0!</v>
      </c>
      <c r="AH45" s="3" t="e">
        <f t="shared" si="29"/>
        <v>#DIV/0!</v>
      </c>
    </row>
    <row r="46" spans="19:34" x14ac:dyDescent="0.35">
      <c r="S46" s="53">
        <f t="shared" si="14"/>
        <v>0</v>
      </c>
      <c r="T46" s="22" t="e">
        <f t="shared" si="24"/>
        <v>#DIV/0!</v>
      </c>
      <c r="U46" s="14" t="e">
        <f t="shared" si="15"/>
        <v>#DIV/0!</v>
      </c>
      <c r="V46" s="3">
        <f t="shared" si="16"/>
        <v>0</v>
      </c>
      <c r="W46" s="3" t="e">
        <f t="shared" si="17"/>
        <v>#DIV/0!</v>
      </c>
      <c r="X46" s="3" t="e">
        <f t="shared" si="18"/>
        <v>#DIV/0!</v>
      </c>
      <c r="Y46" s="3" t="e">
        <f t="shared" si="25"/>
        <v>#DIV/0!</v>
      </c>
      <c r="Z46" s="3" t="e">
        <f t="shared" si="19"/>
        <v>#DIV/0!</v>
      </c>
      <c r="AA46" s="3" t="e">
        <f t="shared" si="26"/>
        <v>#DIV/0!</v>
      </c>
      <c r="AB46" s="3" t="e">
        <f t="shared" si="27"/>
        <v>#DIV/0!</v>
      </c>
      <c r="AC46" s="3" t="e">
        <f t="shared" si="28"/>
        <v>#DIV/0!</v>
      </c>
      <c r="AD46" s="13" t="e">
        <f t="shared" si="20"/>
        <v>#DIV/0!</v>
      </c>
      <c r="AE46" s="3" t="e">
        <f t="shared" si="21"/>
        <v>#DIV/0!</v>
      </c>
      <c r="AF46" s="3" t="e">
        <f t="shared" si="22"/>
        <v>#DIV/0!</v>
      </c>
      <c r="AG46" s="3" t="e">
        <f t="shared" si="23"/>
        <v>#DIV/0!</v>
      </c>
      <c r="AH46" s="3" t="e">
        <f t="shared" si="29"/>
        <v>#DIV/0!</v>
      </c>
    </row>
    <row r="47" spans="19:34" x14ac:dyDescent="0.35">
      <c r="S47" s="53">
        <f t="shared" si="14"/>
        <v>0</v>
      </c>
      <c r="T47" s="22" t="e">
        <f t="shared" si="24"/>
        <v>#DIV/0!</v>
      </c>
      <c r="U47" s="14" t="e">
        <f t="shared" si="15"/>
        <v>#DIV/0!</v>
      </c>
      <c r="V47" s="3">
        <f t="shared" si="16"/>
        <v>0</v>
      </c>
      <c r="W47" s="3" t="e">
        <f t="shared" si="17"/>
        <v>#DIV/0!</v>
      </c>
      <c r="X47" s="3" t="e">
        <f t="shared" si="18"/>
        <v>#DIV/0!</v>
      </c>
      <c r="Y47" s="3" t="e">
        <f t="shared" si="25"/>
        <v>#DIV/0!</v>
      </c>
      <c r="Z47" s="3" t="e">
        <f t="shared" si="19"/>
        <v>#DIV/0!</v>
      </c>
      <c r="AA47" s="3" t="e">
        <f t="shared" si="26"/>
        <v>#DIV/0!</v>
      </c>
      <c r="AB47" s="3" t="e">
        <f t="shared" si="27"/>
        <v>#DIV/0!</v>
      </c>
      <c r="AC47" s="3" t="e">
        <f t="shared" si="28"/>
        <v>#DIV/0!</v>
      </c>
      <c r="AD47" s="13" t="e">
        <f t="shared" si="20"/>
        <v>#DIV/0!</v>
      </c>
      <c r="AE47" s="3" t="e">
        <f t="shared" si="21"/>
        <v>#DIV/0!</v>
      </c>
      <c r="AF47" s="3" t="e">
        <f t="shared" si="22"/>
        <v>#DIV/0!</v>
      </c>
      <c r="AG47" s="3" t="e">
        <f t="shared" si="23"/>
        <v>#DIV/0!</v>
      </c>
      <c r="AH47" s="3" t="e">
        <f t="shared" si="29"/>
        <v>#DIV/0!</v>
      </c>
    </row>
    <row r="48" spans="19:34" x14ac:dyDescent="0.35">
      <c r="S48" s="53">
        <f t="shared" si="14"/>
        <v>0</v>
      </c>
      <c r="T48" s="22" t="e">
        <f t="shared" si="24"/>
        <v>#DIV/0!</v>
      </c>
      <c r="U48" s="14" t="e">
        <f t="shared" si="15"/>
        <v>#DIV/0!</v>
      </c>
      <c r="V48" s="3">
        <f t="shared" si="16"/>
        <v>0</v>
      </c>
      <c r="W48" s="3" t="e">
        <f t="shared" si="17"/>
        <v>#DIV/0!</v>
      </c>
      <c r="X48" s="3" t="e">
        <f t="shared" si="18"/>
        <v>#DIV/0!</v>
      </c>
      <c r="Y48" s="3" t="e">
        <f t="shared" si="25"/>
        <v>#DIV/0!</v>
      </c>
      <c r="Z48" s="3" t="e">
        <f t="shared" si="19"/>
        <v>#DIV/0!</v>
      </c>
      <c r="AA48" s="3" t="e">
        <f t="shared" si="26"/>
        <v>#DIV/0!</v>
      </c>
      <c r="AB48" s="3" t="e">
        <f t="shared" si="27"/>
        <v>#DIV/0!</v>
      </c>
      <c r="AC48" s="3" t="e">
        <f t="shared" si="28"/>
        <v>#DIV/0!</v>
      </c>
      <c r="AD48" s="13" t="e">
        <f t="shared" si="20"/>
        <v>#DIV/0!</v>
      </c>
      <c r="AE48" s="3" t="e">
        <f t="shared" si="21"/>
        <v>#DIV/0!</v>
      </c>
      <c r="AF48" s="3" t="e">
        <f t="shared" si="22"/>
        <v>#DIV/0!</v>
      </c>
      <c r="AG48" s="3" t="e">
        <f t="shared" si="23"/>
        <v>#DIV/0!</v>
      </c>
      <c r="AH48" s="3" t="e">
        <f>AC48*AC48*$F$4*Z48</f>
        <v>#DIV/0!</v>
      </c>
    </row>
  </sheetData>
  <sheetProtection selectLockedCells="1"/>
  <mergeCells count="1">
    <mergeCell ref="B11:E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241E-92D5-4936-ACF3-A4C2388F6DFE}">
  <sheetPr codeName="Sheet4"/>
  <dimension ref="P2:Z5"/>
  <sheetViews>
    <sheetView zoomScaleNormal="100" workbookViewId="0">
      <selection activeCell="Q28" sqref="Q28"/>
    </sheetView>
  </sheetViews>
  <sheetFormatPr defaultRowHeight="14.5" x14ac:dyDescent="0.35"/>
  <cols>
    <col min="16" max="16" width="12.1796875" bestFit="1" customWidth="1"/>
  </cols>
  <sheetData>
    <row r="2" spans="16:26" x14ac:dyDescent="0.35">
      <c r="Z2" t="s">
        <v>151</v>
      </c>
    </row>
    <row r="3" spans="16:26" x14ac:dyDescent="0.35">
      <c r="P3" t="s">
        <v>149</v>
      </c>
      <c r="Q3">
        <v>80</v>
      </c>
      <c r="R3">
        <v>90</v>
      </c>
      <c r="S3">
        <v>100</v>
      </c>
      <c r="T3">
        <v>110</v>
      </c>
      <c r="U3">
        <v>120</v>
      </c>
      <c r="V3">
        <v>130</v>
      </c>
      <c r="W3">
        <v>140</v>
      </c>
      <c r="X3">
        <v>150</v>
      </c>
      <c r="Z3">
        <f>'Main Table'!D35</f>
        <v>100</v>
      </c>
    </row>
    <row r="4" spans="16:26" x14ac:dyDescent="0.35">
      <c r="P4" t="s">
        <v>150</v>
      </c>
      <c r="Q4">
        <v>200</v>
      </c>
      <c r="R4">
        <v>100</v>
      </c>
      <c r="S4">
        <v>60</v>
      </c>
      <c r="T4">
        <v>40</v>
      </c>
      <c r="U4">
        <v>28</v>
      </c>
      <c r="V4">
        <v>20</v>
      </c>
      <c r="W4">
        <v>15</v>
      </c>
      <c r="X4">
        <v>10</v>
      </c>
    </row>
    <row r="5" spans="16:26" x14ac:dyDescent="0.35">
      <c r="Q5">
        <f>0.00003286*Q3^4-0.0166029*Q3^3+3.13838068*Q3^2-263.88083514*Q3+8378.7635</f>
        <v>199.19384080000054</v>
      </c>
      <c r="R5">
        <f t="shared" ref="R5:Z5" si="0">0.00003286*R3^4-0.0166029*R3^3+3.13838068*R3^2-263.88083514*R3+8378.7635</f>
        <v>102.80234539999765</v>
      </c>
      <c r="S5">
        <f t="shared" si="0"/>
        <v>57.586786000001666</v>
      </c>
      <c r="T5">
        <f t="shared" si="0"/>
        <v>38.850562599998739</v>
      </c>
      <c r="U5">
        <f t="shared" si="0"/>
        <v>29.783475200003522</v>
      </c>
      <c r="V5">
        <f t="shared" si="0"/>
        <v>21.461723799997344</v>
      </c>
      <c r="W5">
        <f t="shared" si="0"/>
        <v>12.847908399997323</v>
      </c>
      <c r="X5">
        <f t="shared" si="0"/>
        <v>10.791029000005437</v>
      </c>
      <c r="Z5">
        <f t="shared" si="0"/>
        <v>57.586786000001666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B04-1772-4058-92C8-757E1A9B9C79}">
  <sheetPr codeName="Sheet5"/>
  <dimension ref="B19:F30"/>
  <sheetViews>
    <sheetView zoomScaleNormal="100" workbookViewId="0">
      <selection activeCell="Q28" sqref="Q28"/>
    </sheetView>
  </sheetViews>
  <sheetFormatPr defaultRowHeight="14.5" x14ac:dyDescent="0.35"/>
  <sheetData>
    <row r="19" spans="2:6" x14ac:dyDescent="0.35">
      <c r="B19" t="s">
        <v>153</v>
      </c>
      <c r="C19" t="s">
        <v>154</v>
      </c>
      <c r="E19" t="s">
        <v>151</v>
      </c>
    </row>
    <row r="20" spans="2:6" x14ac:dyDescent="0.35">
      <c r="B20">
        <v>0.1</v>
      </c>
      <c r="C20">
        <v>232</v>
      </c>
      <c r="E20">
        <f>'Main Table'!D18</f>
        <v>0.4</v>
      </c>
      <c r="F20">
        <f>VLOOKUP(E20,B20:C30,2,0)</f>
        <v>59</v>
      </c>
    </row>
    <row r="21" spans="2:6" x14ac:dyDescent="0.35">
      <c r="B21">
        <v>0.2</v>
      </c>
      <c r="C21">
        <v>138</v>
      </c>
    </row>
    <row r="22" spans="2:6" x14ac:dyDescent="0.35">
      <c r="B22">
        <v>0.3</v>
      </c>
      <c r="C22">
        <v>83</v>
      </c>
    </row>
    <row r="23" spans="2:6" x14ac:dyDescent="0.35">
      <c r="B23">
        <v>0.4</v>
      </c>
      <c r="C23">
        <v>59</v>
      </c>
    </row>
    <row r="24" spans="2:6" x14ac:dyDescent="0.35">
      <c r="B24">
        <v>0.6</v>
      </c>
      <c r="C24">
        <v>38</v>
      </c>
    </row>
    <row r="25" spans="2:6" x14ac:dyDescent="0.35">
      <c r="B25">
        <v>0.8</v>
      </c>
      <c r="C25">
        <v>28</v>
      </c>
    </row>
    <row r="26" spans="2:6" x14ac:dyDescent="0.35">
      <c r="B26">
        <v>1</v>
      </c>
      <c r="C26">
        <v>23</v>
      </c>
    </row>
    <row r="27" spans="2:6" x14ac:dyDescent="0.35">
      <c r="B27">
        <v>1.2</v>
      </c>
      <c r="C27">
        <v>18</v>
      </c>
    </row>
    <row r="28" spans="2:6" x14ac:dyDescent="0.35">
      <c r="B28">
        <v>1.5</v>
      </c>
      <c r="C28">
        <v>13</v>
      </c>
    </row>
    <row r="29" spans="2:6" x14ac:dyDescent="0.35">
      <c r="B29">
        <v>1.8</v>
      </c>
      <c r="C29">
        <v>11</v>
      </c>
    </row>
    <row r="30" spans="2:6" x14ac:dyDescent="0.35">
      <c r="B30">
        <v>2.2000000000000002</v>
      </c>
      <c r="C30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58</vt:i4>
      </vt:variant>
    </vt:vector>
  </HeadingPairs>
  <TitlesOfParts>
    <vt:vector size="63" baseType="lpstr">
      <vt:lpstr>Main Table</vt:lpstr>
      <vt:lpstr>Boost</vt:lpstr>
      <vt:lpstr>BuckBoost</vt:lpstr>
      <vt:lpstr>thermal foldback</vt:lpstr>
      <vt:lpstr>frequency setting</vt:lpstr>
      <vt:lpstr>BuckBoost!Cdiode</vt:lpstr>
      <vt:lpstr>Boost!CM</vt:lpstr>
      <vt:lpstr>BuckBoost!CM</vt:lpstr>
      <vt:lpstr>Boost!D</vt:lpstr>
      <vt:lpstr>BuckBoost!D</vt:lpstr>
      <vt:lpstr>Boost!D1_</vt:lpstr>
      <vt:lpstr>BuckBoost!D1_</vt:lpstr>
      <vt:lpstr>Boost!D1_DCM</vt:lpstr>
      <vt:lpstr>Boost!D2_</vt:lpstr>
      <vt:lpstr>BuckBoost!D2_</vt:lpstr>
      <vt:lpstr>Boost!Dbar</vt:lpstr>
      <vt:lpstr>BuckBoost!Dbar</vt:lpstr>
      <vt:lpstr>Boost!FS</vt:lpstr>
      <vt:lpstr>BuckBoost!FS</vt:lpstr>
      <vt:lpstr>Boost!IL</vt:lpstr>
      <vt:lpstr>BuckBoost!IL</vt:lpstr>
      <vt:lpstr>Boost!ILD</vt:lpstr>
      <vt:lpstr>BuckBoost!ILD</vt:lpstr>
      <vt:lpstr>Boost!ILOAD</vt:lpstr>
      <vt:lpstr>BuckBoost!ILOAD</vt:lpstr>
      <vt:lpstr>Iout</vt:lpstr>
      <vt:lpstr>Iout_Full_Scale_total</vt:lpstr>
      <vt:lpstr>IoutFS_string</vt:lpstr>
      <vt:lpstr>Boost!Ipeak</vt:lpstr>
      <vt:lpstr>BuckBoost!Ipeak</vt:lpstr>
      <vt:lpstr>Boost!Ipeak_ccm</vt:lpstr>
      <vt:lpstr>BuckBoost!Ipeak_ccm</vt:lpstr>
      <vt:lpstr>Boost!Ipeak_dcm</vt:lpstr>
      <vt:lpstr>Boost!Ipp</vt:lpstr>
      <vt:lpstr>BuckBoost!Ipp</vt:lpstr>
      <vt:lpstr>Boost!Ivalley</vt:lpstr>
      <vt:lpstr>BuckBoost!Ivalley</vt:lpstr>
      <vt:lpstr>Boost!L</vt:lpstr>
      <vt:lpstr>BuckBoost!L</vt:lpstr>
      <vt:lpstr>BuckBoost!LowSide_Cds</vt:lpstr>
      <vt:lpstr>BuckBoost!LowSide_Cgd</vt:lpstr>
      <vt:lpstr>BuckBoost!LowSide_Cgs</vt:lpstr>
      <vt:lpstr>Boost!MOS_Off_time_s</vt:lpstr>
      <vt:lpstr>BuckBoost!MOS_Off_time_s</vt:lpstr>
      <vt:lpstr>Boost!MOS_On_time_s</vt:lpstr>
      <vt:lpstr>BuckBoost!MOS_On_time_s</vt:lpstr>
      <vt:lpstr>BuckBoost!Quiescent_current</vt:lpstr>
      <vt:lpstr>Boost!RD</vt:lpstr>
      <vt:lpstr>BuckBoost!RD</vt:lpstr>
      <vt:lpstr>Boost!RDS_ON</vt:lpstr>
      <vt:lpstr>BuckBoost!RDS_ON</vt:lpstr>
      <vt:lpstr>Boost!RL</vt:lpstr>
      <vt:lpstr>BuckBoost!RL</vt:lpstr>
      <vt:lpstr>Boost!TS</vt:lpstr>
      <vt:lpstr>BuckBoost!TS</vt:lpstr>
      <vt:lpstr>Boost!VD</vt:lpstr>
      <vt:lpstr>BuckBoost!VD</vt:lpstr>
      <vt:lpstr>BuckBoost!Vhead_V</vt:lpstr>
      <vt:lpstr>Boost!VIN</vt:lpstr>
      <vt:lpstr>BuckBoost!VIN</vt:lpstr>
      <vt:lpstr>Vled</vt:lpstr>
      <vt:lpstr>Boost!VO</vt:lpstr>
      <vt:lpstr>BuckBoost!VO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Mason</dc:creator>
  <cp:lastModifiedBy>Dong, Suchen</cp:lastModifiedBy>
  <dcterms:created xsi:type="dcterms:W3CDTF">2022-12-26T07:08:44Z</dcterms:created>
  <dcterms:modified xsi:type="dcterms:W3CDTF">2025-09-10T02:46:34Z</dcterms:modified>
</cp:coreProperties>
</file>