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codeName="ThisWorkbook" defaultThemeVersion="124226"/>
  <bookViews>
    <workbookView xWindow="348" yWindow="1776" windowWidth="11196" windowHeight="7572"/>
  </bookViews>
  <sheets>
    <sheet name="Boost" sheetId="5" r:id="rId1"/>
    <sheet name="External Components" sheetId="1" r:id="rId2"/>
  </sheets>
  <definedNames>
    <definedName name="CD" localSheetId="0">Boost!#REF!</definedName>
    <definedName name="CD">#REF!</definedName>
    <definedName name="CDS" localSheetId="0">Boost!#REF!</definedName>
    <definedName name="CDS">#REF!</definedName>
    <definedName name="CGD" localSheetId="0">Boost!#REF!</definedName>
    <definedName name="CGD">#REF!</definedName>
    <definedName name="CGS" localSheetId="0">Boost!#REF!</definedName>
    <definedName name="CGS">#REF!</definedName>
    <definedName name="CM" localSheetId="0">Boost!$M$4</definedName>
    <definedName name="CM">#REF!</definedName>
    <definedName name="D" localSheetId="0">Boost!$C$8</definedName>
    <definedName name="D">#REF!</definedName>
    <definedName name="D1_" localSheetId="0">Boost!$G$6</definedName>
    <definedName name="D1_">#REF!</definedName>
    <definedName name="D2_" localSheetId="0">Boost!$G$8</definedName>
    <definedName name="D2_">#REF!</definedName>
    <definedName name="Dbar" localSheetId="0">Boost!$C$6</definedName>
    <definedName name="Dbar">#REF!</definedName>
    <definedName name="Efficiency" localSheetId="0">Boost!#REF!</definedName>
    <definedName name="Efficiency">#REF!</definedName>
    <definedName name="ESR" localSheetId="0">Boost!#REF!</definedName>
    <definedName name="ESR">#REF!</definedName>
    <definedName name="FS" localSheetId="0">Boost!$J$4</definedName>
    <definedName name="FS">#REF!</definedName>
    <definedName name="IB" localSheetId="0">Boost!#REF!</definedName>
    <definedName name="IB">#REF!</definedName>
    <definedName name="IL" localSheetId="0">Boost!$C$7</definedName>
    <definedName name="IL">#REF!</definedName>
    <definedName name="ILD" localSheetId="0">Boost!$G$7</definedName>
    <definedName name="ILD">#REF!</definedName>
    <definedName name="ILOAD" localSheetId="0">Boost!$H$4</definedName>
    <definedName name="ILOAD">#REF!</definedName>
    <definedName name="Ipeak" localSheetId="0">Boost!$G$9</definedName>
    <definedName name="Ipeak">#REF!</definedName>
    <definedName name="Ipp" localSheetId="0">Boost!$C$9</definedName>
    <definedName name="Ipp">#REF!</definedName>
    <definedName name="Ivalley" localSheetId="0">Boost!$C$10</definedName>
    <definedName name="Ivalley">#REF!</definedName>
    <definedName name="k">#REF!</definedName>
    <definedName name="L" localSheetId="0">Boost!$I$4</definedName>
    <definedName name="L">#REF!</definedName>
    <definedName name="PB" localSheetId="0">Boost!#REF!</definedName>
    <definedName name="PB">#REF!</definedName>
    <definedName name="PCD" localSheetId="0">Boost!#REF!</definedName>
    <definedName name="PCD">#REF!</definedName>
    <definedName name="PCDS" localSheetId="0">Boost!#REF!</definedName>
    <definedName name="PCDS">#REF!</definedName>
    <definedName name="Pdiode" localSheetId="0">Boost!#REF!</definedName>
    <definedName name="Pdiode">#REF!</definedName>
    <definedName name="PESR" localSheetId="0">Boost!#REF!</definedName>
    <definedName name="PESR">#REF!</definedName>
    <definedName name="PGATE" localSheetId="0">Boost!#REF!</definedName>
    <definedName name="PGATE">#REF!</definedName>
    <definedName name="PL" localSheetId="0">Boost!#REF!</definedName>
    <definedName name="PL">#REF!</definedName>
    <definedName name="PLOSS" localSheetId="0">Boost!#REF!</definedName>
    <definedName name="PLOSS">#REF!</definedName>
    <definedName name="PMOS" localSheetId="0">Boost!#REF!</definedName>
    <definedName name="PMOS">#REF!</definedName>
    <definedName name="POUT" localSheetId="0">Boost!#REF!</definedName>
    <definedName name="POUT">#REF!</definedName>
    <definedName name="PSW" localSheetId="0">Boost!#REF!</definedName>
    <definedName name="PSW">#REF!</definedName>
    <definedName name="RD" localSheetId="0">Boost!$F$4</definedName>
    <definedName name="RD">#REF!</definedName>
    <definedName name="RDS_ON" localSheetId="0">Boost!$E$4</definedName>
    <definedName name="RDS_ON">#REF!</definedName>
    <definedName name="RL" localSheetId="0">Boost!$D$4</definedName>
    <definedName name="RL">#REF!</definedName>
    <definedName name="TS" localSheetId="0">Boost!$L$4</definedName>
    <definedName name="TS">#REF!</definedName>
    <definedName name="TSWIR" localSheetId="0">Boost!#REF!</definedName>
    <definedName name="TSWIR">#REF!</definedName>
    <definedName name="TSWVF" localSheetId="0">Boost!#REF!</definedName>
    <definedName name="TSWVF">#REF!</definedName>
    <definedName name="VBOOST" localSheetId="1">'External Components'!$B$3</definedName>
    <definedName name="VD" localSheetId="0">Boost!$G$4</definedName>
    <definedName name="VD">#REF!</definedName>
    <definedName name="VGATE" localSheetId="0">Boost!#REF!</definedName>
    <definedName name="VGATE">#REF!</definedName>
    <definedName name="VIN" localSheetId="0">Boost!$B$4</definedName>
    <definedName name="VIN">#REF!</definedName>
    <definedName name="VO" localSheetId="0">Boost!$C$4</definedName>
    <definedName name="VO">#REF!</definedName>
  </definedNames>
  <calcPr calcId="145621"/>
</workbook>
</file>

<file path=xl/calcChain.xml><?xml version="1.0" encoding="utf-8"?>
<calcChain xmlns="http://schemas.openxmlformats.org/spreadsheetml/2006/main">
  <c r="J7" i="5" l="1"/>
  <c r="S6" i="5" l="1"/>
  <c r="T6" i="5" l="1"/>
  <c r="U6" i="5" s="1"/>
  <c r="V6" i="5" s="1"/>
  <c r="W6" i="5" s="1"/>
  <c r="Y6" i="5" l="1"/>
  <c r="Z6" i="5"/>
  <c r="X6" i="5"/>
  <c r="D12" i="1"/>
  <c r="E12" i="1"/>
  <c r="C12" i="1"/>
  <c r="S7" i="5" l="1"/>
  <c r="T7" i="5" s="1"/>
  <c r="U7" i="5" s="1"/>
  <c r="Z7" i="5" s="1"/>
  <c r="W4" i="1"/>
  <c r="X4" i="1" s="1"/>
  <c r="W5" i="1"/>
  <c r="X5" i="1" s="1"/>
  <c r="W6" i="1"/>
  <c r="X6" i="1" s="1"/>
  <c r="W12" i="1"/>
  <c r="X12" i="1" s="1"/>
  <c r="W16" i="1"/>
  <c r="X16" i="1" s="1"/>
  <c r="W17" i="1"/>
  <c r="W20" i="1"/>
  <c r="X20" i="1" s="1"/>
  <c r="W21" i="1"/>
  <c r="X21" i="1" s="1"/>
  <c r="W22" i="1"/>
  <c r="X22" i="1" s="1"/>
  <c r="W26" i="1"/>
  <c r="X26" i="1" s="1"/>
  <c r="W28" i="1"/>
  <c r="X28" i="1" s="1"/>
  <c r="W32" i="1"/>
  <c r="X32" i="1" s="1"/>
  <c r="W33" i="1"/>
  <c r="W36" i="1"/>
  <c r="X36" i="1" s="1"/>
  <c r="W37" i="1"/>
  <c r="X37" i="1" s="1"/>
  <c r="W42" i="1"/>
  <c r="X42" i="1" s="1"/>
  <c r="W44" i="1"/>
  <c r="X44" i="1" s="1"/>
  <c r="W48" i="1"/>
  <c r="X48" i="1" s="1"/>
  <c r="W49" i="1"/>
  <c r="X49" i="1" s="1"/>
  <c r="W52" i="1"/>
  <c r="X52" i="1" s="1"/>
  <c r="W53" i="1"/>
  <c r="X53" i="1" s="1"/>
  <c r="W60" i="1"/>
  <c r="X60" i="1" s="1"/>
  <c r="W64" i="1"/>
  <c r="X64" i="1" s="1"/>
  <c r="W65" i="1"/>
  <c r="X65" i="1" s="1"/>
  <c r="W69" i="1"/>
  <c r="X69" i="1" s="1"/>
  <c r="W70" i="1"/>
  <c r="X70" i="1" s="1"/>
  <c r="W74" i="1"/>
  <c r="X74" i="1" s="1"/>
  <c r="W76" i="1"/>
  <c r="X76" i="1" s="1"/>
  <c r="W80" i="1"/>
  <c r="X80" i="1" s="1"/>
  <c r="W81" i="1"/>
  <c r="X81" i="1" s="1"/>
  <c r="W85" i="1"/>
  <c r="X85" i="1" s="1"/>
  <c r="W92" i="1"/>
  <c r="W96" i="1"/>
  <c r="W97" i="1"/>
  <c r="W101" i="1"/>
  <c r="W102" i="1"/>
  <c r="W105" i="1"/>
  <c r="W109" i="1"/>
  <c r="W110" i="1"/>
  <c r="W113" i="1"/>
  <c r="W117" i="1"/>
  <c r="W118" i="1"/>
  <c r="W121" i="1"/>
  <c r="W125" i="1"/>
  <c r="W126" i="1"/>
  <c r="W129" i="1"/>
  <c r="W133" i="1"/>
  <c r="W134" i="1"/>
  <c r="W137" i="1"/>
  <c r="W141" i="1"/>
  <c r="W142" i="1"/>
  <c r="W145" i="1"/>
  <c r="W149" i="1"/>
  <c r="W150" i="1"/>
  <c r="W153" i="1"/>
  <c r="W157" i="1"/>
  <c r="W158" i="1"/>
  <c r="W161" i="1"/>
  <c r="W165" i="1"/>
  <c r="W166" i="1"/>
  <c r="W169" i="1"/>
  <c r="W173" i="1"/>
  <c r="W3" i="1"/>
  <c r="X3" i="1" s="1"/>
  <c r="V4" i="1"/>
  <c r="V5" i="1"/>
  <c r="V6" i="1"/>
  <c r="V7" i="1"/>
  <c r="W7" i="1" s="1"/>
  <c r="X7" i="1" s="1"/>
  <c r="V8" i="1"/>
  <c r="W8" i="1" s="1"/>
  <c r="X8" i="1" s="1"/>
  <c r="V9" i="1"/>
  <c r="W9" i="1" s="1"/>
  <c r="X9" i="1" s="1"/>
  <c r="V10" i="1"/>
  <c r="W10" i="1" s="1"/>
  <c r="X10" i="1" s="1"/>
  <c r="V11" i="1"/>
  <c r="W11" i="1" s="1"/>
  <c r="V12" i="1"/>
  <c r="V13" i="1"/>
  <c r="W13" i="1" s="1"/>
  <c r="X13" i="1" s="1"/>
  <c r="V14" i="1"/>
  <c r="W14" i="1" s="1"/>
  <c r="X14" i="1" s="1"/>
  <c r="V15" i="1"/>
  <c r="W15" i="1" s="1"/>
  <c r="X15" i="1" s="1"/>
  <c r="V16" i="1"/>
  <c r="V17" i="1"/>
  <c r="V18" i="1"/>
  <c r="W18" i="1" s="1"/>
  <c r="X18" i="1" s="1"/>
  <c r="V19" i="1"/>
  <c r="W19" i="1" s="1"/>
  <c r="X19" i="1" s="1"/>
  <c r="V20" i="1"/>
  <c r="V21" i="1"/>
  <c r="V22" i="1"/>
  <c r="V23" i="1"/>
  <c r="W23" i="1" s="1"/>
  <c r="X23" i="1" s="1"/>
  <c r="V24" i="1"/>
  <c r="W24" i="1" s="1"/>
  <c r="X24" i="1" s="1"/>
  <c r="V25" i="1"/>
  <c r="W25" i="1" s="1"/>
  <c r="X25" i="1" s="1"/>
  <c r="V26" i="1"/>
  <c r="V27" i="1"/>
  <c r="W27" i="1" s="1"/>
  <c r="V28" i="1"/>
  <c r="V29" i="1"/>
  <c r="W29" i="1" s="1"/>
  <c r="X29" i="1" s="1"/>
  <c r="V30" i="1"/>
  <c r="W30" i="1" s="1"/>
  <c r="X30" i="1" s="1"/>
  <c r="V31" i="1"/>
  <c r="W31" i="1" s="1"/>
  <c r="X31" i="1" s="1"/>
  <c r="V32" i="1"/>
  <c r="V33" i="1"/>
  <c r="V34" i="1"/>
  <c r="W34" i="1" s="1"/>
  <c r="X34" i="1" s="1"/>
  <c r="V35" i="1"/>
  <c r="W35" i="1" s="1"/>
  <c r="X35" i="1" s="1"/>
  <c r="V36" i="1"/>
  <c r="V37" i="1"/>
  <c r="V38" i="1"/>
  <c r="W38" i="1" s="1"/>
  <c r="X38" i="1" s="1"/>
  <c r="V39" i="1"/>
  <c r="W39" i="1" s="1"/>
  <c r="X39" i="1" s="1"/>
  <c r="V40" i="1"/>
  <c r="W40" i="1" s="1"/>
  <c r="X40" i="1" s="1"/>
  <c r="V41" i="1"/>
  <c r="W41" i="1" s="1"/>
  <c r="X41" i="1" s="1"/>
  <c r="V42" i="1"/>
  <c r="V43" i="1"/>
  <c r="W43" i="1" s="1"/>
  <c r="V44" i="1"/>
  <c r="V45" i="1"/>
  <c r="W45" i="1" s="1"/>
  <c r="X45" i="1" s="1"/>
  <c r="V46" i="1"/>
  <c r="W46" i="1" s="1"/>
  <c r="X46" i="1" s="1"/>
  <c r="V47" i="1"/>
  <c r="W47" i="1" s="1"/>
  <c r="X47" i="1" s="1"/>
  <c r="V48" i="1"/>
  <c r="V49" i="1"/>
  <c r="V50" i="1"/>
  <c r="W50" i="1" s="1"/>
  <c r="X50" i="1" s="1"/>
  <c r="V51" i="1"/>
  <c r="W51" i="1" s="1"/>
  <c r="X51" i="1" s="1"/>
  <c r="V52" i="1"/>
  <c r="V53" i="1"/>
  <c r="V54" i="1"/>
  <c r="W54" i="1" s="1"/>
  <c r="X54" i="1" s="1"/>
  <c r="V55" i="1"/>
  <c r="W55" i="1" s="1"/>
  <c r="X55" i="1" s="1"/>
  <c r="V56" i="1"/>
  <c r="W56" i="1" s="1"/>
  <c r="X56" i="1" s="1"/>
  <c r="V57" i="1"/>
  <c r="W57" i="1" s="1"/>
  <c r="X57" i="1" s="1"/>
  <c r="V58" i="1"/>
  <c r="W58" i="1" s="1"/>
  <c r="X58" i="1" s="1"/>
  <c r="V59" i="1"/>
  <c r="W59" i="1" s="1"/>
  <c r="V60" i="1"/>
  <c r="V61" i="1"/>
  <c r="W61" i="1" s="1"/>
  <c r="X61" i="1" s="1"/>
  <c r="V62" i="1"/>
  <c r="W62" i="1" s="1"/>
  <c r="X62" i="1" s="1"/>
  <c r="V63" i="1"/>
  <c r="W63" i="1" s="1"/>
  <c r="X63" i="1" s="1"/>
  <c r="V64" i="1"/>
  <c r="V65" i="1"/>
  <c r="V66" i="1"/>
  <c r="W66" i="1" s="1"/>
  <c r="X66" i="1" s="1"/>
  <c r="V67" i="1"/>
  <c r="W67" i="1" s="1"/>
  <c r="X67" i="1" s="1"/>
  <c r="V68" i="1"/>
  <c r="W68" i="1" s="1"/>
  <c r="X68" i="1" s="1"/>
  <c r="V69" i="1"/>
  <c r="V70" i="1"/>
  <c r="V71" i="1"/>
  <c r="W71" i="1" s="1"/>
  <c r="X71" i="1" s="1"/>
  <c r="V72" i="1"/>
  <c r="W72" i="1" s="1"/>
  <c r="X72" i="1" s="1"/>
  <c r="V73" i="1"/>
  <c r="W73" i="1" s="1"/>
  <c r="X73" i="1" s="1"/>
  <c r="V74" i="1"/>
  <c r="V75" i="1"/>
  <c r="W75" i="1" s="1"/>
  <c r="X75" i="1" s="1"/>
  <c r="V76" i="1"/>
  <c r="V77" i="1"/>
  <c r="W77" i="1" s="1"/>
  <c r="X77" i="1" s="1"/>
  <c r="V78" i="1"/>
  <c r="W78" i="1" s="1"/>
  <c r="X78" i="1" s="1"/>
  <c r="V79" i="1"/>
  <c r="W79" i="1" s="1"/>
  <c r="X79" i="1" s="1"/>
  <c r="V80" i="1"/>
  <c r="V81" i="1"/>
  <c r="V82" i="1"/>
  <c r="W82" i="1" s="1"/>
  <c r="X82" i="1" s="1"/>
  <c r="V83" i="1"/>
  <c r="W83" i="1" s="1"/>
  <c r="V84" i="1"/>
  <c r="W84" i="1" s="1"/>
  <c r="X84" i="1" s="1"/>
  <c r="V85" i="1"/>
  <c r="V86" i="1"/>
  <c r="W86" i="1" s="1"/>
  <c r="X86" i="1" s="1"/>
  <c r="V87" i="1"/>
  <c r="W87" i="1" s="1"/>
  <c r="V88" i="1"/>
  <c r="W88" i="1" s="1"/>
  <c r="X88" i="1" s="1"/>
  <c r="V89" i="1"/>
  <c r="W89" i="1" s="1"/>
  <c r="X89" i="1" s="1"/>
  <c r="V90" i="1"/>
  <c r="W90" i="1" s="1"/>
  <c r="V91" i="1"/>
  <c r="W91" i="1" s="1"/>
  <c r="V92" i="1"/>
  <c r="V93" i="1"/>
  <c r="W93" i="1" s="1"/>
  <c r="V94" i="1"/>
  <c r="W94" i="1" s="1"/>
  <c r="V95" i="1"/>
  <c r="W95" i="1" s="1"/>
  <c r="V96" i="1"/>
  <c r="V97" i="1"/>
  <c r="V98" i="1"/>
  <c r="W98" i="1" s="1"/>
  <c r="V99" i="1"/>
  <c r="W99" i="1" s="1"/>
  <c r="V100" i="1"/>
  <c r="W100" i="1" s="1"/>
  <c r="V101" i="1"/>
  <c r="V102" i="1"/>
  <c r="V103" i="1"/>
  <c r="W103" i="1" s="1"/>
  <c r="V104" i="1"/>
  <c r="W104" i="1" s="1"/>
  <c r="V105" i="1"/>
  <c r="V106" i="1"/>
  <c r="W106" i="1" s="1"/>
  <c r="V107" i="1"/>
  <c r="W107" i="1" s="1"/>
  <c r="V108" i="1"/>
  <c r="W108" i="1" s="1"/>
  <c r="V109" i="1"/>
  <c r="V110" i="1"/>
  <c r="V111" i="1"/>
  <c r="W111" i="1" s="1"/>
  <c r="V112" i="1"/>
  <c r="W112" i="1" s="1"/>
  <c r="V113" i="1"/>
  <c r="V114" i="1"/>
  <c r="W114" i="1" s="1"/>
  <c r="V115" i="1"/>
  <c r="W115" i="1" s="1"/>
  <c r="V116" i="1"/>
  <c r="W116" i="1" s="1"/>
  <c r="V117" i="1"/>
  <c r="V118" i="1"/>
  <c r="V119" i="1"/>
  <c r="W119" i="1" s="1"/>
  <c r="V120" i="1"/>
  <c r="W120" i="1" s="1"/>
  <c r="V121" i="1"/>
  <c r="V122" i="1"/>
  <c r="W122" i="1" s="1"/>
  <c r="V123" i="1"/>
  <c r="W123" i="1" s="1"/>
  <c r="V124" i="1"/>
  <c r="W124" i="1" s="1"/>
  <c r="V125" i="1"/>
  <c r="V126" i="1"/>
  <c r="V127" i="1"/>
  <c r="W127" i="1" s="1"/>
  <c r="V128" i="1"/>
  <c r="W128" i="1" s="1"/>
  <c r="V129" i="1"/>
  <c r="V130" i="1"/>
  <c r="W130" i="1" s="1"/>
  <c r="V131" i="1"/>
  <c r="W131" i="1" s="1"/>
  <c r="V132" i="1"/>
  <c r="W132" i="1" s="1"/>
  <c r="V133" i="1"/>
  <c r="V134" i="1"/>
  <c r="V135" i="1"/>
  <c r="W135" i="1" s="1"/>
  <c r="V136" i="1"/>
  <c r="W136" i="1" s="1"/>
  <c r="V137" i="1"/>
  <c r="V138" i="1"/>
  <c r="W138" i="1" s="1"/>
  <c r="V139" i="1"/>
  <c r="W139" i="1" s="1"/>
  <c r="V140" i="1"/>
  <c r="W140" i="1" s="1"/>
  <c r="V141" i="1"/>
  <c r="V142" i="1"/>
  <c r="V143" i="1"/>
  <c r="W143" i="1" s="1"/>
  <c r="V144" i="1"/>
  <c r="W144" i="1" s="1"/>
  <c r="V145" i="1"/>
  <c r="V146" i="1"/>
  <c r="W146" i="1" s="1"/>
  <c r="V147" i="1"/>
  <c r="W147" i="1" s="1"/>
  <c r="V148" i="1"/>
  <c r="W148" i="1" s="1"/>
  <c r="V149" i="1"/>
  <c r="V150" i="1"/>
  <c r="V151" i="1"/>
  <c r="W151" i="1" s="1"/>
  <c r="V152" i="1"/>
  <c r="W152" i="1" s="1"/>
  <c r="V153" i="1"/>
  <c r="V154" i="1"/>
  <c r="W154" i="1" s="1"/>
  <c r="V155" i="1"/>
  <c r="W155" i="1" s="1"/>
  <c r="V156" i="1"/>
  <c r="W156" i="1" s="1"/>
  <c r="V157" i="1"/>
  <c r="V158" i="1"/>
  <c r="V159" i="1"/>
  <c r="W159" i="1" s="1"/>
  <c r="V160" i="1"/>
  <c r="W160" i="1" s="1"/>
  <c r="V161" i="1"/>
  <c r="V162" i="1"/>
  <c r="W162" i="1" s="1"/>
  <c r="V163" i="1"/>
  <c r="W163" i="1" s="1"/>
  <c r="V164" i="1"/>
  <c r="W164" i="1" s="1"/>
  <c r="V165" i="1"/>
  <c r="V166" i="1"/>
  <c r="V167" i="1"/>
  <c r="W167" i="1" s="1"/>
  <c r="V168" i="1"/>
  <c r="W168" i="1" s="1"/>
  <c r="V169" i="1"/>
  <c r="V170" i="1"/>
  <c r="W170" i="1" s="1"/>
  <c r="V171" i="1"/>
  <c r="W171" i="1" s="1"/>
  <c r="V172" i="1"/>
  <c r="W172" i="1" s="1"/>
  <c r="V173" i="1"/>
  <c r="V3" i="1"/>
  <c r="K6" i="1"/>
  <c r="I6" i="1"/>
  <c r="M6" i="1" s="1"/>
  <c r="L4" i="5"/>
  <c r="M10" i="5" s="1"/>
  <c r="N10" i="5" s="1"/>
  <c r="X7" i="5" l="1"/>
  <c r="V7" i="5"/>
  <c r="W7" i="5" s="1"/>
  <c r="Y7" i="5"/>
  <c r="S8" i="5" s="1"/>
  <c r="X96" i="1"/>
  <c r="X92" i="1"/>
  <c r="Y92" i="1" s="1"/>
  <c r="X95" i="1"/>
  <c r="X91" i="1"/>
  <c r="X94" i="1"/>
  <c r="X90" i="1"/>
  <c r="Y90" i="1" s="1"/>
  <c r="Y65" i="1"/>
  <c r="M7" i="5"/>
  <c r="N7" i="5" s="1"/>
  <c r="M13" i="5"/>
  <c r="N13" i="5" s="1"/>
  <c r="X87" i="1"/>
  <c r="Y87" i="1" s="1"/>
  <c r="X83" i="1"/>
  <c r="Y83" i="1" s="1"/>
  <c r="X59" i="1"/>
  <c r="Y59" i="1" s="1"/>
  <c r="X43" i="1"/>
  <c r="Y43" i="1" s="1"/>
  <c r="X27" i="1"/>
  <c r="Y27" i="1" s="1"/>
  <c r="X11" i="1"/>
  <c r="Y11" i="1" s="1"/>
  <c r="X17" i="1"/>
  <c r="Y17" i="1" s="1"/>
  <c r="X93" i="1"/>
  <c r="Y93" i="1" s="1"/>
  <c r="X33" i="1"/>
  <c r="Y33" i="1" s="1"/>
  <c r="X98" i="1"/>
  <c r="Y98" i="1" s="1"/>
  <c r="X102" i="1"/>
  <c r="Y102" i="1" s="1"/>
  <c r="X106" i="1"/>
  <c r="Y106" i="1" s="1"/>
  <c r="X110" i="1"/>
  <c r="Y110" i="1" s="1"/>
  <c r="X114" i="1"/>
  <c r="Y114" i="1" s="1"/>
  <c r="X118" i="1"/>
  <c r="Y118" i="1" s="1"/>
  <c r="X122" i="1"/>
  <c r="Y122" i="1" s="1"/>
  <c r="X126" i="1"/>
  <c r="Y126" i="1" s="1"/>
  <c r="X130" i="1"/>
  <c r="Y130" i="1" s="1"/>
  <c r="X134" i="1"/>
  <c r="Y134" i="1" s="1"/>
  <c r="X138" i="1"/>
  <c r="Y138" i="1" s="1"/>
  <c r="X142" i="1"/>
  <c r="Y142" i="1" s="1"/>
  <c r="X146" i="1"/>
  <c r="Y146" i="1" s="1"/>
  <c r="X150" i="1"/>
  <c r="Y150" i="1" s="1"/>
  <c r="X154" i="1"/>
  <c r="Y154" i="1" s="1"/>
  <c r="X158" i="1"/>
  <c r="Y158" i="1" s="1"/>
  <c r="X162" i="1"/>
  <c r="Y162" i="1" s="1"/>
  <c r="X166" i="1"/>
  <c r="Y166" i="1" s="1"/>
  <c r="X170" i="1"/>
  <c r="Y170" i="1" s="1"/>
  <c r="X167" i="1"/>
  <c r="Y167" i="1" s="1"/>
  <c r="X104" i="1"/>
  <c r="Y104" i="1" s="1"/>
  <c r="X112" i="1"/>
  <c r="Y112" i="1" s="1"/>
  <c r="X120" i="1"/>
  <c r="Y120" i="1" s="1"/>
  <c r="X128" i="1"/>
  <c r="Y128" i="1" s="1"/>
  <c r="X136" i="1"/>
  <c r="Y136" i="1" s="1"/>
  <c r="X144" i="1"/>
  <c r="Y144" i="1" s="1"/>
  <c r="X152" i="1"/>
  <c r="Y152" i="1" s="1"/>
  <c r="X160" i="1"/>
  <c r="Y160" i="1" s="1"/>
  <c r="X168" i="1"/>
  <c r="Y168" i="1" s="1"/>
  <c r="X101" i="1"/>
  <c r="Y101" i="1" s="1"/>
  <c r="X109" i="1"/>
  <c r="Y109" i="1" s="1"/>
  <c r="X117" i="1"/>
  <c r="Y117" i="1" s="1"/>
  <c r="X125" i="1"/>
  <c r="Y125" i="1" s="1"/>
  <c r="X133" i="1"/>
  <c r="Y133" i="1" s="1"/>
  <c r="X141" i="1"/>
  <c r="Y141" i="1" s="1"/>
  <c r="X145" i="1"/>
  <c r="Y145" i="1" s="1"/>
  <c r="X153" i="1"/>
  <c r="Y153" i="1" s="1"/>
  <c r="X161" i="1"/>
  <c r="Y161" i="1" s="1"/>
  <c r="X169" i="1"/>
  <c r="Y169" i="1" s="1"/>
  <c r="X99" i="1"/>
  <c r="Y99" i="1" s="1"/>
  <c r="X103" i="1"/>
  <c r="Y103" i="1" s="1"/>
  <c r="X107" i="1"/>
  <c r="Y107" i="1" s="1"/>
  <c r="X111" i="1"/>
  <c r="Y111" i="1" s="1"/>
  <c r="X115" i="1"/>
  <c r="Y115" i="1" s="1"/>
  <c r="X119" i="1"/>
  <c r="Y119" i="1" s="1"/>
  <c r="X123" i="1"/>
  <c r="Y123" i="1" s="1"/>
  <c r="X127" i="1"/>
  <c r="Y127" i="1" s="1"/>
  <c r="X131" i="1"/>
  <c r="Y131" i="1" s="1"/>
  <c r="X135" i="1"/>
  <c r="Y135" i="1" s="1"/>
  <c r="X139" i="1"/>
  <c r="Y139" i="1" s="1"/>
  <c r="X143" i="1"/>
  <c r="Y143" i="1" s="1"/>
  <c r="X147" i="1"/>
  <c r="Y147" i="1" s="1"/>
  <c r="X151" i="1"/>
  <c r="Y151" i="1" s="1"/>
  <c r="X155" i="1"/>
  <c r="Y155" i="1" s="1"/>
  <c r="X159" i="1"/>
  <c r="Y159" i="1" s="1"/>
  <c r="X163" i="1"/>
  <c r="Y163" i="1" s="1"/>
  <c r="X171" i="1"/>
  <c r="Y171" i="1" s="1"/>
  <c r="X100" i="1"/>
  <c r="Y100" i="1" s="1"/>
  <c r="X108" i="1"/>
  <c r="Y108" i="1" s="1"/>
  <c r="X116" i="1"/>
  <c r="Y116" i="1" s="1"/>
  <c r="X124" i="1"/>
  <c r="Y124" i="1" s="1"/>
  <c r="X132" i="1"/>
  <c r="Y132" i="1" s="1"/>
  <c r="X140" i="1"/>
  <c r="Y140" i="1" s="1"/>
  <c r="X148" i="1"/>
  <c r="Y148" i="1" s="1"/>
  <c r="X156" i="1"/>
  <c r="Y156" i="1" s="1"/>
  <c r="X164" i="1"/>
  <c r="Y164" i="1" s="1"/>
  <c r="X172" i="1"/>
  <c r="Y172" i="1" s="1"/>
  <c r="X97" i="1"/>
  <c r="Y97" i="1" s="1"/>
  <c r="X105" i="1"/>
  <c r="Y105" i="1" s="1"/>
  <c r="X113" i="1"/>
  <c r="Y113" i="1" s="1"/>
  <c r="X121" i="1"/>
  <c r="Y121" i="1" s="1"/>
  <c r="X129" i="1"/>
  <c r="Y129" i="1" s="1"/>
  <c r="X137" i="1"/>
  <c r="Y137" i="1" s="1"/>
  <c r="X149" i="1"/>
  <c r="Y149" i="1" s="1"/>
  <c r="X157" i="1"/>
  <c r="Y157" i="1" s="1"/>
  <c r="X165" i="1"/>
  <c r="Y165" i="1" s="1"/>
  <c r="X173" i="1"/>
  <c r="Y173" i="1" s="1"/>
  <c r="Y72" i="1"/>
  <c r="Y76" i="1"/>
  <c r="Y49" i="1"/>
  <c r="Y4" i="1"/>
  <c r="Y8" i="1"/>
  <c r="Y12" i="1"/>
  <c r="Y16" i="1"/>
  <c r="Y20" i="1"/>
  <c r="Y24" i="1"/>
  <c r="Y28" i="1"/>
  <c r="Y32" i="1"/>
  <c r="Y36" i="1"/>
  <c r="Y40" i="1"/>
  <c r="Y44" i="1"/>
  <c r="Y48" i="1"/>
  <c r="Y52" i="1"/>
  <c r="Y56" i="1"/>
  <c r="Y60" i="1"/>
  <c r="Y64" i="1"/>
  <c r="Y6" i="1"/>
  <c r="Y10" i="1"/>
  <c r="Y14" i="1"/>
  <c r="Y18" i="1"/>
  <c r="Y22" i="1"/>
  <c r="Y26" i="1"/>
  <c r="Y30" i="1"/>
  <c r="Y34" i="1"/>
  <c r="Y38" i="1"/>
  <c r="Y42" i="1"/>
  <c r="Y46" i="1"/>
  <c r="Y50" i="1"/>
  <c r="Y54" i="1"/>
  <c r="Y58" i="1"/>
  <c r="Y62" i="1"/>
  <c r="Y66" i="1"/>
  <c r="Y70" i="1"/>
  <c r="Y74" i="1"/>
  <c r="Y78" i="1"/>
  <c r="Y82" i="1"/>
  <c r="Y86" i="1"/>
  <c r="Y94" i="1"/>
  <c r="Y3" i="1"/>
  <c r="Y5" i="1"/>
  <c r="Y13" i="1"/>
  <c r="Y21" i="1"/>
  <c r="Y29" i="1"/>
  <c r="Y37" i="1"/>
  <c r="Y45" i="1"/>
  <c r="Y53" i="1"/>
  <c r="Y61" i="1"/>
  <c r="Y68" i="1"/>
  <c r="Y73" i="1"/>
  <c r="Y79" i="1"/>
  <c r="Y84" i="1"/>
  <c r="Y89" i="1"/>
  <c r="Y95" i="1"/>
  <c r="Y7" i="1"/>
  <c r="Y15" i="1"/>
  <c r="Y23" i="1"/>
  <c r="Y31" i="1"/>
  <c r="Y39" i="1"/>
  <c r="Y47" i="1"/>
  <c r="Y55" i="1"/>
  <c r="Y63" i="1"/>
  <c r="Y69" i="1"/>
  <c r="Y75" i="1"/>
  <c r="Y80" i="1"/>
  <c r="Y85" i="1"/>
  <c r="Y91" i="1"/>
  <c r="Y96" i="1"/>
  <c r="Y88" i="1"/>
  <c r="Y77" i="1"/>
  <c r="Y67" i="1"/>
  <c r="Y51" i="1"/>
  <c r="Y35" i="1"/>
  <c r="Y19" i="1"/>
  <c r="Y81" i="1"/>
  <c r="Y71" i="1"/>
  <c r="Y57" i="1"/>
  <c r="Y41" i="1"/>
  <c r="Y25" i="1"/>
  <c r="Y9" i="1"/>
  <c r="T8" i="5" l="1"/>
  <c r="U8" i="5" s="1"/>
  <c r="G6" i="1"/>
  <c r="B6" i="1"/>
  <c r="D6" i="1" s="1"/>
  <c r="Y8" i="5" l="1"/>
  <c r="Z8" i="5"/>
  <c r="X8" i="5"/>
  <c r="V8" i="5"/>
  <c r="W8" i="5" s="1"/>
  <c r="E6" i="1"/>
  <c r="C6" i="1"/>
  <c r="S9" i="5" l="1"/>
  <c r="T9" i="5" s="1"/>
  <c r="U9" i="5" s="1"/>
  <c r="X9" i="5" s="1"/>
  <c r="Z9" i="5" l="1"/>
  <c r="V9" i="5"/>
  <c r="W9" i="5" s="1"/>
  <c r="Y9" i="5"/>
  <c r="S10" i="5" l="1"/>
  <c r="T10" i="5" s="1"/>
  <c r="U10" i="5" s="1"/>
  <c r="Y10" i="5" l="1"/>
  <c r="Z10" i="5"/>
  <c r="V10" i="5"/>
  <c r="W10" i="5" s="1"/>
  <c r="X10" i="5"/>
  <c r="S11" i="5" l="1"/>
  <c r="T11" i="5" l="1"/>
  <c r="U11" i="5" s="1"/>
  <c r="Z11" i="5" s="1"/>
  <c r="X11" i="5" l="1"/>
  <c r="V11" i="5"/>
  <c r="W11" i="5" s="1"/>
  <c r="Y11" i="5"/>
  <c r="S12" i="5" l="1"/>
  <c r="T12" i="5" s="1"/>
  <c r="U12" i="5" s="1"/>
  <c r="Z12" i="5" s="1"/>
  <c r="Y12" i="5" l="1"/>
  <c r="V12" i="5"/>
  <c r="W12" i="5" s="1"/>
  <c r="X12" i="5"/>
  <c r="S13" i="5" l="1"/>
  <c r="T13" i="5" s="1"/>
  <c r="U13" i="5" s="1"/>
  <c r="X13" i="5" s="1"/>
  <c r="Z13" i="5" l="1"/>
  <c r="V13" i="5"/>
  <c r="W13" i="5" s="1"/>
  <c r="Y13" i="5"/>
  <c r="S14" i="5" l="1"/>
  <c r="T14" i="5" s="1"/>
  <c r="U14" i="5" s="1"/>
  <c r="Z14" i="5" s="1"/>
  <c r="Y14" i="5" l="1"/>
  <c r="V14" i="5"/>
  <c r="W14" i="5" s="1"/>
  <c r="X14" i="5"/>
  <c r="S15" i="5" l="1"/>
  <c r="T15" i="5" s="1"/>
  <c r="U15" i="5" s="1"/>
  <c r="C6" i="5" l="1"/>
  <c r="C8" i="5" s="1"/>
  <c r="Y15" i="5"/>
  <c r="C7" i="5"/>
  <c r="G7" i="5" s="1"/>
  <c r="G9" i="5" s="1"/>
  <c r="G8" i="5" s="1"/>
  <c r="V15" i="5"/>
  <c r="W15" i="5" s="1"/>
  <c r="Z15" i="5"/>
  <c r="X15" i="5"/>
  <c r="C9" i="5" l="1"/>
  <c r="C10" i="5" s="1"/>
  <c r="J5" i="5" s="1"/>
  <c r="J13" i="5"/>
  <c r="G6" i="5"/>
  <c r="G10" i="5" s="1"/>
  <c r="J10" i="5"/>
  <c r="S16" i="5"/>
  <c r="J6" i="5" l="1"/>
  <c r="J9" i="5" s="1"/>
  <c r="J11" i="5"/>
  <c r="E10" i="5"/>
  <c r="L11" i="5"/>
  <c r="M11" i="5" s="1"/>
  <c r="N11" i="5" s="1"/>
  <c r="L12" i="5"/>
  <c r="M12" i="5" s="1"/>
  <c r="N12" i="5" s="1"/>
  <c r="L8" i="5"/>
  <c r="M8" i="5" s="1"/>
  <c r="N8" i="5" s="1"/>
  <c r="O10" i="5"/>
  <c r="O8" i="5"/>
  <c r="O11" i="5"/>
  <c r="L9" i="5"/>
  <c r="M9" i="5" s="1"/>
  <c r="N9" i="5" s="1"/>
  <c r="O13" i="5"/>
  <c r="O12" i="5"/>
  <c r="O9" i="5"/>
  <c r="O7" i="5"/>
  <c r="M4" i="5"/>
  <c r="T16" i="5"/>
  <c r="U16" i="5" s="1"/>
  <c r="X16" i="5" s="1"/>
  <c r="J8" i="5" l="1"/>
  <c r="J12" i="5"/>
  <c r="Z16" i="5"/>
  <c r="V16" i="5"/>
  <c r="W16" i="5" s="1"/>
  <c r="Y16" i="5"/>
  <c r="S17" i="5" l="1"/>
  <c r="T17" i="5" s="1"/>
  <c r="U17" i="5" s="1"/>
  <c r="Z17" i="5" s="1"/>
  <c r="V17" i="5" l="1"/>
  <c r="W17" i="5" s="1"/>
  <c r="X17" i="5"/>
  <c r="Y17" i="5"/>
  <c r="S18" i="5" l="1"/>
  <c r="T18" i="5" s="1"/>
  <c r="U18" i="5" s="1"/>
  <c r="V18" i="5" l="1"/>
  <c r="W18" i="5" s="1"/>
  <c r="Z18" i="5"/>
  <c r="X18" i="5"/>
  <c r="Y18" i="5"/>
  <c r="S19" i="5" l="1"/>
  <c r="T19" i="5" s="1"/>
  <c r="U19" i="5" s="1"/>
  <c r="X19" i="5" s="1"/>
  <c r="Z19" i="5" l="1"/>
  <c r="V19" i="5"/>
  <c r="W19" i="5" s="1"/>
  <c r="Y19" i="5"/>
  <c r="S20" i="5" l="1"/>
  <c r="T20" i="5" s="1"/>
  <c r="U20" i="5" s="1"/>
  <c r="Z20" i="5" s="1"/>
  <c r="Y20" i="5" l="1"/>
  <c r="X20" i="5"/>
  <c r="V20" i="5"/>
  <c r="W20" i="5" s="1"/>
  <c r="S21" i="5" l="1"/>
  <c r="T21" i="5" s="1"/>
  <c r="U21" i="5" s="1"/>
  <c r="V21" i="5" s="1"/>
  <c r="W21" i="5" s="1"/>
  <c r="Y21" i="5" l="1"/>
  <c r="X21" i="5"/>
  <c r="Z21" i="5"/>
  <c r="S22" i="5" l="1"/>
  <c r="T22" i="5" s="1"/>
  <c r="U22" i="5" s="1"/>
  <c r="Z22" i="5" s="1"/>
  <c r="Y22" i="5" l="1"/>
  <c r="X22" i="5"/>
  <c r="V22" i="5"/>
  <c r="W22" i="5" s="1"/>
  <c r="S23" i="5" l="1"/>
  <c r="T23" i="5" s="1"/>
  <c r="U23" i="5" s="1"/>
  <c r="Z23" i="5" s="1"/>
  <c r="Y23" i="5" l="1"/>
  <c r="X23" i="5"/>
  <c r="V23" i="5"/>
  <c r="W23" i="5" s="1"/>
  <c r="S24" i="5" l="1"/>
  <c r="T24" i="5" s="1"/>
  <c r="U24" i="5" s="1"/>
  <c r="V24" i="5" s="1"/>
  <c r="W24" i="5" s="1"/>
  <c r="X24" i="5" l="1"/>
  <c r="Y24" i="5"/>
  <c r="Z24" i="5"/>
  <c r="S25" i="5" l="1"/>
  <c r="T25" i="5" s="1"/>
  <c r="U25" i="5" s="1"/>
  <c r="Z25" i="5" s="1"/>
  <c r="Y25" i="5" l="1"/>
  <c r="X25" i="5"/>
  <c r="V25" i="5"/>
  <c r="W25" i="5" s="1"/>
  <c r="S26" i="5" l="1"/>
  <c r="T26" i="5" s="1"/>
  <c r="U26" i="5" s="1"/>
  <c r="Z26" i="5" s="1"/>
  <c r="Y26" i="5" l="1"/>
  <c r="V26" i="5"/>
  <c r="W26" i="5" s="1"/>
  <c r="X26" i="5"/>
</calcChain>
</file>

<file path=xl/sharedStrings.xml><?xml version="1.0" encoding="utf-8"?>
<sst xmlns="http://schemas.openxmlformats.org/spreadsheetml/2006/main" count="104" uniqueCount="91">
  <si>
    <t>YELLO CELLS CAN BE MODIFIED ONLY!</t>
  </si>
  <si>
    <t>VIN (V)</t>
  </si>
  <si>
    <t>VO (V)</t>
  </si>
  <si>
    <r>
      <t>RDS(ON) (</t>
    </r>
    <r>
      <rPr>
        <sz val="11"/>
        <color theme="1"/>
        <rFont val="Arial"/>
        <family val="2"/>
      </rPr>
      <t>Ω</t>
    </r>
    <r>
      <rPr>
        <sz val="12.65"/>
        <color theme="1"/>
        <rFont val="Calibri"/>
        <family val="2"/>
      </rPr>
      <t>)</t>
    </r>
  </si>
  <si>
    <t>RD (Ω)</t>
  </si>
  <si>
    <t>VD (V)</t>
  </si>
  <si>
    <t>ILOAD (A)</t>
  </si>
  <si>
    <t>L (H)</t>
  </si>
  <si>
    <t>FS (Hz)</t>
  </si>
  <si>
    <t>TS</t>
  </si>
  <si>
    <t>Mode</t>
  </si>
  <si>
    <t>D'</t>
  </si>
  <si>
    <t>D1</t>
  </si>
  <si>
    <t>Interval</t>
  </si>
  <si>
    <t>t</t>
  </si>
  <si>
    <t>Current</t>
  </si>
  <si>
    <t>IL</t>
  </si>
  <si>
    <t>ILD</t>
  </si>
  <si>
    <t>D</t>
  </si>
  <si>
    <t>D2</t>
  </si>
  <si>
    <t>Ipp</t>
  </si>
  <si>
    <t>Ipeak</t>
  </si>
  <si>
    <t>Ivalley</t>
  </si>
  <si>
    <t>D3</t>
  </si>
  <si>
    <t>CCM</t>
  </si>
  <si>
    <t>DCM</t>
  </si>
  <si>
    <t xml:space="preserve">VIN: </t>
  </si>
  <si>
    <t>Input Voltage of Boost</t>
  </si>
  <si>
    <t>VO:</t>
  </si>
  <si>
    <t>Output Voltage of Boost</t>
  </si>
  <si>
    <t>RL:</t>
  </si>
  <si>
    <t>Inductor DC resistance</t>
  </si>
  <si>
    <t>RSD(ON):</t>
  </si>
  <si>
    <t>Boost Switching FET DC resistance</t>
  </si>
  <si>
    <t>RD:</t>
  </si>
  <si>
    <t>Diode DC resistance</t>
  </si>
  <si>
    <t>VD:</t>
  </si>
  <si>
    <t>Diode forword voltage</t>
  </si>
  <si>
    <t>ILOAD:</t>
  </si>
  <si>
    <t>Total load at Boost output</t>
  </si>
  <si>
    <t>L:</t>
  </si>
  <si>
    <t>Inductance value of inductor</t>
  </si>
  <si>
    <t>FS:</t>
  </si>
  <si>
    <t>Swithing Frequency</t>
  </si>
  <si>
    <t>K</t>
  </si>
  <si>
    <t>IOUT (mA)</t>
  </si>
  <si>
    <r>
      <rPr>
        <i/>
        <sz val="11"/>
        <color theme="1"/>
        <rFont val="Calibri"/>
        <family val="2"/>
        <scheme val="minor"/>
      </rPr>
      <t>f</t>
    </r>
    <r>
      <rPr>
        <sz val="11"/>
        <color theme="1"/>
        <rFont val="Calibri"/>
        <family val="2"/>
        <scheme val="minor"/>
      </rPr>
      <t>SW (kHz)</t>
    </r>
  </si>
  <si>
    <t>R1 (kΩ)</t>
  </si>
  <si>
    <t>R2 (kΩ)</t>
  </si>
  <si>
    <t>RFSET (kΩ)</t>
  </si>
  <si>
    <t>RISET (kΩ)</t>
  </si>
  <si>
    <t>VLDO (V)</t>
  </si>
  <si>
    <t>VTSET (V)</t>
  </si>
  <si>
    <t>R3 (kΩ)</t>
  </si>
  <si>
    <t>NTC R0 (kΩ)</t>
  </si>
  <si>
    <t>B</t>
  </si>
  <si>
    <t>R4 (kΩ)</t>
  </si>
  <si>
    <t>T0 (°C)</t>
  </si>
  <si>
    <t>R=R0expB(1/T-1/T0)</t>
    <phoneticPr fontId="1" type="noConversion"/>
  </si>
  <si>
    <t>T (°C)</t>
    <phoneticPr fontId="1" type="noConversion"/>
  </si>
  <si>
    <t>R(kΩ)</t>
  </si>
  <si>
    <t>RII (kΩ)</t>
  </si>
  <si>
    <t>R5 (kΩ)</t>
  </si>
  <si>
    <t>ITSENSE (mA)</t>
  </si>
  <si>
    <t>ISET_SCALED</t>
  </si>
  <si>
    <t>ILED(mA)</t>
  </si>
  <si>
    <t>Cut_off</t>
  </si>
  <si>
    <t>VMAX (V)</t>
  </si>
  <si>
    <t>VMIN (V)</t>
  </si>
  <si>
    <t>VINT (V)</t>
  </si>
  <si>
    <t>R3(kΩ)</t>
  </si>
  <si>
    <t>VOUT (V)</t>
  </si>
  <si>
    <t>T-Divider</t>
  </si>
  <si>
    <t>Vhead(V)</t>
  </si>
  <si>
    <t>MOS On-Off time(s)</t>
  </si>
  <si>
    <t>Boost Efficiency</t>
  </si>
  <si>
    <t>Thermal-MOS(Dynamic) (W)</t>
  </si>
  <si>
    <t>Thermal-MOS-(Constant) (W)</t>
  </si>
  <si>
    <t>Thermal-Diode(W)</t>
  </si>
  <si>
    <t>Thermal-Inductor(W)</t>
  </si>
  <si>
    <r>
      <rPr>
        <sz val="11"/>
        <color theme="1"/>
        <rFont val="Calibri"/>
        <family val="2"/>
      </rPr>
      <t>θ</t>
    </r>
    <r>
      <rPr>
        <sz val="8.8000000000000007"/>
        <color theme="1"/>
        <rFont val="Calibri"/>
        <family val="2"/>
      </rPr>
      <t>JA_EVM</t>
    </r>
  </si>
  <si>
    <r>
      <t>T</t>
    </r>
    <r>
      <rPr>
        <sz val="8"/>
        <color theme="1"/>
        <rFont val="Calibri"/>
        <family val="2"/>
        <scheme val="minor"/>
      </rPr>
      <t xml:space="preserve">JA </t>
    </r>
    <r>
      <rPr>
        <sz val="10"/>
        <color theme="1"/>
        <rFont val="Calibri"/>
        <family val="2"/>
        <scheme val="minor"/>
      </rPr>
      <t xml:space="preserve"> (</t>
    </r>
    <r>
      <rPr>
        <sz val="12"/>
        <color theme="1"/>
        <rFont val="Calibri"/>
        <family val="2"/>
        <scheme val="minor"/>
      </rPr>
      <t>Degree</t>
    </r>
    <r>
      <rPr>
        <sz val="10"/>
        <color theme="1"/>
        <rFont val="Calibri"/>
        <family val="2"/>
        <scheme val="minor"/>
      </rPr>
      <t>)</t>
    </r>
  </si>
  <si>
    <t>θBA</t>
  </si>
  <si>
    <t>LED Efficiency</t>
  </si>
  <si>
    <t>Chip Thermal (W)</t>
  </si>
  <si>
    <t>Thermal-Current Sink (W)</t>
  </si>
  <si>
    <t>MOS Dyn Loss</t>
  </si>
  <si>
    <t>MOS Const</t>
  </si>
  <si>
    <t>Diode loss</t>
  </si>
  <si>
    <t>Inductor loss</t>
  </si>
  <si>
    <t>RL + RPFET + RSNS(Ω)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</si>
</sst>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2.65"/>
      <color theme="1"/>
      <name val="Calibri"/>
      <family val="2"/>
    </font>
    <font>
      <i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8.8000000000000007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0" fillId="2" borderId="0" xfId="0" applyFill="1"/>
    <xf numFmtId="0" fontId="1" fillId="2" borderId="0" xfId="0" applyFont="1" applyFill="1"/>
    <xf numFmtId="0" fontId="0" fillId="2" borderId="1" xfId="0" applyFill="1" applyBorder="1"/>
    <xf numFmtId="0" fontId="0" fillId="2" borderId="0" xfId="0" applyFill="1" applyProtection="1">
      <protection hidden="1"/>
    </xf>
    <xf numFmtId="0" fontId="0" fillId="3" borderId="1" xfId="0" applyFill="1" applyBorder="1" applyAlignment="1" applyProtection="1">
      <alignment horizontal="left"/>
      <protection locked="0"/>
    </xf>
    <xf numFmtId="11" fontId="0" fillId="3" borderId="1" xfId="0" applyNumberFormat="1" applyFill="1" applyBorder="1" applyAlignment="1" applyProtection="1">
      <alignment horizontal="left"/>
      <protection locked="0"/>
    </xf>
    <xf numFmtId="0" fontId="0" fillId="2" borderId="2" xfId="0" applyFill="1" applyBorder="1"/>
    <xf numFmtId="0" fontId="0" fillId="2" borderId="3" xfId="0" applyFill="1" applyBorder="1"/>
    <xf numFmtId="164" fontId="0" fillId="2" borderId="3" xfId="0" applyNumberFormat="1" applyFill="1" applyBorder="1"/>
    <xf numFmtId="0" fontId="0" fillId="2" borderId="4" xfId="0" applyFill="1" applyBorder="1"/>
    <xf numFmtId="0" fontId="0" fillId="2" borderId="5" xfId="0" applyFill="1" applyBorder="1"/>
    <xf numFmtId="164" fontId="0" fillId="2" borderId="5" xfId="0" applyNumberFormat="1" applyFill="1" applyBorder="1"/>
    <xf numFmtId="0" fontId="0" fillId="2" borderId="6" xfId="0" applyFill="1" applyBorder="1"/>
    <xf numFmtId="0" fontId="0" fillId="2" borderId="7" xfId="0" applyFill="1" applyBorder="1"/>
    <xf numFmtId="0" fontId="0" fillId="0" borderId="1" xfId="0" applyFill="1" applyBorder="1" applyAlignment="1" applyProtection="1">
      <alignment horizontal="left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9" xfId="0" applyBorder="1" applyAlignment="1">
      <alignment horizontal="center"/>
    </xf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10" xfId="0" applyBorder="1"/>
    <xf numFmtId="0" fontId="0" fillId="0" borderId="7" xfId="0" applyBorder="1"/>
    <xf numFmtId="0" fontId="0" fillId="0" borderId="11" xfId="0" applyBorder="1"/>
    <xf numFmtId="0" fontId="0" fillId="0" borderId="12" xfId="0" applyBorder="1"/>
    <xf numFmtId="0" fontId="0" fillId="0" borderId="0" xfId="0" applyFill="1" applyBorder="1" applyAlignment="1">
      <alignment horizontal="center"/>
    </xf>
    <xf numFmtId="0" fontId="0" fillId="0" borderId="9" xfId="0" applyBorder="1"/>
    <xf numFmtId="0" fontId="0" fillId="0" borderId="3" xfId="0" applyFill="1" applyBorder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0" fillId="0" borderId="13" xfId="0" applyBorder="1"/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0" fillId="0" borderId="8" xfId="0" applyBorder="1"/>
    <xf numFmtId="0" fontId="0" fillId="0" borderId="9" xfId="0" applyFill="1" applyBorder="1" applyAlignment="1">
      <alignment horizontal="center"/>
    </xf>
    <xf numFmtId="0" fontId="0" fillId="0" borderId="9" xfId="0" applyFill="1" applyBorder="1"/>
    <xf numFmtId="0" fontId="0" fillId="3" borderId="13" xfId="0" applyFill="1" applyBorder="1" applyAlignment="1" applyProtection="1">
      <alignment horizontal="center"/>
      <protection locked="0"/>
    </xf>
    <xf numFmtId="0" fontId="0" fillId="3" borderId="14" xfId="0" applyFill="1" applyBorder="1" applyAlignment="1" applyProtection="1">
      <alignment horizontal="center"/>
      <protection locked="0"/>
    </xf>
    <xf numFmtId="0" fontId="0" fillId="3" borderId="15" xfId="0" applyFill="1" applyBorder="1" applyAlignment="1" applyProtection="1">
      <alignment horizontal="center"/>
      <protection locked="0"/>
    </xf>
    <xf numFmtId="0" fontId="0" fillId="3" borderId="8" xfId="0" applyFill="1" applyBorder="1" applyAlignment="1" applyProtection="1">
      <alignment horizontal="center"/>
      <protection locked="0"/>
    </xf>
    <xf numFmtId="10" fontId="0" fillId="0" borderId="12" xfId="0" applyNumberFormat="1" applyBorder="1" applyAlignment="1">
      <alignment horizontal="center"/>
    </xf>
    <xf numFmtId="0" fontId="0" fillId="0" borderId="9" xfId="0" applyFill="1" applyBorder="1" applyAlignment="1" applyProtection="1">
      <alignment horizontal="center"/>
    </xf>
    <xf numFmtId="0" fontId="0" fillId="0" borderId="0" xfId="0" applyFill="1" applyBorder="1" applyAlignment="1" applyProtection="1">
      <alignment horizontal="center"/>
    </xf>
    <xf numFmtId="0" fontId="0" fillId="4" borderId="12" xfId="0" applyFill="1" applyBorder="1" applyAlignment="1">
      <alignment horizontal="center"/>
    </xf>
    <xf numFmtId="0" fontId="0" fillId="4" borderId="8" xfId="0" applyFill="1" applyBorder="1" applyAlignment="1">
      <alignment horizontal="center"/>
    </xf>
    <xf numFmtId="0" fontId="0" fillId="4" borderId="7" xfId="0" applyFill="1" applyBorder="1" applyAlignment="1">
      <alignment horizontal="center"/>
    </xf>
    <xf numFmtId="0" fontId="0" fillId="4" borderId="12" xfId="0" applyFill="1" applyBorder="1"/>
    <xf numFmtId="0" fontId="0" fillId="0" borderId="8" xfId="0" applyFill="1" applyBorder="1" applyAlignment="1" applyProtection="1">
      <alignment horizontal="center"/>
    </xf>
    <xf numFmtId="0" fontId="0" fillId="4" borderId="8" xfId="0" applyFill="1" applyBorder="1" applyAlignment="1" applyProtection="1">
      <alignment horizontal="center"/>
    </xf>
    <xf numFmtId="0" fontId="0" fillId="2" borderId="12" xfId="0" applyFill="1" applyBorder="1" applyAlignment="1">
      <alignment horizontal="center"/>
    </xf>
    <xf numFmtId="0" fontId="0" fillId="3" borderId="10" xfId="0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horizontal="center"/>
    </xf>
    <xf numFmtId="0" fontId="0" fillId="5" borderId="0" xfId="0" applyFill="1" applyProtection="1">
      <protection hidden="1"/>
    </xf>
    <xf numFmtId="164" fontId="0" fillId="2" borderId="0" xfId="0" applyNumberFormat="1" applyFill="1"/>
    <xf numFmtId="0" fontId="0" fillId="2" borderId="10" xfId="0" applyFill="1" applyBorder="1"/>
    <xf numFmtId="0" fontId="0" fillId="2" borderId="16" xfId="0" applyFill="1" applyBorder="1"/>
    <xf numFmtId="2" fontId="0" fillId="2" borderId="17" xfId="0" applyNumberFormat="1" applyFill="1" applyBorder="1"/>
    <xf numFmtId="0" fontId="0" fillId="2" borderId="18" xfId="0" applyFill="1" applyBorder="1"/>
    <xf numFmtId="0" fontId="0" fillId="2" borderId="19" xfId="0" applyFill="1" applyBorder="1"/>
    <xf numFmtId="0" fontId="0" fillId="2" borderId="20" xfId="0" applyFill="1" applyBorder="1"/>
    <xf numFmtId="0" fontId="0" fillId="2" borderId="21" xfId="0" applyFill="1" applyBorder="1"/>
    <xf numFmtId="0" fontId="0" fillId="2" borderId="17" xfId="0" applyFill="1" applyBorder="1"/>
    <xf numFmtId="0" fontId="0" fillId="6" borderId="18" xfId="0" applyFill="1" applyBorder="1"/>
    <xf numFmtId="2" fontId="0" fillId="6" borderId="19" xfId="0" applyNumberFormat="1" applyFill="1" applyBorder="1"/>
    <xf numFmtId="0" fontId="0" fillId="6" borderId="20" xfId="0" applyFill="1" applyBorder="1"/>
    <xf numFmtId="0" fontId="0" fillId="6" borderId="21" xfId="0" applyFill="1" applyBorder="1"/>
    <xf numFmtId="0" fontId="8" fillId="2" borderId="0" xfId="0" applyFont="1" applyFill="1" applyProtection="1">
      <protection hidden="1"/>
    </xf>
    <xf numFmtId="11" fontId="0" fillId="2" borderId="0" xfId="0" applyNumberFormat="1" applyFill="1"/>
    <xf numFmtId="0" fontId="0" fillId="2" borderId="13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11" fontId="0" fillId="2" borderId="0" xfId="0" applyNumberFormat="1" applyFill="1" applyProtection="1">
      <protection hidden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568022747156605"/>
          <c:y val="4.9344531933508309E-2"/>
          <c:w val="0.76533546587926504"/>
          <c:h val="0.78062572178477685"/>
        </c:manualLayout>
      </c:layout>
      <c:scatterChart>
        <c:scatterStyle val="lineMarker"/>
        <c:varyColors val="0"/>
        <c:ser>
          <c:idx val="0"/>
          <c:order val="0"/>
          <c:tx>
            <c:strRef>
              <c:f>Boost!$O$6</c:f>
              <c:strCache>
                <c:ptCount val="1"/>
                <c:pt idx="0">
                  <c:v>Current</c:v>
                </c:pt>
              </c:strCache>
            </c:strRef>
          </c:tx>
          <c:marker>
            <c:symbol val="none"/>
          </c:marker>
          <c:xVal>
            <c:numRef>
              <c:f>Boost!$N$7:$N$13</c:f>
              <c:numCache>
                <c:formatCode>General</c:formatCode>
                <c:ptCount val="7"/>
                <c:pt idx="0">
                  <c:v>0</c:v>
                </c:pt>
                <c:pt idx="1">
                  <c:v>1.8989140151355535</c:v>
                </c:pt>
                <c:pt idx="2">
                  <c:v>2.5</c:v>
                </c:pt>
                <c:pt idx="3">
                  <c:v>2.5</c:v>
                </c:pt>
                <c:pt idx="4">
                  <c:v>4.3989140151355537</c:v>
                </c:pt>
                <c:pt idx="5">
                  <c:v>5</c:v>
                </c:pt>
                <c:pt idx="6">
                  <c:v>5</c:v>
                </c:pt>
              </c:numCache>
            </c:numRef>
          </c:xVal>
          <c:yVal>
            <c:numRef>
              <c:f>Boost!$O$7:$O$13</c:f>
              <c:numCache>
                <c:formatCode>General</c:formatCode>
                <c:ptCount val="7"/>
                <c:pt idx="0">
                  <c:v>1.3576480817165959</c:v>
                </c:pt>
                <c:pt idx="1">
                  <c:v>1.969662902669487</c:v>
                </c:pt>
                <c:pt idx="2">
                  <c:v>1.3576480817165959</c:v>
                </c:pt>
                <c:pt idx="3">
                  <c:v>1.3576480817165959</c:v>
                </c:pt>
                <c:pt idx="4">
                  <c:v>1.969662902669487</c:v>
                </c:pt>
                <c:pt idx="5">
                  <c:v>1.3576480817165959</c:v>
                </c:pt>
                <c:pt idx="6">
                  <c:v>1.3576480817165959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23617152"/>
        <c:axId val="323619072"/>
      </c:scatterChart>
      <c:valAx>
        <c:axId val="3236171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Time (us)</a:t>
                </a:r>
              </a:p>
            </c:rich>
          </c:tx>
          <c:layout>
            <c:manualLayout>
              <c:xMode val="edge"/>
              <c:yMode val="edge"/>
              <c:x val="0.4845978237095363"/>
              <c:y val="0.91942117235345577"/>
            </c:manualLayout>
          </c:layout>
          <c:overlay val="0"/>
        </c:title>
        <c:numFmt formatCode="#,##0.00" sourceLinked="0"/>
        <c:majorTickMark val="out"/>
        <c:minorTickMark val="none"/>
        <c:tickLblPos val="nextTo"/>
        <c:crossAx val="323619072"/>
        <c:crosses val="autoZero"/>
        <c:crossBetween val="midCat"/>
      </c:valAx>
      <c:valAx>
        <c:axId val="323619072"/>
        <c:scaling>
          <c:orientation val="minMax"/>
        </c:scaling>
        <c:delete val="0"/>
        <c:axPos val="l"/>
        <c:majorGridlines>
          <c:spPr>
            <a:ln>
              <a:solidFill>
                <a:schemeClr val="tx1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Inductor Current (A)</a:t>
                </a:r>
              </a:p>
            </c:rich>
          </c:tx>
          <c:layout>
            <c:manualLayout>
              <c:xMode val="edge"/>
              <c:yMode val="edge"/>
              <c:x val="1.0416666666666666E-2"/>
              <c:y val="0.23569063867016624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323617152"/>
        <c:crosses val="autoZero"/>
        <c:crossBetween val="midCat"/>
      </c:valAx>
      <c:spPr>
        <a:ln>
          <a:solidFill>
            <a:schemeClr val="tx1"/>
          </a:solidFill>
        </a:ln>
      </c:spPr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NTC resistance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6.5854215818583708E-2"/>
          <c:y val="9.1951443569553801E-2"/>
          <c:w val="0.90359913395535796"/>
          <c:h val="0.81346062992125989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'External Components'!$V$2</c:f>
              <c:strCache>
                <c:ptCount val="1"/>
                <c:pt idx="0">
                  <c:v>R(kΩ)</c:v>
                </c:pt>
              </c:strCache>
            </c:strRef>
          </c:tx>
          <c:marker>
            <c:symbol val="none"/>
          </c:marker>
          <c:xVal>
            <c:numRef>
              <c:f>'External Components'!$U$3:$U$173</c:f>
              <c:numCache>
                <c:formatCode>General</c:formatCode>
                <c:ptCount val="171"/>
                <c:pt idx="0">
                  <c:v>-20</c:v>
                </c:pt>
                <c:pt idx="1">
                  <c:v>-19</c:v>
                </c:pt>
                <c:pt idx="2">
                  <c:v>-18</c:v>
                </c:pt>
                <c:pt idx="3">
                  <c:v>-17</c:v>
                </c:pt>
                <c:pt idx="4">
                  <c:v>-16</c:v>
                </c:pt>
                <c:pt idx="5">
                  <c:v>-15</c:v>
                </c:pt>
                <c:pt idx="6">
                  <c:v>-14</c:v>
                </c:pt>
                <c:pt idx="7">
                  <c:v>-13</c:v>
                </c:pt>
                <c:pt idx="8">
                  <c:v>-12</c:v>
                </c:pt>
                <c:pt idx="9">
                  <c:v>-11</c:v>
                </c:pt>
                <c:pt idx="10">
                  <c:v>-10</c:v>
                </c:pt>
                <c:pt idx="11">
                  <c:v>-9</c:v>
                </c:pt>
                <c:pt idx="12">
                  <c:v>-8</c:v>
                </c:pt>
                <c:pt idx="13">
                  <c:v>-7</c:v>
                </c:pt>
                <c:pt idx="14">
                  <c:v>-6</c:v>
                </c:pt>
                <c:pt idx="15">
                  <c:v>-5</c:v>
                </c:pt>
                <c:pt idx="16">
                  <c:v>-4</c:v>
                </c:pt>
                <c:pt idx="17">
                  <c:v>-3</c:v>
                </c:pt>
                <c:pt idx="18">
                  <c:v>-2</c:v>
                </c:pt>
                <c:pt idx="19">
                  <c:v>-1</c:v>
                </c:pt>
                <c:pt idx="20">
                  <c:v>0</c:v>
                </c:pt>
                <c:pt idx="21">
                  <c:v>1</c:v>
                </c:pt>
                <c:pt idx="22">
                  <c:v>2</c:v>
                </c:pt>
                <c:pt idx="23">
                  <c:v>3</c:v>
                </c:pt>
                <c:pt idx="24">
                  <c:v>4</c:v>
                </c:pt>
                <c:pt idx="25">
                  <c:v>5</c:v>
                </c:pt>
                <c:pt idx="26">
                  <c:v>6</c:v>
                </c:pt>
                <c:pt idx="27">
                  <c:v>7</c:v>
                </c:pt>
                <c:pt idx="28">
                  <c:v>8</c:v>
                </c:pt>
                <c:pt idx="29">
                  <c:v>9</c:v>
                </c:pt>
                <c:pt idx="30">
                  <c:v>10</c:v>
                </c:pt>
                <c:pt idx="31">
                  <c:v>11</c:v>
                </c:pt>
                <c:pt idx="32">
                  <c:v>12</c:v>
                </c:pt>
                <c:pt idx="33">
                  <c:v>13</c:v>
                </c:pt>
                <c:pt idx="34">
                  <c:v>14</c:v>
                </c:pt>
                <c:pt idx="35">
                  <c:v>15</c:v>
                </c:pt>
                <c:pt idx="36">
                  <c:v>16</c:v>
                </c:pt>
                <c:pt idx="37">
                  <c:v>17</c:v>
                </c:pt>
                <c:pt idx="38">
                  <c:v>18</c:v>
                </c:pt>
                <c:pt idx="39">
                  <c:v>19</c:v>
                </c:pt>
                <c:pt idx="40">
                  <c:v>20</c:v>
                </c:pt>
                <c:pt idx="41">
                  <c:v>21</c:v>
                </c:pt>
                <c:pt idx="42">
                  <c:v>22</c:v>
                </c:pt>
                <c:pt idx="43">
                  <c:v>23</c:v>
                </c:pt>
                <c:pt idx="44">
                  <c:v>24</c:v>
                </c:pt>
                <c:pt idx="45">
                  <c:v>25</c:v>
                </c:pt>
                <c:pt idx="46">
                  <c:v>26</c:v>
                </c:pt>
                <c:pt idx="47">
                  <c:v>27</c:v>
                </c:pt>
                <c:pt idx="48">
                  <c:v>28</c:v>
                </c:pt>
                <c:pt idx="49">
                  <c:v>29</c:v>
                </c:pt>
                <c:pt idx="50">
                  <c:v>30</c:v>
                </c:pt>
                <c:pt idx="51">
                  <c:v>31</c:v>
                </c:pt>
                <c:pt idx="52">
                  <c:v>32</c:v>
                </c:pt>
                <c:pt idx="53">
                  <c:v>33</c:v>
                </c:pt>
                <c:pt idx="54">
                  <c:v>34</c:v>
                </c:pt>
                <c:pt idx="55">
                  <c:v>35</c:v>
                </c:pt>
                <c:pt idx="56">
                  <c:v>36</c:v>
                </c:pt>
                <c:pt idx="57">
                  <c:v>37</c:v>
                </c:pt>
                <c:pt idx="58">
                  <c:v>38</c:v>
                </c:pt>
                <c:pt idx="59">
                  <c:v>39</c:v>
                </c:pt>
                <c:pt idx="60">
                  <c:v>40</c:v>
                </c:pt>
                <c:pt idx="61">
                  <c:v>41</c:v>
                </c:pt>
                <c:pt idx="62">
                  <c:v>42</c:v>
                </c:pt>
                <c:pt idx="63">
                  <c:v>43</c:v>
                </c:pt>
                <c:pt idx="64">
                  <c:v>44</c:v>
                </c:pt>
                <c:pt idx="65">
                  <c:v>45</c:v>
                </c:pt>
                <c:pt idx="66">
                  <c:v>46</c:v>
                </c:pt>
                <c:pt idx="67">
                  <c:v>47</c:v>
                </c:pt>
                <c:pt idx="68">
                  <c:v>48</c:v>
                </c:pt>
                <c:pt idx="69">
                  <c:v>49</c:v>
                </c:pt>
                <c:pt idx="70">
                  <c:v>50</c:v>
                </c:pt>
                <c:pt idx="71">
                  <c:v>51</c:v>
                </c:pt>
                <c:pt idx="72">
                  <c:v>52</c:v>
                </c:pt>
                <c:pt idx="73">
                  <c:v>53</c:v>
                </c:pt>
                <c:pt idx="74">
                  <c:v>54</c:v>
                </c:pt>
                <c:pt idx="75">
                  <c:v>55</c:v>
                </c:pt>
                <c:pt idx="76">
                  <c:v>56</c:v>
                </c:pt>
                <c:pt idx="77">
                  <c:v>57</c:v>
                </c:pt>
                <c:pt idx="78">
                  <c:v>58</c:v>
                </c:pt>
                <c:pt idx="79">
                  <c:v>59</c:v>
                </c:pt>
                <c:pt idx="80">
                  <c:v>60</c:v>
                </c:pt>
                <c:pt idx="81">
                  <c:v>61</c:v>
                </c:pt>
                <c:pt idx="82">
                  <c:v>62</c:v>
                </c:pt>
                <c:pt idx="83">
                  <c:v>63</c:v>
                </c:pt>
                <c:pt idx="84">
                  <c:v>64</c:v>
                </c:pt>
                <c:pt idx="85">
                  <c:v>65</c:v>
                </c:pt>
                <c:pt idx="86">
                  <c:v>66</c:v>
                </c:pt>
                <c:pt idx="87">
                  <c:v>67</c:v>
                </c:pt>
                <c:pt idx="88">
                  <c:v>68</c:v>
                </c:pt>
                <c:pt idx="89">
                  <c:v>69</c:v>
                </c:pt>
                <c:pt idx="90">
                  <c:v>70</c:v>
                </c:pt>
                <c:pt idx="91">
                  <c:v>71</c:v>
                </c:pt>
                <c:pt idx="92">
                  <c:v>72</c:v>
                </c:pt>
                <c:pt idx="93">
                  <c:v>73</c:v>
                </c:pt>
                <c:pt idx="94">
                  <c:v>74</c:v>
                </c:pt>
                <c:pt idx="95">
                  <c:v>75</c:v>
                </c:pt>
                <c:pt idx="96">
                  <c:v>76</c:v>
                </c:pt>
                <c:pt idx="97">
                  <c:v>77</c:v>
                </c:pt>
                <c:pt idx="98">
                  <c:v>78</c:v>
                </c:pt>
                <c:pt idx="99">
                  <c:v>79</c:v>
                </c:pt>
                <c:pt idx="100">
                  <c:v>80</c:v>
                </c:pt>
                <c:pt idx="101">
                  <c:v>81</c:v>
                </c:pt>
                <c:pt idx="102">
                  <c:v>82</c:v>
                </c:pt>
                <c:pt idx="103">
                  <c:v>83</c:v>
                </c:pt>
                <c:pt idx="104">
                  <c:v>84</c:v>
                </c:pt>
                <c:pt idx="105">
                  <c:v>85</c:v>
                </c:pt>
                <c:pt idx="106">
                  <c:v>86</c:v>
                </c:pt>
                <c:pt idx="107">
                  <c:v>87</c:v>
                </c:pt>
                <c:pt idx="108">
                  <c:v>88</c:v>
                </c:pt>
                <c:pt idx="109">
                  <c:v>89</c:v>
                </c:pt>
                <c:pt idx="110">
                  <c:v>90</c:v>
                </c:pt>
                <c:pt idx="111">
                  <c:v>91</c:v>
                </c:pt>
                <c:pt idx="112">
                  <c:v>92</c:v>
                </c:pt>
                <c:pt idx="113">
                  <c:v>93</c:v>
                </c:pt>
                <c:pt idx="114">
                  <c:v>94</c:v>
                </c:pt>
                <c:pt idx="115">
                  <c:v>95</c:v>
                </c:pt>
                <c:pt idx="116">
                  <c:v>96</c:v>
                </c:pt>
                <c:pt idx="117">
                  <c:v>97</c:v>
                </c:pt>
                <c:pt idx="118">
                  <c:v>98</c:v>
                </c:pt>
                <c:pt idx="119">
                  <c:v>99</c:v>
                </c:pt>
                <c:pt idx="120">
                  <c:v>100</c:v>
                </c:pt>
                <c:pt idx="121">
                  <c:v>101</c:v>
                </c:pt>
                <c:pt idx="122">
                  <c:v>102</c:v>
                </c:pt>
                <c:pt idx="123">
                  <c:v>103</c:v>
                </c:pt>
                <c:pt idx="124">
                  <c:v>104</c:v>
                </c:pt>
                <c:pt idx="125">
                  <c:v>105</c:v>
                </c:pt>
                <c:pt idx="126">
                  <c:v>106</c:v>
                </c:pt>
                <c:pt idx="127">
                  <c:v>107</c:v>
                </c:pt>
                <c:pt idx="128">
                  <c:v>108</c:v>
                </c:pt>
                <c:pt idx="129">
                  <c:v>109</c:v>
                </c:pt>
                <c:pt idx="130">
                  <c:v>110</c:v>
                </c:pt>
                <c:pt idx="131">
                  <c:v>111</c:v>
                </c:pt>
                <c:pt idx="132">
                  <c:v>112</c:v>
                </c:pt>
                <c:pt idx="133">
                  <c:v>113</c:v>
                </c:pt>
                <c:pt idx="134">
                  <c:v>114</c:v>
                </c:pt>
                <c:pt idx="135">
                  <c:v>115</c:v>
                </c:pt>
                <c:pt idx="136">
                  <c:v>116</c:v>
                </c:pt>
                <c:pt idx="137">
                  <c:v>117</c:v>
                </c:pt>
                <c:pt idx="138">
                  <c:v>118</c:v>
                </c:pt>
                <c:pt idx="139">
                  <c:v>119</c:v>
                </c:pt>
                <c:pt idx="140">
                  <c:v>120</c:v>
                </c:pt>
                <c:pt idx="141">
                  <c:v>121</c:v>
                </c:pt>
                <c:pt idx="142">
                  <c:v>122</c:v>
                </c:pt>
                <c:pt idx="143">
                  <c:v>123</c:v>
                </c:pt>
                <c:pt idx="144">
                  <c:v>124</c:v>
                </c:pt>
                <c:pt idx="145">
                  <c:v>125</c:v>
                </c:pt>
                <c:pt idx="146">
                  <c:v>126</c:v>
                </c:pt>
                <c:pt idx="147">
                  <c:v>127</c:v>
                </c:pt>
                <c:pt idx="148">
                  <c:v>128</c:v>
                </c:pt>
                <c:pt idx="149">
                  <c:v>129</c:v>
                </c:pt>
                <c:pt idx="150">
                  <c:v>130</c:v>
                </c:pt>
                <c:pt idx="151">
                  <c:v>131</c:v>
                </c:pt>
                <c:pt idx="152">
                  <c:v>132</c:v>
                </c:pt>
                <c:pt idx="153">
                  <c:v>133</c:v>
                </c:pt>
                <c:pt idx="154">
                  <c:v>134</c:v>
                </c:pt>
                <c:pt idx="155">
                  <c:v>135</c:v>
                </c:pt>
                <c:pt idx="156">
                  <c:v>136</c:v>
                </c:pt>
                <c:pt idx="157">
                  <c:v>137</c:v>
                </c:pt>
                <c:pt idx="158">
                  <c:v>138</c:v>
                </c:pt>
                <c:pt idx="159">
                  <c:v>139</c:v>
                </c:pt>
                <c:pt idx="160">
                  <c:v>140</c:v>
                </c:pt>
                <c:pt idx="161">
                  <c:v>141</c:v>
                </c:pt>
                <c:pt idx="162">
                  <c:v>142</c:v>
                </c:pt>
                <c:pt idx="163">
                  <c:v>143</c:v>
                </c:pt>
                <c:pt idx="164">
                  <c:v>144</c:v>
                </c:pt>
                <c:pt idx="165">
                  <c:v>145</c:v>
                </c:pt>
                <c:pt idx="166">
                  <c:v>146</c:v>
                </c:pt>
                <c:pt idx="167">
                  <c:v>147</c:v>
                </c:pt>
                <c:pt idx="168">
                  <c:v>148</c:v>
                </c:pt>
                <c:pt idx="169">
                  <c:v>149</c:v>
                </c:pt>
                <c:pt idx="170">
                  <c:v>150</c:v>
                </c:pt>
              </c:numCache>
            </c:numRef>
          </c:xVal>
          <c:yVal>
            <c:numRef>
              <c:f>'External Components'!$V$3:$V$173</c:f>
              <c:numCache>
                <c:formatCode>General</c:formatCode>
                <c:ptCount val="171"/>
                <c:pt idx="0">
                  <c:v>75.021689901877991</c:v>
                </c:pt>
                <c:pt idx="1">
                  <c:v>71.182163923732958</c:v>
                </c:pt>
                <c:pt idx="2">
                  <c:v>67.566958716772007</c:v>
                </c:pt>
                <c:pt idx="3">
                  <c:v>64.161469565679752</c:v>
                </c:pt>
                <c:pt idx="4">
                  <c:v>60.952134443976135</c:v>
                </c:pt>
                <c:pt idx="5">
                  <c:v>57.926353331959376</c:v>
                </c:pt>
                <c:pt idx="6">
                  <c:v>55.072414240847209</c:v>
                </c:pt>
                <c:pt idx="7">
                  <c:v>52.379425348588946</c:v>
                </c:pt>
                <c:pt idx="8">
                  <c:v>49.837252708710515</c:v>
                </c:pt>
                <c:pt idx="9">
                  <c:v>47.43646304390785</c:v>
                </c:pt>
                <c:pt idx="10">
                  <c:v>45.168271181476321</c:v>
                </c:pt>
                <c:pt idx="11">
                  <c:v>43.024491728599195</c:v>
                </c:pt>
                <c:pt idx="12">
                  <c:v>40.997494622447917</c:v>
                </c:pt>
                <c:pt idx="13">
                  <c:v>39.080164223402704</c:v>
                </c:pt>
                <c:pt idx="14">
                  <c:v>37.265861649833582</c:v>
                </c:pt>
                <c:pt idx="15">
                  <c:v>35.548390080127447</c:v>
                </c:pt>
                <c:pt idx="16">
                  <c:v>33.921962772287223</c:v>
                </c:pt>
                <c:pt idx="17">
                  <c:v>32.381173573736888</c:v>
                </c:pt>
                <c:pt idx="18">
                  <c:v>30.920969714164279</c:v>
                </c:pt>
                <c:pt idx="19">
                  <c:v>29.536626692537045</c:v>
                </c:pt>
                <c:pt idx="20">
                  <c:v>28.223725086022139</c:v>
                </c:pt>
                <c:pt idx="21">
                  <c:v>26.978129123593781</c:v>
                </c:pt>
                <c:pt idx="22">
                  <c:v>25.79596688077617</c:v>
                </c:pt>
                <c:pt idx="23">
                  <c:v>24.673611964377187</c:v>
                </c:pt>
                <c:pt idx="24">
                  <c:v>23.607666567342754</c:v>
                </c:pt>
                <c:pt idx="25">
                  <c:v>22.594945784110799</c:v>
                </c:pt>
                <c:pt idx="26">
                  <c:v>21.632463086167142</c:v>
                </c:pt>
                <c:pt idx="27">
                  <c:v>20.717416865989073</c:v>
                </c:pt>
                <c:pt idx="28">
                  <c:v>19.847177965288573</c:v>
                </c:pt>
                <c:pt idx="29">
                  <c:v>19.019278110503876</c:v>
                </c:pt>
                <c:pt idx="30">
                  <c:v>18.231399184902834</c:v>
                </c:pt>
                <c:pt idx="31">
                  <c:v>17.481363272511569</c:v>
                </c:pt>
                <c:pt idx="32">
                  <c:v>16.767123414418112</c:v>
                </c:pt>
                <c:pt idx="33">
                  <c:v>16.086755022872808</c:v>
                </c:pt>
                <c:pt idx="34">
                  <c:v>15.438447903056725</c:v>
                </c:pt>
                <c:pt idx="35">
                  <c:v>14.82049883645381</c:v>
                </c:pt>
                <c:pt idx="36">
                  <c:v>14.231304683479706</c:v>
                </c:pt>
                <c:pt idx="37">
                  <c:v>13.669355966418216</c:v>
                </c:pt>
                <c:pt idx="38">
                  <c:v>13.133230896827301</c:v>
                </c:pt>
                <c:pt idx="39">
                  <c:v>12.621589814422343</c:v>
                </c:pt>
                <c:pt idx="40">
                  <c:v>12.133170007053389</c:v>
                </c:pt>
                <c:pt idx="41">
                  <c:v>11.66678088378108</c:v>
                </c:pt>
                <c:pt idx="42">
                  <c:v>11.221299475246839</c:v>
                </c:pt>
                <c:pt idx="43">
                  <c:v>10.795666237541603</c:v>
                </c:pt>
                <c:pt idx="44">
                  <c:v>10.388881137620128</c:v>
                </c:pt>
                <c:pt idx="45">
                  <c:v>10</c:v>
                </c:pt>
                <c:pt idx="46">
                  <c:v>9.6281310960376683</c:v>
                </c:pt>
                <c:pt idx="47">
                  <c:v>9.2724319585019899</c:v>
                </c:pt>
                <c:pt idx="48">
                  <c:v>8.9321064054765245</c:v>
                </c:pt>
                <c:pt idx="49">
                  <c:v>8.6064017588294135</c:v>
                </c:pt>
                <c:pt idx="50">
                  <c:v>8.2946062435985297</c:v>
                </c:pt>
                <c:pt idx="51">
                  <c:v>7.9960465556611329</c:v>
                </c:pt>
                <c:pt idx="52">
                  <c:v>7.7100855859978781</c:v>
                </c:pt>
                <c:pt idx="53">
                  <c:v>7.4361202907263273</c:v>
                </c:pt>
                <c:pt idx="54">
                  <c:v>7.1735796968779226</c:v>
                </c:pt>
                <c:pt idx="55">
                  <c:v>6.9219230346274578</c:v>
                </c:pt>
                <c:pt idx="56">
                  <c:v>6.6806379873624921</c:v>
                </c:pt>
                <c:pt idx="57">
                  <c:v>6.4492390516063525</c:v>
                </c:pt>
                <c:pt idx="58">
                  <c:v>6.2272659993852155</c:v>
                </c:pt>
                <c:pt idx="59">
                  <c:v>6.0142824361639144</c:v>
                </c:pt>
                <c:pt idx="60">
                  <c:v>5.8098744479667586</c:v>
                </c:pt>
                <c:pt idx="61">
                  <c:v>5.6136493317553002</c:v>
                </c:pt>
                <c:pt idx="62">
                  <c:v>5.4252344035555256</c:v>
                </c:pt>
                <c:pt idx="63">
                  <c:v>5.2442758792156186</c:v>
                </c:pt>
                <c:pt idx="64">
                  <c:v>5.0704378230357072</c:v>
                </c:pt>
                <c:pt idx="65">
                  <c:v>4.903401159843523</c:v>
                </c:pt>
                <c:pt idx="66">
                  <c:v>4.7428627463983926</c:v>
                </c:pt>
                <c:pt idx="67">
                  <c:v>4.5885344982913141</c:v>
                </c:pt>
                <c:pt idx="68">
                  <c:v>4.4401425687732603</c:v>
                </c:pt>
                <c:pt idx="69">
                  <c:v>4.2974265761888839</c:v>
                </c:pt>
                <c:pt idx="70">
                  <c:v>4.1601388769200955</c:v>
                </c:pt>
                <c:pt idx="71">
                  <c:v>4.0280438809543959</c:v>
                </c:pt>
                <c:pt idx="72">
                  <c:v>3.900917407388504</c:v>
                </c:pt>
                <c:pt idx="73">
                  <c:v>3.7785460773591812</c:v>
                </c:pt>
                <c:pt idx="74">
                  <c:v>3.6607267420612359</c:v>
                </c:pt>
                <c:pt idx="75">
                  <c:v>3.5472659436695126</c:v>
                </c:pt>
                <c:pt idx="76">
                  <c:v>3.4379794071264884</c:v>
                </c:pt>
                <c:pt idx="77">
                  <c:v>3.3326915608924534</c:v>
                </c:pt>
                <c:pt idx="78">
                  <c:v>3.2312350848803471</c:v>
                </c:pt>
                <c:pt idx="79">
                  <c:v>3.1334504839144399</c:v>
                </c:pt>
                <c:pt idx="80">
                  <c:v>3.0391856851602324</c:v>
                </c:pt>
                <c:pt idx="81">
                  <c:v>2.9482956580741244</c:v>
                </c:pt>
                <c:pt idx="82">
                  <c:v>2.8606420555154148</c:v>
                </c:pt>
                <c:pt idx="83">
                  <c:v>2.776092874750689</c:v>
                </c:pt>
                <c:pt idx="84">
                  <c:v>2.6945221371621915</c:v>
                </c:pt>
                <c:pt idx="85">
                  <c:v>2.6158095855477943</c:v>
                </c:pt>
                <c:pt idx="86">
                  <c:v>2.5398403979708881</c:v>
                </c:pt>
                <c:pt idx="87">
                  <c:v>2.4665049171846389</c:v>
                </c:pt>
                <c:pt idx="88">
                  <c:v>2.3956983947165336</c:v>
                </c:pt>
                <c:pt idx="89">
                  <c:v>2.3273207487565846</c:v>
                </c:pt>
                <c:pt idx="90">
                  <c:v>2.2612763350461424</c:v>
                </c:pt>
                <c:pt idx="91">
                  <c:v>2.1974737300143223</c:v>
                </c:pt>
                <c:pt idx="92">
                  <c:v>2.1358255254556955</c:v>
                </c:pt>
                <c:pt idx="93">
                  <c:v>2.0762481340865726</c:v>
                </c:pt>
                <c:pt idx="94">
                  <c:v>2.0186616053579178</c:v>
                </c:pt>
                <c:pt idx="95">
                  <c:v>1.9629894509410448</c:v>
                </c:pt>
                <c:pt idx="96">
                  <c:v>1.9091584793378016</c:v>
                </c:pt>
                <c:pt idx="97">
                  <c:v>1.8570986391003701</c:v>
                </c:pt>
                <c:pt idx="98">
                  <c:v>1.8067428701767083</c:v>
                </c:pt>
                <c:pt idx="99">
                  <c:v>1.7580269629270995</c:v>
                </c:pt>
                <c:pt idx="100">
                  <c:v>1.7108894243842421</c:v>
                </c:pt>
                <c:pt idx="101">
                  <c:v>1.6652713513550679</c:v>
                </c:pt>
                <c:pt idx="102">
                  <c:v>1.6211163099862447</c:v>
                </c:pt>
                <c:pt idx="103">
                  <c:v>1.5783702214377393</c:v>
                </c:pt>
                <c:pt idx="104">
                  <c:v>1.5369812533298126</c:v>
                </c:pt>
                <c:pt idx="105">
                  <c:v>1.4968997166484721</c:v>
                </c:pt>
                <c:pt idx="106">
                  <c:v>1.4580779678127604</c:v>
                </c:pt>
                <c:pt idx="107">
                  <c:v>1.4204703156246898</c:v>
                </c:pt>
                <c:pt idx="108">
                  <c:v>1.3840329328386358</c:v>
                </c:pt>
                <c:pt idx="109">
                  <c:v>1.3487237721024088</c:v>
                </c:pt>
                <c:pt idx="110">
                  <c:v>1.314502486036317</c:v>
                </c:pt>
                <c:pt idx="111">
                  <c:v>1.2813303512300633</c:v>
                </c:pt>
                <c:pt idx="112">
                  <c:v>1.2491701959497745</c:v>
                </c:pt>
                <c:pt idx="113">
                  <c:v>1.2179863313593668</c:v>
                </c:pt>
                <c:pt idx="114">
                  <c:v>1.1877444860714674</c:v>
                </c:pt>
                <c:pt idx="115">
                  <c:v>1.1584117438535917</c:v>
                </c:pt>
                <c:pt idx="116">
                  <c:v>1.1299564843250405</c:v>
                </c:pt>
                <c:pt idx="117">
                  <c:v>1.1023483264891649</c:v>
                </c:pt>
                <c:pt idx="118">
                  <c:v>1.0755580749543927</c:v>
                </c:pt>
                <c:pt idx="119">
                  <c:v>1.0495576687054327</c:v>
                </c:pt>
                <c:pt idx="120">
                  <c:v>1.0243201322938438</c:v>
                </c:pt>
                <c:pt idx="121">
                  <c:v>0.99981952932430951</c:v>
                </c:pt>
                <c:pt idx="122">
                  <c:v>0.9760309181197262</c:v>
                </c:pt>
                <c:pt idx="123">
                  <c:v>0.9529303094546695</c:v>
                </c:pt>
                <c:pt idx="124">
                  <c:v>0.93049462625275958</c:v>
                </c:pt>
                <c:pt idx="125">
                  <c:v>0.90870166514911255</c:v>
                </c:pt>
                <c:pt idx="126">
                  <c:v>0.88753005982447564</c:v>
                </c:pt>
                <c:pt idx="127">
                  <c:v>0.86695924602255214</c:v>
                </c:pt>
                <c:pt idx="128">
                  <c:v>0.8469694281668918</c:v>
                </c:pt>
                <c:pt idx="129">
                  <c:v>0.82754154749809983</c:v>
                </c:pt>
                <c:pt idx="130">
                  <c:v>0.80865725165637148</c:v>
                </c:pt>
                <c:pt idx="131">
                  <c:v>0.79029886563833518</c:v>
                </c:pt>
                <c:pt idx="132">
                  <c:v>0.77244936406092546</c:v>
                </c:pt>
                <c:pt idx="133">
                  <c:v>0.75509234466856512</c:v>
                </c:pt>
                <c:pt idx="134">
                  <c:v>0.73821200302323309</c:v>
                </c:pt>
                <c:pt idx="135">
                  <c:v>0.72179310832022536</c:v>
                </c:pt>
                <c:pt idx="136">
                  <c:v>0.70582098027529638</c:v>
                </c:pt>
                <c:pt idx="137">
                  <c:v>0.69028146703177473</c:v>
                </c:pt>
                <c:pt idx="138">
                  <c:v>0.67516092403882799</c:v>
                </c:pt>
                <c:pt idx="139">
                  <c:v>0.66044619385461267</c:v>
                </c:pt>
                <c:pt idx="140">
                  <c:v>0.64612458683038976</c:v>
                </c:pt>
                <c:pt idx="141">
                  <c:v>0.63218386263393811</c:v>
                </c:pt>
                <c:pt idx="142">
                  <c:v>0.6186122125727217</c:v>
                </c:pt>
                <c:pt idx="143">
                  <c:v>0.6053982426792488</c:v>
                </c:pt>
                <c:pt idx="144">
                  <c:v>0.592530957523005</c:v>
                </c:pt>
                <c:pt idx="145">
                  <c:v>0.57999974471507187</c:v>
                </c:pt>
                <c:pt idx="146">
                  <c:v>0.5677943600732972</c:v>
                </c:pt>
                <c:pt idx="147">
                  <c:v>0.55590491341745329</c:v>
                </c:pt>
                <c:pt idx="148">
                  <c:v>0.54432185496536278</c:v>
                </c:pt>
                <c:pt idx="149">
                  <c:v>0.53303596230238959</c:v>
                </c:pt>
                <c:pt idx="150">
                  <c:v>0.52203832789807403</c:v>
                </c:pt>
                <c:pt idx="151">
                  <c:v>0.51132034714497709</c:v>
                </c:pt>
                <c:pt idx="152">
                  <c:v>0.50087370689601496</c:v>
                </c:pt>
                <c:pt idx="153">
                  <c:v>0.49069037447773545</c:v>
                </c:pt>
                <c:pt idx="154">
                  <c:v>0.48076258715808218</c:v>
                </c:pt>
                <c:pt idx="155">
                  <c:v>0.4710828420482196</c:v>
                </c:pt>
                <c:pt idx="156">
                  <c:v>0.46164388641901799</c:v>
                </c:pt>
                <c:pt idx="157">
                  <c:v>0.45243870841367695</c:v>
                </c:pt>
                <c:pt idx="158">
                  <c:v>0.44346052813891096</c:v>
                </c:pt>
                <c:pt idx="159">
                  <c:v>0.43470278911792115</c:v>
                </c:pt>
                <c:pt idx="160">
                  <c:v>0.42615915008920585</c:v>
                </c:pt>
                <c:pt idx="161">
                  <c:v>0.41782347713598833</c:v>
                </c:pt>
                <c:pt idx="162">
                  <c:v>0.40968983613180354</c:v>
                </c:pt>
                <c:pt idx="163">
                  <c:v>0.40175248548842185</c:v>
                </c:pt>
                <c:pt idx="164">
                  <c:v>0.39400586919298264</c:v>
                </c:pt>
                <c:pt idx="165">
                  <c:v>0.38644461012177844</c:v>
                </c:pt>
                <c:pt idx="166">
                  <c:v>0.37906350361876695</c:v>
                </c:pt>
                <c:pt idx="167">
                  <c:v>0.37185751132739764</c:v>
                </c:pt>
                <c:pt idx="168">
                  <c:v>0.36482175526490612</c:v>
                </c:pt>
                <c:pt idx="169">
                  <c:v>0.35795151212869969</c:v>
                </c:pt>
                <c:pt idx="170">
                  <c:v>0.35124220782495985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'External Components'!$W$2</c:f>
              <c:strCache>
                <c:ptCount val="1"/>
                <c:pt idx="0">
                  <c:v>RII (kΩ)</c:v>
                </c:pt>
              </c:strCache>
            </c:strRef>
          </c:tx>
          <c:marker>
            <c:symbol val="none"/>
          </c:marker>
          <c:xVal>
            <c:numRef>
              <c:f>'External Components'!$U$3:$U$173</c:f>
              <c:numCache>
                <c:formatCode>General</c:formatCode>
                <c:ptCount val="171"/>
                <c:pt idx="0">
                  <c:v>-20</c:v>
                </c:pt>
                <c:pt idx="1">
                  <c:v>-19</c:v>
                </c:pt>
                <c:pt idx="2">
                  <c:v>-18</c:v>
                </c:pt>
                <c:pt idx="3">
                  <c:v>-17</c:v>
                </c:pt>
                <c:pt idx="4">
                  <c:v>-16</c:v>
                </c:pt>
                <c:pt idx="5">
                  <c:v>-15</c:v>
                </c:pt>
                <c:pt idx="6">
                  <c:v>-14</c:v>
                </c:pt>
                <c:pt idx="7">
                  <c:v>-13</c:v>
                </c:pt>
                <c:pt idx="8">
                  <c:v>-12</c:v>
                </c:pt>
                <c:pt idx="9">
                  <c:v>-11</c:v>
                </c:pt>
                <c:pt idx="10">
                  <c:v>-10</c:v>
                </c:pt>
                <c:pt idx="11">
                  <c:v>-9</c:v>
                </c:pt>
                <c:pt idx="12">
                  <c:v>-8</c:v>
                </c:pt>
                <c:pt idx="13">
                  <c:v>-7</c:v>
                </c:pt>
                <c:pt idx="14">
                  <c:v>-6</c:v>
                </c:pt>
                <c:pt idx="15">
                  <c:v>-5</c:v>
                </c:pt>
                <c:pt idx="16">
                  <c:v>-4</c:v>
                </c:pt>
                <c:pt idx="17">
                  <c:v>-3</c:v>
                </c:pt>
                <c:pt idx="18">
                  <c:v>-2</c:v>
                </c:pt>
                <c:pt idx="19">
                  <c:v>-1</c:v>
                </c:pt>
                <c:pt idx="20">
                  <c:v>0</c:v>
                </c:pt>
                <c:pt idx="21">
                  <c:v>1</c:v>
                </c:pt>
                <c:pt idx="22">
                  <c:v>2</c:v>
                </c:pt>
                <c:pt idx="23">
                  <c:v>3</c:v>
                </c:pt>
                <c:pt idx="24">
                  <c:v>4</c:v>
                </c:pt>
                <c:pt idx="25">
                  <c:v>5</c:v>
                </c:pt>
                <c:pt idx="26">
                  <c:v>6</c:v>
                </c:pt>
                <c:pt idx="27">
                  <c:v>7</c:v>
                </c:pt>
                <c:pt idx="28">
                  <c:v>8</c:v>
                </c:pt>
                <c:pt idx="29">
                  <c:v>9</c:v>
                </c:pt>
                <c:pt idx="30">
                  <c:v>10</c:v>
                </c:pt>
                <c:pt idx="31">
                  <c:v>11</c:v>
                </c:pt>
                <c:pt idx="32">
                  <c:v>12</c:v>
                </c:pt>
                <c:pt idx="33">
                  <c:v>13</c:v>
                </c:pt>
                <c:pt idx="34">
                  <c:v>14</c:v>
                </c:pt>
                <c:pt idx="35">
                  <c:v>15</c:v>
                </c:pt>
                <c:pt idx="36">
                  <c:v>16</c:v>
                </c:pt>
                <c:pt idx="37">
                  <c:v>17</c:v>
                </c:pt>
                <c:pt idx="38">
                  <c:v>18</c:v>
                </c:pt>
                <c:pt idx="39">
                  <c:v>19</c:v>
                </c:pt>
                <c:pt idx="40">
                  <c:v>20</c:v>
                </c:pt>
                <c:pt idx="41">
                  <c:v>21</c:v>
                </c:pt>
                <c:pt idx="42">
                  <c:v>22</c:v>
                </c:pt>
                <c:pt idx="43">
                  <c:v>23</c:v>
                </c:pt>
                <c:pt idx="44">
                  <c:v>24</c:v>
                </c:pt>
                <c:pt idx="45">
                  <c:v>25</c:v>
                </c:pt>
                <c:pt idx="46">
                  <c:v>26</c:v>
                </c:pt>
                <c:pt idx="47">
                  <c:v>27</c:v>
                </c:pt>
                <c:pt idx="48">
                  <c:v>28</c:v>
                </c:pt>
                <c:pt idx="49">
                  <c:v>29</c:v>
                </c:pt>
                <c:pt idx="50">
                  <c:v>30</c:v>
                </c:pt>
                <c:pt idx="51">
                  <c:v>31</c:v>
                </c:pt>
                <c:pt idx="52">
                  <c:v>32</c:v>
                </c:pt>
                <c:pt idx="53">
                  <c:v>33</c:v>
                </c:pt>
                <c:pt idx="54">
                  <c:v>34</c:v>
                </c:pt>
                <c:pt idx="55">
                  <c:v>35</c:v>
                </c:pt>
                <c:pt idx="56">
                  <c:v>36</c:v>
                </c:pt>
                <c:pt idx="57">
                  <c:v>37</c:v>
                </c:pt>
                <c:pt idx="58">
                  <c:v>38</c:v>
                </c:pt>
                <c:pt idx="59">
                  <c:v>39</c:v>
                </c:pt>
                <c:pt idx="60">
                  <c:v>40</c:v>
                </c:pt>
                <c:pt idx="61">
                  <c:v>41</c:v>
                </c:pt>
                <c:pt idx="62">
                  <c:v>42</c:v>
                </c:pt>
                <c:pt idx="63">
                  <c:v>43</c:v>
                </c:pt>
                <c:pt idx="64">
                  <c:v>44</c:v>
                </c:pt>
                <c:pt idx="65">
                  <c:v>45</c:v>
                </c:pt>
                <c:pt idx="66">
                  <c:v>46</c:v>
                </c:pt>
                <c:pt idx="67">
                  <c:v>47</c:v>
                </c:pt>
                <c:pt idx="68">
                  <c:v>48</c:v>
                </c:pt>
                <c:pt idx="69">
                  <c:v>49</c:v>
                </c:pt>
                <c:pt idx="70">
                  <c:v>50</c:v>
                </c:pt>
                <c:pt idx="71">
                  <c:v>51</c:v>
                </c:pt>
                <c:pt idx="72">
                  <c:v>52</c:v>
                </c:pt>
                <c:pt idx="73">
                  <c:v>53</c:v>
                </c:pt>
                <c:pt idx="74">
                  <c:v>54</c:v>
                </c:pt>
                <c:pt idx="75">
                  <c:v>55</c:v>
                </c:pt>
                <c:pt idx="76">
                  <c:v>56</c:v>
                </c:pt>
                <c:pt idx="77">
                  <c:v>57</c:v>
                </c:pt>
                <c:pt idx="78">
                  <c:v>58</c:v>
                </c:pt>
                <c:pt idx="79">
                  <c:v>59</c:v>
                </c:pt>
                <c:pt idx="80">
                  <c:v>60</c:v>
                </c:pt>
                <c:pt idx="81">
                  <c:v>61</c:v>
                </c:pt>
                <c:pt idx="82">
                  <c:v>62</c:v>
                </c:pt>
                <c:pt idx="83">
                  <c:v>63</c:v>
                </c:pt>
                <c:pt idx="84">
                  <c:v>64</c:v>
                </c:pt>
                <c:pt idx="85">
                  <c:v>65</c:v>
                </c:pt>
                <c:pt idx="86">
                  <c:v>66</c:v>
                </c:pt>
                <c:pt idx="87">
                  <c:v>67</c:v>
                </c:pt>
                <c:pt idx="88">
                  <c:v>68</c:v>
                </c:pt>
                <c:pt idx="89">
                  <c:v>69</c:v>
                </c:pt>
                <c:pt idx="90">
                  <c:v>70</c:v>
                </c:pt>
                <c:pt idx="91">
                  <c:v>71</c:v>
                </c:pt>
                <c:pt idx="92">
                  <c:v>72</c:v>
                </c:pt>
                <c:pt idx="93">
                  <c:v>73</c:v>
                </c:pt>
                <c:pt idx="94">
                  <c:v>74</c:v>
                </c:pt>
                <c:pt idx="95">
                  <c:v>75</c:v>
                </c:pt>
                <c:pt idx="96">
                  <c:v>76</c:v>
                </c:pt>
                <c:pt idx="97">
                  <c:v>77</c:v>
                </c:pt>
                <c:pt idx="98">
                  <c:v>78</c:v>
                </c:pt>
                <c:pt idx="99">
                  <c:v>79</c:v>
                </c:pt>
                <c:pt idx="100">
                  <c:v>80</c:v>
                </c:pt>
                <c:pt idx="101">
                  <c:v>81</c:v>
                </c:pt>
                <c:pt idx="102">
                  <c:v>82</c:v>
                </c:pt>
                <c:pt idx="103">
                  <c:v>83</c:v>
                </c:pt>
                <c:pt idx="104">
                  <c:v>84</c:v>
                </c:pt>
                <c:pt idx="105">
                  <c:v>85</c:v>
                </c:pt>
                <c:pt idx="106">
                  <c:v>86</c:v>
                </c:pt>
                <c:pt idx="107">
                  <c:v>87</c:v>
                </c:pt>
                <c:pt idx="108">
                  <c:v>88</c:v>
                </c:pt>
                <c:pt idx="109">
                  <c:v>89</c:v>
                </c:pt>
                <c:pt idx="110">
                  <c:v>90</c:v>
                </c:pt>
                <c:pt idx="111">
                  <c:v>91</c:v>
                </c:pt>
                <c:pt idx="112">
                  <c:v>92</c:v>
                </c:pt>
                <c:pt idx="113">
                  <c:v>93</c:v>
                </c:pt>
                <c:pt idx="114">
                  <c:v>94</c:v>
                </c:pt>
                <c:pt idx="115">
                  <c:v>95</c:v>
                </c:pt>
                <c:pt idx="116">
                  <c:v>96</c:v>
                </c:pt>
                <c:pt idx="117">
                  <c:v>97</c:v>
                </c:pt>
                <c:pt idx="118">
                  <c:v>98</c:v>
                </c:pt>
                <c:pt idx="119">
                  <c:v>99</c:v>
                </c:pt>
                <c:pt idx="120">
                  <c:v>100</c:v>
                </c:pt>
                <c:pt idx="121">
                  <c:v>101</c:v>
                </c:pt>
                <c:pt idx="122">
                  <c:v>102</c:v>
                </c:pt>
                <c:pt idx="123">
                  <c:v>103</c:v>
                </c:pt>
                <c:pt idx="124">
                  <c:v>104</c:v>
                </c:pt>
                <c:pt idx="125">
                  <c:v>105</c:v>
                </c:pt>
                <c:pt idx="126">
                  <c:v>106</c:v>
                </c:pt>
                <c:pt idx="127">
                  <c:v>107</c:v>
                </c:pt>
                <c:pt idx="128">
                  <c:v>108</c:v>
                </c:pt>
                <c:pt idx="129">
                  <c:v>109</c:v>
                </c:pt>
                <c:pt idx="130">
                  <c:v>110</c:v>
                </c:pt>
                <c:pt idx="131">
                  <c:v>111</c:v>
                </c:pt>
                <c:pt idx="132">
                  <c:v>112</c:v>
                </c:pt>
                <c:pt idx="133">
                  <c:v>113</c:v>
                </c:pt>
                <c:pt idx="134">
                  <c:v>114</c:v>
                </c:pt>
                <c:pt idx="135">
                  <c:v>115</c:v>
                </c:pt>
                <c:pt idx="136">
                  <c:v>116</c:v>
                </c:pt>
                <c:pt idx="137">
                  <c:v>117</c:v>
                </c:pt>
                <c:pt idx="138">
                  <c:v>118</c:v>
                </c:pt>
                <c:pt idx="139">
                  <c:v>119</c:v>
                </c:pt>
                <c:pt idx="140">
                  <c:v>120</c:v>
                </c:pt>
                <c:pt idx="141">
                  <c:v>121</c:v>
                </c:pt>
                <c:pt idx="142">
                  <c:v>122</c:v>
                </c:pt>
                <c:pt idx="143">
                  <c:v>123</c:v>
                </c:pt>
                <c:pt idx="144">
                  <c:v>124</c:v>
                </c:pt>
                <c:pt idx="145">
                  <c:v>125</c:v>
                </c:pt>
                <c:pt idx="146">
                  <c:v>126</c:v>
                </c:pt>
                <c:pt idx="147">
                  <c:v>127</c:v>
                </c:pt>
                <c:pt idx="148">
                  <c:v>128</c:v>
                </c:pt>
                <c:pt idx="149">
                  <c:v>129</c:v>
                </c:pt>
                <c:pt idx="150">
                  <c:v>130</c:v>
                </c:pt>
                <c:pt idx="151">
                  <c:v>131</c:v>
                </c:pt>
                <c:pt idx="152">
                  <c:v>132</c:v>
                </c:pt>
                <c:pt idx="153">
                  <c:v>133</c:v>
                </c:pt>
                <c:pt idx="154">
                  <c:v>134</c:v>
                </c:pt>
                <c:pt idx="155">
                  <c:v>135</c:v>
                </c:pt>
                <c:pt idx="156">
                  <c:v>136</c:v>
                </c:pt>
                <c:pt idx="157">
                  <c:v>137</c:v>
                </c:pt>
                <c:pt idx="158">
                  <c:v>138</c:v>
                </c:pt>
                <c:pt idx="159">
                  <c:v>139</c:v>
                </c:pt>
                <c:pt idx="160">
                  <c:v>140</c:v>
                </c:pt>
                <c:pt idx="161">
                  <c:v>141</c:v>
                </c:pt>
                <c:pt idx="162">
                  <c:v>142</c:v>
                </c:pt>
                <c:pt idx="163">
                  <c:v>143</c:v>
                </c:pt>
                <c:pt idx="164">
                  <c:v>144</c:v>
                </c:pt>
                <c:pt idx="165">
                  <c:v>145</c:v>
                </c:pt>
                <c:pt idx="166">
                  <c:v>146</c:v>
                </c:pt>
                <c:pt idx="167">
                  <c:v>147</c:v>
                </c:pt>
                <c:pt idx="168">
                  <c:v>148</c:v>
                </c:pt>
                <c:pt idx="169">
                  <c:v>149</c:v>
                </c:pt>
                <c:pt idx="170">
                  <c:v>150</c:v>
                </c:pt>
              </c:numCache>
            </c:numRef>
          </c:xVal>
          <c:yVal>
            <c:numRef>
              <c:f>'External Components'!$W$3:$W$173</c:f>
              <c:numCache>
                <c:formatCode>General</c:formatCode>
                <c:ptCount val="171"/>
                <c:pt idx="0">
                  <c:v>29.967432629547172</c:v>
                </c:pt>
                <c:pt idx="1">
                  <c:v>29.335369179820706</c:v>
                </c:pt>
                <c:pt idx="2">
                  <c:v>28.702464733902445</c:v>
                </c:pt>
                <c:pt idx="3">
                  <c:v>28.069578127641226</c:v>
                </c:pt>
                <c:pt idx="4">
                  <c:v>27.437554757157763</c:v>
                </c:pt>
                <c:pt idx="5">
                  <c:v>26.807222371379506</c:v>
                </c:pt>
                <c:pt idx="6">
                  <c:v>26.179387132252131</c:v>
                </c:pt>
                <c:pt idx="7">
                  <c:v>25.554829976668888</c:v>
                </c:pt>
                <c:pt idx="8">
                  <c:v>24.934303308190724</c:v>
                </c:pt>
                <c:pt idx="9">
                  <c:v>24.318528040444896</c:v>
                </c:pt>
                <c:pt idx="10">
                  <c:v>23.708191007841016</c:v>
                </c:pt>
                <c:pt idx="11">
                  <c:v>23.103942753085249</c:v>
                </c:pt>
                <c:pt idx="12">
                  <c:v>22.506395695035245</c:v>
                </c:pt>
                <c:pt idx="13">
                  <c:v>21.91612267484328</c:v>
                </c:pt>
                <c:pt idx="14">
                  <c:v>21.333655873179179</c:v>
                </c:pt>
                <c:pt idx="15">
                  <c:v>20.75948608668876</c:v>
                </c:pt>
                <c:pt idx="16">
                  <c:v>20.194062347783223</c:v>
                </c:pt>
                <c:pt idx="17">
                  <c:v>19.63779186840889</c:v>
                </c:pt>
                <c:pt idx="18">
                  <c:v>19.091040285630061</c:v>
                </c:pt>
                <c:pt idx="19">
                  <c:v>18.554132184669758</c:v>
                </c:pt>
                <c:pt idx="20">
                  <c:v>18.027351873477016</c:v>
                </c:pt>
                <c:pt idx="21">
                  <c:v>17.510944381894181</c:v>
                </c:pt>
                <c:pt idx="22">
                  <c:v>17.005116658039999</c:v>
                </c:pt>
                <c:pt idx="23">
                  <c:v>16.510038934557116</c:v>
                </c:pt>
                <c:pt idx="24">
                  <c:v>16.025846237836685</c:v>
                </c:pt>
                <c:pt idx="25">
                  <c:v>15.552640014171137</c:v>
                </c:pt>
                <c:pt idx="26">
                  <c:v>15.090489847937096</c:v>
                </c:pt>
                <c:pt idx="27">
                  <c:v>14.639435248314152</c:v>
                </c:pt>
                <c:pt idx="28">
                  <c:v>14.199487482644592</c:v>
                </c:pt>
                <c:pt idx="29">
                  <c:v>13.770631436278761</c:v>
                </c:pt>
                <c:pt idx="30">
                  <c:v>13.352827480581688</c:v>
                </c:pt>
                <c:pt idx="31">
                  <c:v>12.94601333265385</c:v>
                </c:pt>
                <c:pt idx="32">
                  <c:v>12.550105892202255</c:v>
                </c:pt>
                <c:pt idx="33">
                  <c:v>12.165003042854664</c:v>
                </c:pt>
                <c:pt idx="34">
                  <c:v>11.790585407011022</c:v>
                </c:pt>
                <c:pt idx="35">
                  <c:v>11.426718045048467</c:v>
                </c:pt>
                <c:pt idx="36">
                  <c:v>11.073252091323361</c:v>
                </c:pt>
                <c:pt idx="37">
                  <c:v>10.730026320930518</c:v>
                </c:pt>
                <c:pt idx="38">
                  <c:v>10.396868642579268</c:v>
                </c:pt>
                <c:pt idx="39">
                  <c:v>10.073597514220442</c:v>
                </c:pt>
                <c:pt idx="40">
                  <c:v>9.7600232792088946</c:v>
                </c:pt>
                <c:pt idx="41">
                  <c:v>9.4559494218097271</c:v>
                </c:pt>
                <c:pt idx="42">
                  <c:v>9.1611737417589634</c:v>
                </c:pt>
                <c:pt idx="43">
                  <c:v>8.8754894483739264</c:v>
                </c:pt>
                <c:pt idx="44">
                  <c:v>8.5986861753810313</c:v>
                </c:pt>
                <c:pt idx="45">
                  <c:v>8.3305509181969946</c:v>
                </c:pt>
                <c:pt idx="46">
                  <c:v>8.0708688958699568</c:v>
                </c:pt>
                <c:pt idx="47">
                  <c:v>7.8194243402694656</c:v>
                </c:pt>
                <c:pt idx="48">
                  <c:v>7.5760012154143848</c:v>
                </c:pt>
                <c:pt idx="49">
                  <c:v>7.3403838700570301</c:v>
                </c:pt>
                <c:pt idx="50">
                  <c:v>7.1123576268049105</c:v>
                </c:pt>
                <c:pt idx="51">
                  <c:v>6.8917093111684267</c:v>
                </c:pt>
                <c:pt idx="52">
                  <c:v>6.6782277239803909</c:v>
                </c:pt>
                <c:pt idx="53">
                  <c:v>6.4717040606470926</c:v>
                </c:pt>
                <c:pt idx="54">
                  <c:v>6.2719322806694358</c:v>
                </c:pt>
                <c:pt idx="55">
                  <c:v>6.0787094308198597</c:v>
                </c:pt>
                <c:pt idx="56">
                  <c:v>5.8918359252832477</c:v>
                </c:pt>
                <c:pt idx="57">
                  <c:v>5.7111157859723196</c:v>
                </c:pt>
                <c:pt idx="58">
                  <c:v>5.5363568461133648</c:v>
                </c:pt>
                <c:pt idx="59">
                  <c:v>5.3673709200723678</c:v>
                </c:pt>
                <c:pt idx="60">
                  <c:v>5.2039739422554412</c:v>
                </c:pt>
                <c:pt idx="61">
                  <c:v>5.0459860777762398</c:v>
                </c:pt>
                <c:pt idx="62">
                  <c:v>4.8932318074376324</c:v>
                </c:pt>
                <c:pt idx="63">
                  <c:v>4.7455399894278507</c:v>
                </c:pt>
                <c:pt idx="64">
                  <c:v>4.6027438999849899</c:v>
                </c:pt>
                <c:pt idx="65">
                  <c:v>4.4646812551385526</c:v>
                </c:pt>
                <c:pt idx="66">
                  <c:v>4.3311942154948504</c:v>
                </c:pt>
                <c:pt idx="67">
                  <c:v>4.2021293758949723</c:v>
                </c:pt>
                <c:pt idx="68">
                  <c:v>4.077337741640517</c:v>
                </c:pt>
                <c:pt idx="69">
                  <c:v>3.9566746928541097</c:v>
                </c:pt>
                <c:pt idx="70">
                  <c:v>3.8399999384193149</c:v>
                </c:pt>
                <c:pt idx="71">
                  <c:v>3.7271774608277735</c:v>
                </c:pt>
                <c:pt idx="72">
                  <c:v>3.6180754531511794</c:v>
                </c:pt>
                <c:pt idx="73">
                  <c:v>3.512566249251496</c:v>
                </c:pt>
                <c:pt idx="74">
                  <c:v>3.4105262482445875</c:v>
                </c:pt>
                <c:pt idx="75">
                  <c:v>3.3118358341410015</c:v>
                </c:pt>
                <c:pt idx="76">
                  <c:v>3.2163792915014375</c:v>
                </c:pt>
                <c:pt idx="77">
                  <c:v>3.1240447178648232</c:v>
                </c:pt>
                <c:pt idx="78">
                  <c:v>3.0347239336322769</c:v>
                </c:pt>
                <c:pt idx="79">
                  <c:v>2.948312390021762</c:v>
                </c:pt>
                <c:pt idx="80">
                  <c:v>2.8647090756442672</c:v>
                </c:pt>
                <c:pt idx="81">
                  <c:v>2.7838164221937767</c:v>
                </c:pt>
                <c:pt idx="82">
                  <c:v>2.7055402096892607</c:v>
                </c:pt>
                <c:pt idx="83">
                  <c:v>2.6297894716572601</c:v>
                </c:pt>
                <c:pt idx="84">
                  <c:v>2.5564764005981737</c:v>
                </c:pt>
                <c:pt idx="85">
                  <c:v>2.4855162540378344</c:v>
                </c:pt>
                <c:pt idx="86">
                  <c:v>2.4168272614279607</c:v>
                </c:pt>
                <c:pt idx="87">
                  <c:v>2.3503305321246275</c:v>
                </c:pt>
                <c:pt idx="88">
                  <c:v>2.2859499646424601</c:v>
                </c:pt>
                <c:pt idx="89">
                  <c:v>2.2236121573538394</c:v>
                </c:pt>
                <c:pt idx="90">
                  <c:v>2.1632463207766461</c:v>
                </c:pt>
                <c:pt idx="91">
                  <c:v>2.1047841915709053</c:v>
                </c:pt>
                <c:pt idx="92">
                  <c:v>2.0481599483437014</c:v>
                </c:pt>
                <c:pt idx="93">
                  <c:v>1.9933101293429998</c:v>
                </c:pt>
                <c:pt idx="94">
                  <c:v>1.9401735521041399</c:v>
                </c:pt>
                <c:pt idx="95">
                  <c:v>1.8886912350977252</c:v>
                </c:pt>
                <c:pt idx="96">
                  <c:v>1.838806321414197</c:v>
                </c:pt>
                <c:pt idx="97">
                  <c:v>1.7904640045085654</c:v>
                </c:pt>
                <c:pt idx="98">
                  <c:v>1.7436114560180116</c:v>
                </c:pt>
                <c:pt idx="99">
                  <c:v>1.698197755656045</c:v>
                </c:pt>
                <c:pt idx="100">
                  <c:v>1.6541738231784455</c:v>
                </c:pt>
                <c:pt idx="101">
                  <c:v>1.6114923524092772</c:v>
                </c:pt>
                <c:pt idx="102">
                  <c:v>1.5701077473089249</c:v>
                </c:pt>
                <c:pt idx="103">
                  <c:v>1.5299760600607353</c:v>
                </c:pt>
                <c:pt idx="104">
                  <c:v>1.4910549311482526</c:v>
                </c:pt>
                <c:pt idx="105">
                  <c:v>1.4533035313910867</c:v>
                </c:pt>
                <c:pt idx="106">
                  <c:v>1.4166825059040538</c:v>
                </c:pt>
                <c:pt idx="107">
                  <c:v>1.381153919941609</c:v>
                </c:pt>
                <c:pt idx="108">
                  <c:v>1.3466812065871043</c:v>
                </c:pt>
                <c:pt idx="109">
                  <c:v>1.3132291162447662</c:v>
                </c:pt>
                <c:pt idx="110">
                  <c:v>1.2807636678906797</c:v>
                </c:pt>
                <c:pt idx="111">
                  <c:v>1.2492521020380922</c:v>
                </c:pt>
                <c:pt idx="112">
                  <c:v>1.2186628353714644</c:v>
                </c:pt>
                <c:pt idx="113">
                  <c:v>1.1889654170032751</c:v>
                </c:pt>
                <c:pt idx="114">
                  <c:v>1.1601304863072421</c:v>
                </c:pt>
                <c:pt idx="115">
                  <c:v>1.1321297322816306</c:v>
                </c:pt>
                <c:pt idx="116">
                  <c:v>1.1049358543964141</c:v>
                </c:pt>
                <c:pt idx="117">
                  <c:v>1.0785225248783332</c:v>
                </c:pt>
                <c:pt idx="118">
                  <c:v>1.0528643523884014</c:v>
                </c:pt>
                <c:pt idx="119">
                  <c:v>1.0279368470468573</c:v>
                </c:pt>
                <c:pt idx="120">
                  <c:v>1.0037163867613215</c:v>
                </c:pt>
                <c:pt idx="121">
                  <c:v>0.98018018481460301</c:v>
                </c:pt>
                <c:pt idx="122">
                  <c:v>0.95730625866940822</c:v>
                </c:pt>
                <c:pt idx="123">
                  <c:v>0.93507339994814798</c:v>
                </c:pt>
                <c:pt idx="124">
                  <c:v>0.91346114554690616</c:v>
                </c:pt>
                <c:pt idx="125">
                  <c:v>0.8924497498436057</c:v>
                </c:pt>
                <c:pt idx="126">
                  <c:v>0.87202015796147569</c:v>
                </c:pt>
                <c:pt idx="127">
                  <c:v>0.85215398004982434</c:v>
                </c:pt>
                <c:pt idx="128">
                  <c:v>0.83283346654528634</c:v>
                </c:pt>
                <c:pt idx="129">
                  <c:v>0.81404148437766799</c:v>
                </c:pt>
                <c:pt idx="130">
                  <c:v>0.79576149408560526</c:v>
                </c:pt>
                <c:pt idx="131">
                  <c:v>0.77797752780829488</c:v>
                </c:pt>
                <c:pt idx="132">
                  <c:v>0.76067416812059818</c:v>
                </c:pt>
                <c:pt idx="133">
                  <c:v>0.74383652767986941</c:v>
                </c:pt>
                <c:pt idx="134">
                  <c:v>0.72745022965384487</c:v>
                </c:pt>
                <c:pt idx="135">
                  <c:v>0.71150138890001879</c:v>
                </c:pt>
                <c:pt idx="136">
                  <c:v>0.69597659386783239</c:v>
                </c:pt>
                <c:pt idx="137">
                  <c:v>0.6808628891960683</c:v>
                </c:pt>
                <c:pt idx="138">
                  <c:v>0.66614775897873835</c:v>
                </c:pt>
                <c:pt idx="139">
                  <c:v>0.65181911067372766</c:v>
                </c:pt>
                <c:pt idx="140">
                  <c:v>0.63786525962935814</c:v>
                </c:pt>
                <c:pt idx="141">
                  <c:v>0.62427491420492931</c:v>
                </c:pt>
                <c:pt idx="142">
                  <c:v>0.61103716146217513</c:v>
                </c:pt>
                <c:pt idx="143">
                  <c:v>0.59814145340539637</c:v>
                </c:pt>
                <c:pt idx="144">
                  <c:v>0.58557759374889573</c:v>
                </c:pt>
                <c:pt idx="145">
                  <c:v>0.57333572519108666</c:v>
                </c:pt>
                <c:pt idx="146">
                  <c:v>0.56140631717546652</c:v>
                </c:pt>
                <c:pt idx="147">
                  <c:v>0.54978015411936987</c:v>
                </c:pt>
                <c:pt idx="148">
                  <c:v>0.5384483240921597</c:v>
                </c:pt>
                <c:pt idx="149">
                  <c:v>0.52740220792519887</c:v>
                </c:pt>
                <c:pt idx="150">
                  <c:v>0.51663346873664195</c:v>
                </c:pt>
                <c:pt idx="151">
                  <c:v>0.50613404185473565</c:v>
                </c:pt>
                <c:pt idx="152">
                  <c:v>0.49589612512394682</c:v>
                </c:pt>
                <c:pt idx="153">
                  <c:v>0.48591216957885885</c:v>
                </c:pt>
                <c:pt idx="154">
                  <c:v>0.47617487047135926</c:v>
                </c:pt>
                <c:pt idx="155">
                  <c:v>0.46667715863720155</c:v>
                </c:pt>
                <c:pt idx="156">
                  <c:v>0.45741219218860929</c:v>
                </c:pt>
                <c:pt idx="157">
                  <c:v>0.44837334852005911</c:v>
                </c:pt>
                <c:pt idx="158">
                  <c:v>0.43955421661494803</c:v>
                </c:pt>
                <c:pt idx="159">
                  <c:v>0.43094858964129779</c:v>
                </c:pt>
                <c:pt idx="160">
                  <c:v>0.42255045782514633</c:v>
                </c:pt>
                <c:pt idx="161">
                  <c:v>0.41435400159070096</c:v>
                </c:pt>
                <c:pt idx="162">
                  <c:v>0.40635358495680302</c:v>
                </c:pt>
                <c:pt idx="163">
                  <c:v>0.39854374917962848</c:v>
                </c:pt>
                <c:pt idx="164">
                  <c:v>0.39091920663199525</c:v>
                </c:pt>
                <c:pt idx="165">
                  <c:v>0.38347483490998874</c:v>
                </c:pt>
                <c:pt idx="166">
                  <c:v>0.37620567115803716</c:v>
                </c:pt>
                <c:pt idx="167">
                  <c:v>0.36910690660388112</c:v>
                </c:pt>
                <c:pt idx="168">
                  <c:v>0.36217388129526207</c:v>
                </c:pt>
                <c:pt idx="169">
                  <c:v>0.35540207903045051</c:v>
                </c:pt>
                <c:pt idx="170">
                  <c:v>0.34878712247507881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23640704"/>
        <c:axId val="323659264"/>
      </c:scatterChart>
      <c:valAx>
        <c:axId val="323640704"/>
        <c:scaling>
          <c:orientation val="minMax"/>
          <c:max val="150"/>
          <c:min val="-2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Temperature (C)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323659264"/>
        <c:crossesAt val="0.1"/>
        <c:crossBetween val="midCat"/>
        <c:majorUnit val="10"/>
      </c:valAx>
      <c:valAx>
        <c:axId val="323659264"/>
        <c:scaling>
          <c:logBase val="10"/>
          <c:orientation val="minMax"/>
          <c:max val="100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Resistance (kohms)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323640704"/>
        <c:crossesAt val="-20"/>
        <c:crossBetween val="midCat"/>
      </c:valAx>
      <c:spPr>
        <a:ln>
          <a:solidFill>
            <a:schemeClr val="tx1"/>
          </a:solidFill>
        </a:ln>
      </c:spPr>
    </c:plotArea>
    <c:legend>
      <c:legendPos val="r"/>
      <c:layout>
        <c:manualLayout>
          <c:xMode val="edge"/>
          <c:yMode val="edge"/>
          <c:x val="0.85371962290163794"/>
          <c:y val="0.12476968503937008"/>
          <c:w val="9.6088188647388217E-2"/>
          <c:h val="0.10046062992125984"/>
        </c:manualLayout>
      </c:layout>
      <c:overlay val="0"/>
      <c:spPr>
        <a:solidFill>
          <a:schemeClr val="bg1"/>
        </a:solidFill>
        <a:ln>
          <a:solidFill>
            <a:schemeClr val="tx1"/>
          </a:solidFill>
        </a:ln>
      </c:spPr>
    </c:legend>
    <c:plotVisOnly val="1"/>
    <c:dispBlanksAs val="gap"/>
    <c:showDLblsOverMax val="0"/>
  </c:chart>
  <c:spPr>
    <a:ln w="25400">
      <a:solidFill>
        <a:schemeClr val="tx1"/>
      </a:solidFill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>
        <c:manualLayout>
          <c:layoutTarget val="inner"/>
          <c:xMode val="edge"/>
          <c:yMode val="edge"/>
          <c:x val="6.604598812451147E-2"/>
          <c:y val="0.11688210848643919"/>
          <c:w val="0.89327009394321832"/>
          <c:h val="0.7856108923884515"/>
        </c:manualLayout>
      </c:layout>
      <c:scatterChart>
        <c:scatterStyle val="lineMarker"/>
        <c:varyColors val="0"/>
        <c:ser>
          <c:idx val="0"/>
          <c:order val="0"/>
          <c:tx>
            <c:strRef>
              <c:f>'External Components'!$Y$2</c:f>
              <c:strCache>
                <c:ptCount val="1"/>
                <c:pt idx="0">
                  <c:v>ILED(mA)</c:v>
                </c:pt>
              </c:strCache>
            </c:strRef>
          </c:tx>
          <c:marker>
            <c:symbol val="none"/>
          </c:marker>
          <c:xVal>
            <c:numRef>
              <c:f>'External Components'!$U$3:$U$173</c:f>
              <c:numCache>
                <c:formatCode>General</c:formatCode>
                <c:ptCount val="171"/>
                <c:pt idx="0">
                  <c:v>-20</c:v>
                </c:pt>
                <c:pt idx="1">
                  <c:v>-19</c:v>
                </c:pt>
                <c:pt idx="2">
                  <c:v>-18</c:v>
                </c:pt>
                <c:pt idx="3">
                  <c:v>-17</c:v>
                </c:pt>
                <c:pt idx="4">
                  <c:v>-16</c:v>
                </c:pt>
                <c:pt idx="5">
                  <c:v>-15</c:v>
                </c:pt>
                <c:pt idx="6">
                  <c:v>-14</c:v>
                </c:pt>
                <c:pt idx="7">
                  <c:v>-13</c:v>
                </c:pt>
                <c:pt idx="8">
                  <c:v>-12</c:v>
                </c:pt>
                <c:pt idx="9">
                  <c:v>-11</c:v>
                </c:pt>
                <c:pt idx="10">
                  <c:v>-10</c:v>
                </c:pt>
                <c:pt idx="11">
                  <c:v>-9</c:v>
                </c:pt>
                <c:pt idx="12">
                  <c:v>-8</c:v>
                </c:pt>
                <c:pt idx="13">
                  <c:v>-7</c:v>
                </c:pt>
                <c:pt idx="14">
                  <c:v>-6</c:v>
                </c:pt>
                <c:pt idx="15">
                  <c:v>-5</c:v>
                </c:pt>
                <c:pt idx="16">
                  <c:v>-4</c:v>
                </c:pt>
                <c:pt idx="17">
                  <c:v>-3</c:v>
                </c:pt>
                <c:pt idx="18">
                  <c:v>-2</c:v>
                </c:pt>
                <c:pt idx="19">
                  <c:v>-1</c:v>
                </c:pt>
                <c:pt idx="20">
                  <c:v>0</c:v>
                </c:pt>
                <c:pt idx="21">
                  <c:v>1</c:v>
                </c:pt>
                <c:pt idx="22">
                  <c:v>2</c:v>
                </c:pt>
                <c:pt idx="23">
                  <c:v>3</c:v>
                </c:pt>
                <c:pt idx="24">
                  <c:v>4</c:v>
                </c:pt>
                <c:pt idx="25">
                  <c:v>5</c:v>
                </c:pt>
                <c:pt idx="26">
                  <c:v>6</c:v>
                </c:pt>
                <c:pt idx="27">
                  <c:v>7</c:v>
                </c:pt>
                <c:pt idx="28">
                  <c:v>8</c:v>
                </c:pt>
                <c:pt idx="29">
                  <c:v>9</c:v>
                </c:pt>
                <c:pt idx="30">
                  <c:v>10</c:v>
                </c:pt>
                <c:pt idx="31">
                  <c:v>11</c:v>
                </c:pt>
                <c:pt idx="32">
                  <c:v>12</c:v>
                </c:pt>
                <c:pt idx="33">
                  <c:v>13</c:v>
                </c:pt>
                <c:pt idx="34">
                  <c:v>14</c:v>
                </c:pt>
                <c:pt idx="35">
                  <c:v>15</c:v>
                </c:pt>
                <c:pt idx="36">
                  <c:v>16</c:v>
                </c:pt>
                <c:pt idx="37">
                  <c:v>17</c:v>
                </c:pt>
                <c:pt idx="38">
                  <c:v>18</c:v>
                </c:pt>
                <c:pt idx="39">
                  <c:v>19</c:v>
                </c:pt>
                <c:pt idx="40">
                  <c:v>20</c:v>
                </c:pt>
                <c:pt idx="41">
                  <c:v>21</c:v>
                </c:pt>
                <c:pt idx="42">
                  <c:v>22</c:v>
                </c:pt>
                <c:pt idx="43">
                  <c:v>23</c:v>
                </c:pt>
                <c:pt idx="44">
                  <c:v>24</c:v>
                </c:pt>
                <c:pt idx="45">
                  <c:v>25</c:v>
                </c:pt>
                <c:pt idx="46">
                  <c:v>26</c:v>
                </c:pt>
                <c:pt idx="47">
                  <c:v>27</c:v>
                </c:pt>
                <c:pt idx="48">
                  <c:v>28</c:v>
                </c:pt>
                <c:pt idx="49">
                  <c:v>29</c:v>
                </c:pt>
                <c:pt idx="50">
                  <c:v>30</c:v>
                </c:pt>
                <c:pt idx="51">
                  <c:v>31</c:v>
                </c:pt>
                <c:pt idx="52">
                  <c:v>32</c:v>
                </c:pt>
                <c:pt idx="53">
                  <c:v>33</c:v>
                </c:pt>
                <c:pt idx="54">
                  <c:v>34</c:v>
                </c:pt>
                <c:pt idx="55">
                  <c:v>35</c:v>
                </c:pt>
                <c:pt idx="56">
                  <c:v>36</c:v>
                </c:pt>
                <c:pt idx="57">
                  <c:v>37</c:v>
                </c:pt>
                <c:pt idx="58">
                  <c:v>38</c:v>
                </c:pt>
                <c:pt idx="59">
                  <c:v>39</c:v>
                </c:pt>
                <c:pt idx="60">
                  <c:v>40</c:v>
                </c:pt>
                <c:pt idx="61">
                  <c:v>41</c:v>
                </c:pt>
                <c:pt idx="62">
                  <c:v>42</c:v>
                </c:pt>
                <c:pt idx="63">
                  <c:v>43</c:v>
                </c:pt>
                <c:pt idx="64">
                  <c:v>44</c:v>
                </c:pt>
                <c:pt idx="65">
                  <c:v>45</c:v>
                </c:pt>
                <c:pt idx="66">
                  <c:v>46</c:v>
                </c:pt>
                <c:pt idx="67">
                  <c:v>47</c:v>
                </c:pt>
                <c:pt idx="68">
                  <c:v>48</c:v>
                </c:pt>
                <c:pt idx="69">
                  <c:v>49</c:v>
                </c:pt>
                <c:pt idx="70">
                  <c:v>50</c:v>
                </c:pt>
                <c:pt idx="71">
                  <c:v>51</c:v>
                </c:pt>
                <c:pt idx="72">
                  <c:v>52</c:v>
                </c:pt>
                <c:pt idx="73">
                  <c:v>53</c:v>
                </c:pt>
                <c:pt idx="74">
                  <c:v>54</c:v>
                </c:pt>
                <c:pt idx="75">
                  <c:v>55</c:v>
                </c:pt>
                <c:pt idx="76">
                  <c:v>56</c:v>
                </c:pt>
                <c:pt idx="77">
                  <c:v>57</c:v>
                </c:pt>
                <c:pt idx="78">
                  <c:v>58</c:v>
                </c:pt>
                <c:pt idx="79">
                  <c:v>59</c:v>
                </c:pt>
                <c:pt idx="80">
                  <c:v>60</c:v>
                </c:pt>
                <c:pt idx="81">
                  <c:v>61</c:v>
                </c:pt>
                <c:pt idx="82">
                  <c:v>62</c:v>
                </c:pt>
                <c:pt idx="83">
                  <c:v>63</c:v>
                </c:pt>
                <c:pt idx="84">
                  <c:v>64</c:v>
                </c:pt>
                <c:pt idx="85">
                  <c:v>65</c:v>
                </c:pt>
                <c:pt idx="86">
                  <c:v>66</c:v>
                </c:pt>
                <c:pt idx="87">
                  <c:v>67</c:v>
                </c:pt>
                <c:pt idx="88">
                  <c:v>68</c:v>
                </c:pt>
                <c:pt idx="89">
                  <c:v>69</c:v>
                </c:pt>
                <c:pt idx="90">
                  <c:v>70</c:v>
                </c:pt>
                <c:pt idx="91">
                  <c:v>71</c:v>
                </c:pt>
                <c:pt idx="92">
                  <c:v>72</c:v>
                </c:pt>
                <c:pt idx="93">
                  <c:v>73</c:v>
                </c:pt>
                <c:pt idx="94">
                  <c:v>74</c:v>
                </c:pt>
                <c:pt idx="95">
                  <c:v>75</c:v>
                </c:pt>
                <c:pt idx="96">
                  <c:v>76</c:v>
                </c:pt>
                <c:pt idx="97">
                  <c:v>77</c:v>
                </c:pt>
                <c:pt idx="98">
                  <c:v>78</c:v>
                </c:pt>
                <c:pt idx="99">
                  <c:v>79</c:v>
                </c:pt>
                <c:pt idx="100">
                  <c:v>80</c:v>
                </c:pt>
                <c:pt idx="101">
                  <c:v>81</c:v>
                </c:pt>
                <c:pt idx="102">
                  <c:v>82</c:v>
                </c:pt>
                <c:pt idx="103">
                  <c:v>83</c:v>
                </c:pt>
                <c:pt idx="104">
                  <c:v>84</c:v>
                </c:pt>
                <c:pt idx="105">
                  <c:v>85</c:v>
                </c:pt>
                <c:pt idx="106">
                  <c:v>86</c:v>
                </c:pt>
                <c:pt idx="107">
                  <c:v>87</c:v>
                </c:pt>
                <c:pt idx="108">
                  <c:v>88</c:v>
                </c:pt>
                <c:pt idx="109">
                  <c:v>89</c:v>
                </c:pt>
                <c:pt idx="110">
                  <c:v>90</c:v>
                </c:pt>
                <c:pt idx="111">
                  <c:v>91</c:v>
                </c:pt>
                <c:pt idx="112">
                  <c:v>92</c:v>
                </c:pt>
                <c:pt idx="113">
                  <c:v>93</c:v>
                </c:pt>
                <c:pt idx="114">
                  <c:v>94</c:v>
                </c:pt>
                <c:pt idx="115">
                  <c:v>95</c:v>
                </c:pt>
                <c:pt idx="116">
                  <c:v>96</c:v>
                </c:pt>
                <c:pt idx="117">
                  <c:v>97</c:v>
                </c:pt>
                <c:pt idx="118">
                  <c:v>98</c:v>
                </c:pt>
                <c:pt idx="119">
                  <c:v>99</c:v>
                </c:pt>
                <c:pt idx="120">
                  <c:v>100</c:v>
                </c:pt>
                <c:pt idx="121">
                  <c:v>101</c:v>
                </c:pt>
                <c:pt idx="122">
                  <c:v>102</c:v>
                </c:pt>
                <c:pt idx="123">
                  <c:v>103</c:v>
                </c:pt>
                <c:pt idx="124">
                  <c:v>104</c:v>
                </c:pt>
                <c:pt idx="125">
                  <c:v>105</c:v>
                </c:pt>
                <c:pt idx="126">
                  <c:v>106</c:v>
                </c:pt>
                <c:pt idx="127">
                  <c:v>107</c:v>
                </c:pt>
                <c:pt idx="128">
                  <c:v>108</c:v>
                </c:pt>
                <c:pt idx="129">
                  <c:v>109</c:v>
                </c:pt>
                <c:pt idx="130">
                  <c:v>110</c:v>
                </c:pt>
                <c:pt idx="131">
                  <c:v>111</c:v>
                </c:pt>
                <c:pt idx="132">
                  <c:v>112</c:v>
                </c:pt>
                <c:pt idx="133">
                  <c:v>113</c:v>
                </c:pt>
                <c:pt idx="134">
                  <c:v>114</c:v>
                </c:pt>
                <c:pt idx="135">
                  <c:v>115</c:v>
                </c:pt>
                <c:pt idx="136">
                  <c:v>116</c:v>
                </c:pt>
                <c:pt idx="137">
                  <c:v>117</c:v>
                </c:pt>
                <c:pt idx="138">
                  <c:v>118</c:v>
                </c:pt>
                <c:pt idx="139">
                  <c:v>119</c:v>
                </c:pt>
                <c:pt idx="140">
                  <c:v>120</c:v>
                </c:pt>
                <c:pt idx="141">
                  <c:v>121</c:v>
                </c:pt>
                <c:pt idx="142">
                  <c:v>122</c:v>
                </c:pt>
                <c:pt idx="143">
                  <c:v>123</c:v>
                </c:pt>
                <c:pt idx="144">
                  <c:v>124</c:v>
                </c:pt>
                <c:pt idx="145">
                  <c:v>125</c:v>
                </c:pt>
                <c:pt idx="146">
                  <c:v>126</c:v>
                </c:pt>
                <c:pt idx="147">
                  <c:v>127</c:v>
                </c:pt>
                <c:pt idx="148">
                  <c:v>128</c:v>
                </c:pt>
                <c:pt idx="149">
                  <c:v>129</c:v>
                </c:pt>
                <c:pt idx="150">
                  <c:v>130</c:v>
                </c:pt>
                <c:pt idx="151">
                  <c:v>131</c:v>
                </c:pt>
                <c:pt idx="152">
                  <c:v>132</c:v>
                </c:pt>
                <c:pt idx="153">
                  <c:v>133</c:v>
                </c:pt>
                <c:pt idx="154">
                  <c:v>134</c:v>
                </c:pt>
                <c:pt idx="155">
                  <c:v>135</c:v>
                </c:pt>
                <c:pt idx="156">
                  <c:v>136</c:v>
                </c:pt>
                <c:pt idx="157">
                  <c:v>137</c:v>
                </c:pt>
                <c:pt idx="158">
                  <c:v>138</c:v>
                </c:pt>
                <c:pt idx="159">
                  <c:v>139</c:v>
                </c:pt>
                <c:pt idx="160">
                  <c:v>140</c:v>
                </c:pt>
                <c:pt idx="161">
                  <c:v>141</c:v>
                </c:pt>
                <c:pt idx="162">
                  <c:v>142</c:v>
                </c:pt>
                <c:pt idx="163">
                  <c:v>143</c:v>
                </c:pt>
                <c:pt idx="164">
                  <c:v>144</c:v>
                </c:pt>
                <c:pt idx="165">
                  <c:v>145</c:v>
                </c:pt>
                <c:pt idx="166">
                  <c:v>146</c:v>
                </c:pt>
                <c:pt idx="167">
                  <c:v>147</c:v>
                </c:pt>
                <c:pt idx="168">
                  <c:v>148</c:v>
                </c:pt>
                <c:pt idx="169">
                  <c:v>149</c:v>
                </c:pt>
                <c:pt idx="170">
                  <c:v>150</c:v>
                </c:pt>
              </c:numCache>
            </c:numRef>
          </c:xVal>
          <c:yVal>
            <c:numRef>
              <c:f>'External Components'!$Y$3:$Y$173</c:f>
              <c:numCache>
                <c:formatCode>General</c:formatCode>
                <c:ptCount val="171"/>
                <c:pt idx="0">
                  <c:v>84.543125533731853</c:v>
                </c:pt>
                <c:pt idx="1">
                  <c:v>84.543125533731853</c:v>
                </c:pt>
                <c:pt idx="2">
                  <c:v>84.543125533731853</c:v>
                </c:pt>
                <c:pt idx="3">
                  <c:v>84.543125533731853</c:v>
                </c:pt>
                <c:pt idx="4">
                  <c:v>84.543125533731853</c:v>
                </c:pt>
                <c:pt idx="5">
                  <c:v>84.543125533731853</c:v>
                </c:pt>
                <c:pt idx="6">
                  <c:v>84.543125533731853</c:v>
                </c:pt>
                <c:pt idx="7">
                  <c:v>84.543125533731853</c:v>
                </c:pt>
                <c:pt idx="8">
                  <c:v>84.543125533731853</c:v>
                </c:pt>
                <c:pt idx="9">
                  <c:v>84.543125533731853</c:v>
                </c:pt>
                <c:pt idx="10">
                  <c:v>84.543125533731853</c:v>
                </c:pt>
                <c:pt idx="11">
                  <c:v>84.543125533731853</c:v>
                </c:pt>
                <c:pt idx="12">
                  <c:v>84.543125533731853</c:v>
                </c:pt>
                <c:pt idx="13">
                  <c:v>84.543125533731853</c:v>
                </c:pt>
                <c:pt idx="14">
                  <c:v>84.543125533731853</c:v>
                </c:pt>
                <c:pt idx="15">
                  <c:v>84.543125533731853</c:v>
                </c:pt>
                <c:pt idx="16">
                  <c:v>84.543125533731853</c:v>
                </c:pt>
                <c:pt idx="17">
                  <c:v>84.543125533731853</c:v>
                </c:pt>
                <c:pt idx="18">
                  <c:v>84.543125533731853</c:v>
                </c:pt>
                <c:pt idx="19">
                  <c:v>84.543125533731853</c:v>
                </c:pt>
                <c:pt idx="20">
                  <c:v>84.543125533731853</c:v>
                </c:pt>
                <c:pt idx="21">
                  <c:v>84.543125533731853</c:v>
                </c:pt>
                <c:pt idx="22">
                  <c:v>84.543125533731853</c:v>
                </c:pt>
                <c:pt idx="23">
                  <c:v>84.543125533731853</c:v>
                </c:pt>
                <c:pt idx="24">
                  <c:v>84.543125533731853</c:v>
                </c:pt>
                <c:pt idx="25">
                  <c:v>84.543125533731853</c:v>
                </c:pt>
                <c:pt idx="26">
                  <c:v>84.543125533731853</c:v>
                </c:pt>
                <c:pt idx="27">
                  <c:v>84.543125533731853</c:v>
                </c:pt>
                <c:pt idx="28">
                  <c:v>84.543125533731853</c:v>
                </c:pt>
                <c:pt idx="29">
                  <c:v>84.543125533731853</c:v>
                </c:pt>
                <c:pt idx="30">
                  <c:v>84.543125533731853</c:v>
                </c:pt>
                <c:pt idx="31">
                  <c:v>84.543125533731853</c:v>
                </c:pt>
                <c:pt idx="32">
                  <c:v>84.543125533731853</c:v>
                </c:pt>
                <c:pt idx="33">
                  <c:v>84.543125533731853</c:v>
                </c:pt>
                <c:pt idx="34">
                  <c:v>84.543125533731853</c:v>
                </c:pt>
                <c:pt idx="35">
                  <c:v>84.543125533731853</c:v>
                </c:pt>
                <c:pt idx="36">
                  <c:v>84.543125533731853</c:v>
                </c:pt>
                <c:pt idx="37">
                  <c:v>84.543125533731853</c:v>
                </c:pt>
                <c:pt idx="38">
                  <c:v>84.543125533731853</c:v>
                </c:pt>
                <c:pt idx="39">
                  <c:v>84.543125533731853</c:v>
                </c:pt>
                <c:pt idx="40">
                  <c:v>84.543125533731853</c:v>
                </c:pt>
                <c:pt idx="41">
                  <c:v>84.543125533731853</c:v>
                </c:pt>
                <c:pt idx="42">
                  <c:v>84.543125533731853</c:v>
                </c:pt>
                <c:pt idx="43">
                  <c:v>84.543125533731853</c:v>
                </c:pt>
                <c:pt idx="44">
                  <c:v>84.543125533731853</c:v>
                </c:pt>
                <c:pt idx="45">
                  <c:v>84.543125533731853</c:v>
                </c:pt>
                <c:pt idx="46">
                  <c:v>84.543125533731853</c:v>
                </c:pt>
                <c:pt idx="47">
                  <c:v>84.543125533731853</c:v>
                </c:pt>
                <c:pt idx="48">
                  <c:v>84.543125533731853</c:v>
                </c:pt>
                <c:pt idx="49">
                  <c:v>84.543125533731853</c:v>
                </c:pt>
                <c:pt idx="50">
                  <c:v>84.543125533731853</c:v>
                </c:pt>
                <c:pt idx="51">
                  <c:v>84.543125533731853</c:v>
                </c:pt>
                <c:pt idx="52">
                  <c:v>84.543125533731853</c:v>
                </c:pt>
                <c:pt idx="53">
                  <c:v>84.543125533731853</c:v>
                </c:pt>
                <c:pt idx="54">
                  <c:v>84.543125533731853</c:v>
                </c:pt>
                <c:pt idx="55">
                  <c:v>84.543125533731853</c:v>
                </c:pt>
                <c:pt idx="56">
                  <c:v>84.543125533731853</c:v>
                </c:pt>
                <c:pt idx="57">
                  <c:v>84.543125533731853</c:v>
                </c:pt>
                <c:pt idx="58">
                  <c:v>84.543125533731853</c:v>
                </c:pt>
                <c:pt idx="59">
                  <c:v>84.543125533731853</c:v>
                </c:pt>
                <c:pt idx="60">
                  <c:v>84.543125533731853</c:v>
                </c:pt>
                <c:pt idx="61">
                  <c:v>84.543125533731853</c:v>
                </c:pt>
                <c:pt idx="62">
                  <c:v>84.543125533731853</c:v>
                </c:pt>
                <c:pt idx="63">
                  <c:v>84.543125533731853</c:v>
                </c:pt>
                <c:pt idx="64">
                  <c:v>84.543125533731853</c:v>
                </c:pt>
                <c:pt idx="65">
                  <c:v>84.543125533731853</c:v>
                </c:pt>
                <c:pt idx="66">
                  <c:v>84.543125533731853</c:v>
                </c:pt>
                <c:pt idx="67">
                  <c:v>84.543125533731853</c:v>
                </c:pt>
                <c:pt idx="68">
                  <c:v>84.543125533731853</c:v>
                </c:pt>
                <c:pt idx="69">
                  <c:v>84.543125533731853</c:v>
                </c:pt>
                <c:pt idx="70">
                  <c:v>84.543125533731853</c:v>
                </c:pt>
                <c:pt idx="71">
                  <c:v>84.543125533731853</c:v>
                </c:pt>
                <c:pt idx="72">
                  <c:v>84.543125533731853</c:v>
                </c:pt>
                <c:pt idx="73">
                  <c:v>84.543125533731853</c:v>
                </c:pt>
                <c:pt idx="74">
                  <c:v>84.543125533731853</c:v>
                </c:pt>
                <c:pt idx="75">
                  <c:v>84.543125533731853</c:v>
                </c:pt>
                <c:pt idx="76">
                  <c:v>84.543125533731853</c:v>
                </c:pt>
                <c:pt idx="77">
                  <c:v>84.543125533731853</c:v>
                </c:pt>
                <c:pt idx="78">
                  <c:v>84.543125533731853</c:v>
                </c:pt>
                <c:pt idx="79">
                  <c:v>84.543125533731853</c:v>
                </c:pt>
                <c:pt idx="80">
                  <c:v>84.543125533731853</c:v>
                </c:pt>
                <c:pt idx="81">
                  <c:v>84.543125533731853</c:v>
                </c:pt>
                <c:pt idx="82">
                  <c:v>84.543125533731853</c:v>
                </c:pt>
                <c:pt idx="83">
                  <c:v>84.543125533731853</c:v>
                </c:pt>
                <c:pt idx="84">
                  <c:v>84.543125533731853</c:v>
                </c:pt>
                <c:pt idx="85">
                  <c:v>84.543125533731853</c:v>
                </c:pt>
                <c:pt idx="86">
                  <c:v>84.543125533731853</c:v>
                </c:pt>
                <c:pt idx="87">
                  <c:v>84.016454424024175</c:v>
                </c:pt>
                <c:pt idx="88">
                  <c:v>81.973670639611782</c:v>
                </c:pt>
                <c:pt idx="89">
                  <c:v>79.916673618071329</c:v>
                </c:pt>
                <c:pt idx="90">
                  <c:v>77.846185674004573</c:v>
                </c:pt>
                <c:pt idx="91">
                  <c:v>75.762939826548688</c:v>
                </c:pt>
                <c:pt idx="92">
                  <c:v>73.667678698804693</c:v>
                </c:pt>
                <c:pt idx="93">
                  <c:v>71.561153402906129</c:v>
                </c:pt>
                <c:pt idx="94">
                  <c:v>69.444122414202596</c:v>
                </c:pt>
                <c:pt idx="95">
                  <c:v>67.317350438045409</c:v>
                </c:pt>
                <c:pt idx="96">
                  <c:v>65.181607272651263</c:v>
                </c:pt>
                <c:pt idx="97">
                  <c:v>63.037666671502151</c:v>
                </c:pt>
                <c:pt idx="98">
                  <c:v>60.886305208685322</c:v>
                </c:pt>
                <c:pt idx="99">
                  <c:v>58.728301150532431</c:v>
                </c:pt>
                <c:pt idx="100">
                  <c:v>56.564433336828031</c:v>
                </c:pt>
                <c:pt idx="101">
                  <c:v>54.395480074777019</c:v>
                </c:pt>
                <c:pt idx="102">
                  <c:v>52.222218048809587</c:v>
                </c:pt>
                <c:pt idx="103">
                  <c:v>50.045421249186909</c:v>
                </c:pt>
                <c:pt idx="104">
                  <c:v>47.86585992223722</c:v>
                </c:pt>
                <c:pt idx="105">
                  <c:v>45.684299544914452</c:v>
                </c:pt>
                <c:pt idx="106">
                  <c:v>43.501499826210946</c:v>
                </c:pt>
                <c:pt idx="107">
                  <c:v>41.318213737806254</c:v>
                </c:pt>
                <c:pt idx="108">
                  <c:v>39.135186576151995</c:v>
                </c:pt>
                <c:pt idx="109">
                  <c:v>36.953155058029701</c:v>
                </c:pt>
                <c:pt idx="110">
                  <c:v>34.772846451428734</c:v>
                </c:pt>
                <c:pt idx="111">
                  <c:v>32.594977743414404</c:v>
                </c:pt>
                <c:pt idx="112">
                  <c:v>30.42025484646333</c:v>
                </c:pt>
                <c:pt idx="113">
                  <c:v>28.249371844562035</c:v>
                </c:pt>
                <c:pt idx="114">
                  <c:v>26.083010280167766</c:v>
                </c:pt>
                <c:pt idx="115">
                  <c:v>23.921838482953</c:v>
                </c:pt>
                <c:pt idx="116">
                  <c:v>21.766510941062787</c:v>
                </c:pt>
                <c:pt idx="117">
                  <c:v>19.617667715432525</c:v>
                </c:pt>
                <c:pt idx="118">
                  <c:v>17.475933897542038</c:v>
                </c:pt>
                <c:pt idx="119">
                  <c:v>15.341919110799074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23437312"/>
        <c:axId val="323439232"/>
      </c:scatterChart>
      <c:valAx>
        <c:axId val="323437312"/>
        <c:scaling>
          <c:orientation val="minMax"/>
          <c:max val="150"/>
          <c:min val="60"/>
        </c:scaling>
        <c:delete val="0"/>
        <c:axPos val="b"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Temperature</a:t>
                </a:r>
                <a:r>
                  <a:rPr lang="en-US" baseline="0"/>
                  <a:t> (C)</a:t>
                </a:r>
                <a:endParaRPr lang="en-US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323439232"/>
        <c:crosses val="autoZero"/>
        <c:crossBetween val="midCat"/>
        <c:majorUnit val="5"/>
      </c:valAx>
      <c:valAx>
        <c:axId val="323439232"/>
        <c:scaling>
          <c:orientation val="minMax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LED</a:t>
                </a:r>
                <a:r>
                  <a:rPr lang="zh-CN" altLang="en-US"/>
                  <a:t>  </a:t>
                </a:r>
                <a:r>
                  <a:rPr lang="en-US" altLang="zh-CN"/>
                  <a:t>current (mA)</a:t>
                </a:r>
                <a:endParaRPr lang="en-US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323437312"/>
        <c:crossesAt val="-20"/>
        <c:crossBetween val="midCat"/>
      </c:valAx>
    </c:plotArea>
    <c:legend>
      <c:legendPos val="r"/>
      <c:layout>
        <c:manualLayout>
          <c:xMode val="edge"/>
          <c:yMode val="edge"/>
          <c:x val="0.72619970002017409"/>
          <c:y val="0.13457239720034994"/>
          <c:w val="0.11312990478700621"/>
          <c:h val="5.0230314960629921E-2"/>
        </c:manualLayout>
      </c:layout>
      <c:overlay val="0"/>
    </c:legend>
    <c:plotVisOnly val="1"/>
    <c:dispBlanksAs val="gap"/>
    <c:showDLblsOverMax val="0"/>
  </c:chart>
  <c:spPr>
    <a:ln w="25400">
      <a:solidFill>
        <a:schemeClr val="tx1"/>
      </a:solidFill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image" Target="../media/image5.png"/><Relationship Id="rId2" Type="http://schemas.openxmlformats.org/officeDocument/2006/relationships/image" Target="../media/image1.png"/><Relationship Id="rId1" Type="http://schemas.openxmlformats.org/officeDocument/2006/relationships/chart" Target="../charts/chart2.xml"/><Relationship Id="rId6" Type="http://schemas.openxmlformats.org/officeDocument/2006/relationships/image" Target="../media/image4.emf"/><Relationship Id="rId5" Type="http://schemas.openxmlformats.org/officeDocument/2006/relationships/image" Target="../media/image3.png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248771</xdr:colOff>
      <xdr:row>14</xdr:row>
      <xdr:rowOff>53788</xdr:rowOff>
    </xdr:from>
    <xdr:to>
      <xdr:col>7</xdr:col>
      <xdr:colOff>248770</xdr:colOff>
      <xdr:row>30</xdr:row>
      <xdr:rowOff>89647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32</xdr:row>
      <xdr:rowOff>0</xdr:rowOff>
    </xdr:from>
    <xdr:to>
      <xdr:col>19</xdr:col>
      <xdr:colOff>0</xdr:colOff>
      <xdr:row>56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5</xdr:col>
      <xdr:colOff>132365</xdr:colOff>
      <xdr:row>57</xdr:row>
      <xdr:rowOff>57595</xdr:rowOff>
    </xdr:from>
    <xdr:to>
      <xdr:col>18</xdr:col>
      <xdr:colOff>285750</xdr:colOff>
      <xdr:row>76</xdr:row>
      <xdr:rowOff>0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032198" y="10979595"/>
          <a:ext cx="7604052" cy="3561905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7</xdr:row>
      <xdr:rowOff>0</xdr:rowOff>
    </xdr:from>
    <xdr:to>
      <xdr:col>19</xdr:col>
      <xdr:colOff>0</xdr:colOff>
      <xdr:row>31</xdr:row>
      <xdr:rowOff>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6</xdr:col>
      <xdr:colOff>64440</xdr:colOff>
      <xdr:row>77</xdr:row>
      <xdr:rowOff>0</xdr:rowOff>
    </xdr:from>
    <xdr:to>
      <xdr:col>19</xdr:col>
      <xdr:colOff>0</xdr:colOff>
      <xdr:row>99</xdr:row>
      <xdr:rowOff>66143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112440" y="14732000"/>
          <a:ext cx="7523810" cy="425714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5</xdr:col>
      <xdr:colOff>355073</xdr:colOff>
      <xdr:row>21</xdr:row>
      <xdr:rowOff>74083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11667" y="2603500"/>
          <a:ext cx="3043239" cy="1598083"/>
        </a:xfrm>
        <a:prstGeom prst="rect">
          <a:avLst/>
        </a:prstGeom>
      </xdr:spPr>
    </xdr:pic>
    <xdr:clientData/>
  </xdr:twoCellAnchor>
  <xdr:twoCellAnchor editAs="oneCell">
    <xdr:from>
      <xdr:col>1</xdr:col>
      <xdr:colOff>10583</xdr:colOff>
      <xdr:row>22</xdr:row>
      <xdr:rowOff>44378</xdr:rowOff>
    </xdr:from>
    <xdr:to>
      <xdr:col>5</xdr:col>
      <xdr:colOff>286808</xdr:colOff>
      <xdr:row>26</xdr:row>
      <xdr:rowOff>158678</xdr:rowOff>
    </xdr:to>
    <xdr:pic>
      <xdr:nvPicPr>
        <xdr:cNvPr id="9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250" y="4362378"/>
          <a:ext cx="2964391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10583</xdr:colOff>
      <xdr:row>27</xdr:row>
      <xdr:rowOff>72988</xdr:rowOff>
    </xdr:from>
    <xdr:to>
      <xdr:col>4</xdr:col>
      <xdr:colOff>117203</xdr:colOff>
      <xdr:row>28</xdr:row>
      <xdr:rowOff>158678</xdr:rowOff>
    </xdr:to>
    <xdr:pic>
      <xdr:nvPicPr>
        <xdr:cNvPr id="11" name="Picture 10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222250" y="5343488"/>
          <a:ext cx="2180953" cy="2761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B1:Z26"/>
  <sheetViews>
    <sheetView tabSelected="1" zoomScale="80" zoomScaleNormal="80" workbookViewId="0">
      <selection activeCell="B5" sqref="B5"/>
    </sheetView>
  </sheetViews>
  <sheetFormatPr defaultColWidth="9.109375" defaultRowHeight="14.4" x14ac:dyDescent="0.3"/>
  <cols>
    <col min="1" max="3" width="9.109375" style="1"/>
    <col min="4" max="4" width="11.44140625" style="1" customWidth="1"/>
    <col min="5" max="5" width="10.88671875" style="1" customWidth="1"/>
    <col min="6" max="8" width="9.109375" style="1"/>
    <col min="9" max="9" width="26.6640625" style="1" customWidth="1"/>
    <col min="10" max="10" width="9.44140625" style="1" customWidth="1"/>
    <col min="11" max="11" width="10.33203125" style="1" customWidth="1"/>
    <col min="12" max="12" width="12" style="1" bestFit="1" customWidth="1"/>
    <col min="13" max="14" width="9.109375" style="1"/>
    <col min="15" max="15" width="16.6640625" style="1" customWidth="1"/>
    <col min="16" max="22" width="9.109375" style="1"/>
    <col min="23" max="23" width="11" style="1" customWidth="1"/>
    <col min="24" max="16384" width="9.109375" style="1"/>
  </cols>
  <sheetData>
    <row r="1" spans="2:26" ht="15" x14ac:dyDescent="0.25">
      <c r="D1" s="2" t="s">
        <v>0</v>
      </c>
      <c r="E1" s="2"/>
      <c r="F1" s="2"/>
      <c r="G1" s="2"/>
    </row>
    <row r="3" spans="2:26" ht="16.8" x14ac:dyDescent="0.35">
      <c r="B3" s="3" t="s">
        <v>1</v>
      </c>
      <c r="C3" s="3" t="s">
        <v>2</v>
      </c>
      <c r="D3" s="3" t="s">
        <v>90</v>
      </c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3" t="s">
        <v>8</v>
      </c>
      <c r="K3" s="3" t="s">
        <v>73</v>
      </c>
      <c r="L3" s="4" t="s">
        <v>9</v>
      </c>
      <c r="M3" s="55" t="s">
        <v>10</v>
      </c>
      <c r="N3" s="69" t="s">
        <v>80</v>
      </c>
      <c r="O3" s="4" t="s">
        <v>74</v>
      </c>
      <c r="P3" s="69" t="s">
        <v>82</v>
      </c>
      <c r="Q3" s="69"/>
    </row>
    <row r="4" spans="2:26" x14ac:dyDescent="0.3">
      <c r="B4" s="5">
        <v>8</v>
      </c>
      <c r="C4" s="5">
        <v>30</v>
      </c>
      <c r="D4" s="5">
        <v>0.1</v>
      </c>
      <c r="E4" s="15">
        <v>0.24</v>
      </c>
      <c r="F4" s="5">
        <v>0.05</v>
      </c>
      <c r="G4" s="5">
        <v>0.4</v>
      </c>
      <c r="H4" s="5">
        <v>0.4</v>
      </c>
      <c r="I4" s="6">
        <v>2.1999999999999999E-5</v>
      </c>
      <c r="J4" s="6">
        <v>400000</v>
      </c>
      <c r="K4" s="3">
        <v>1</v>
      </c>
      <c r="L4" s="4">
        <f>1/FS</f>
        <v>2.5000000000000002E-6</v>
      </c>
      <c r="M4" s="55" t="str">
        <f>IF(Ivalley&gt;=0,"CCM","DCM")</f>
        <v>CCM</v>
      </c>
      <c r="N4" s="4">
        <v>28</v>
      </c>
      <c r="O4" s="74">
        <v>2E-8</v>
      </c>
      <c r="P4" s="1">
        <v>5</v>
      </c>
    </row>
    <row r="5" spans="2:26" ht="15.75" thickBot="1" x14ac:dyDescent="0.3">
      <c r="I5" s="58" t="s">
        <v>76</v>
      </c>
      <c r="J5" s="59">
        <f>IF(VO*Ivalley*FS*O4&gt;0, VO*Ivalley*FS*O4,0)</f>
        <v>0.32583553961198303</v>
      </c>
      <c r="L5" s="4"/>
      <c r="M5" s="4"/>
      <c r="N5" s="4"/>
      <c r="O5" s="4"/>
      <c r="S5" s="1" t="s">
        <v>16</v>
      </c>
      <c r="T5" s="1" t="s">
        <v>11</v>
      </c>
      <c r="U5" s="1" t="s">
        <v>20</v>
      </c>
      <c r="V5" s="1" t="s">
        <v>22</v>
      </c>
      <c r="W5" s="1" t="s">
        <v>86</v>
      </c>
      <c r="X5" s="1" t="s">
        <v>87</v>
      </c>
      <c r="Y5" s="1" t="s">
        <v>88</v>
      </c>
      <c r="Z5" s="1" t="s">
        <v>89</v>
      </c>
    </row>
    <row r="6" spans="2:26" ht="15.75" thickBot="1" x14ac:dyDescent="0.3">
      <c r="B6" s="7" t="s">
        <v>11</v>
      </c>
      <c r="C6" s="8">
        <f>T15</f>
        <v>0.24043439394577865</v>
      </c>
      <c r="F6" s="7" t="s">
        <v>12</v>
      </c>
      <c r="G6" s="9">
        <f>Ipeak*L/(VIN-RL*ILD-RDS_ON*ILD)*FS</f>
        <v>1.679709594258517</v>
      </c>
      <c r="I6" s="60" t="s">
        <v>77</v>
      </c>
      <c r="J6" s="61">
        <f>(IL*IL+Ipp*Ipp/12)*RDS_ON*D</f>
        <v>0.51023906635212035</v>
      </c>
      <c r="L6" s="4" t="s">
        <v>13</v>
      </c>
      <c r="M6" s="4" t="s">
        <v>14</v>
      </c>
      <c r="N6" s="4" t="s">
        <v>14</v>
      </c>
      <c r="O6" s="4" t="s">
        <v>15</v>
      </c>
      <c r="R6" s="1">
        <v>1</v>
      </c>
      <c r="S6" s="11">
        <f>(VO+VD)/VIN*ILOAD</f>
        <v>1.52</v>
      </c>
      <c r="T6" s="8">
        <f t="shared" ref="T6:T26" si="0">ILOAD/S6</f>
        <v>0.26315789473684209</v>
      </c>
      <c r="U6" s="1">
        <f t="shared" ref="U6:U26" si="1">(VO+VD-VIN)*T6/L/FS</f>
        <v>0.66985645933014359</v>
      </c>
      <c r="V6" s="1">
        <f>IF(S6-U6/2&gt;0, S6-U6/2,0)</f>
        <v>1.1850717703349283</v>
      </c>
      <c r="W6" s="70">
        <f t="shared" ref="W6:W26" si="2">VO*V6*FS*O$4</f>
        <v>0.28441722488038279</v>
      </c>
      <c r="X6" s="1">
        <f t="shared" ref="X6:X26" si="3">(S6*S6+U6*U6/12)*RDS_ON*(1-T6)</f>
        <v>0.41518853417419832</v>
      </c>
      <c r="Y6" s="1">
        <f t="shared" ref="Y6:Y26" si="4">(S6*S6*RD+VD*S6)*T6</f>
        <v>0.19040000000000004</v>
      </c>
      <c r="Z6" s="1">
        <f t="shared" ref="Z6:Z26" si="5">RL*(S6*S6+U6*U6/12)</f>
        <v>0.23477923063421932</v>
      </c>
    </row>
    <row r="7" spans="2:26" ht="15.75" thickBot="1" x14ac:dyDescent="0.3">
      <c r="B7" s="10" t="s">
        <v>16</v>
      </c>
      <c r="C7" s="11">
        <f>S15</f>
        <v>1.6636554921930415</v>
      </c>
      <c r="F7" s="10" t="s">
        <v>17</v>
      </c>
      <c r="G7" s="11">
        <f>IL</f>
        <v>1.6636554921930415</v>
      </c>
      <c r="I7" s="60" t="s">
        <v>85</v>
      </c>
      <c r="J7" s="61">
        <f>K4*ILOAD</f>
        <v>0.4</v>
      </c>
      <c r="L7" s="4">
        <v>0</v>
      </c>
      <c r="M7" s="4">
        <f t="shared" ref="M7:M13" si="6">L7*TS</f>
        <v>0</v>
      </c>
      <c r="N7" s="4">
        <f>M7*1000000</f>
        <v>0</v>
      </c>
      <c r="O7" s="4">
        <f>IF(Ivalley&gt;=0,Ivalley,0)</f>
        <v>1.3576480817165959</v>
      </c>
      <c r="R7" s="1">
        <v>2</v>
      </c>
      <c r="S7" s="1">
        <f t="shared" ref="S7:S26" si="7">(VO*ILOAD+W6+X6+Y6+Z6)/VIN</f>
        <v>1.6405981237111</v>
      </c>
      <c r="T7" s="8">
        <f t="shared" si="0"/>
        <v>0.24381351789869396</v>
      </c>
      <c r="U7" s="1">
        <f t="shared" si="1"/>
        <v>0.62061622737849376</v>
      </c>
      <c r="V7" s="1">
        <f t="shared" ref="V7:V26" si="8">IF(S7-U7/2&gt;0, S7-U7/2,0)</f>
        <v>1.3302900100218531</v>
      </c>
      <c r="W7" s="70">
        <f t="shared" si="2"/>
        <v>0.31926960240524477</v>
      </c>
      <c r="X7" s="1">
        <f t="shared" si="3"/>
        <v>0.49430263276078346</v>
      </c>
      <c r="Y7" s="1">
        <f t="shared" si="4"/>
        <v>0.19281196247422203</v>
      </c>
      <c r="Z7" s="1">
        <f t="shared" si="5"/>
        <v>0.27236592453315084</v>
      </c>
    </row>
    <row r="8" spans="2:26" ht="15.75" thickBot="1" x14ac:dyDescent="0.3">
      <c r="B8" s="10" t="s">
        <v>18</v>
      </c>
      <c r="C8" s="11">
        <f>1-Dbar</f>
        <v>0.7595656060542213</v>
      </c>
      <c r="F8" s="10" t="s">
        <v>19</v>
      </c>
      <c r="G8" s="11">
        <f>Ipeak*L/(VO+RD*ILD+VD-VIN+RL*ILD)*FS</f>
        <v>0.55133819113407934</v>
      </c>
      <c r="I8" s="65" t="s">
        <v>84</v>
      </c>
      <c r="J8" s="66">
        <f>J5+J6+J7</f>
        <v>1.2360746059641032</v>
      </c>
      <c r="L8" s="4">
        <f>IF(Ivalley&gt;=0,D,D1_)</f>
        <v>0.7595656060542213</v>
      </c>
      <c r="M8" s="4">
        <f t="shared" si="6"/>
        <v>1.8989140151355535E-6</v>
      </c>
      <c r="N8" s="4">
        <f t="shared" ref="N8:N13" si="9">M8*1000000</f>
        <v>1.8989140151355535</v>
      </c>
      <c r="O8" s="4">
        <f>IF(Ivalley&gt;=0,Ivalley+Ipp,Ipeak)</f>
        <v>1.969662902669487</v>
      </c>
      <c r="R8" s="1">
        <v>3</v>
      </c>
      <c r="S8" s="1">
        <f t="shared" si="7"/>
        <v>1.6598437652716751</v>
      </c>
      <c r="T8" s="8">
        <f t="shared" si="0"/>
        <v>0.24098653642533036</v>
      </c>
      <c r="U8" s="1">
        <f t="shared" si="1"/>
        <v>0.61342027453720449</v>
      </c>
      <c r="V8" s="1">
        <f t="shared" si="8"/>
        <v>1.3531336280030728</v>
      </c>
      <c r="W8" s="70">
        <f t="shared" si="2"/>
        <v>0.32475207072073753</v>
      </c>
      <c r="X8" s="1">
        <f t="shared" si="3"/>
        <v>0.50758661557946871</v>
      </c>
      <c r="Y8" s="1">
        <f t="shared" si="4"/>
        <v>0.19319687530543353</v>
      </c>
      <c r="Z8" s="1">
        <f t="shared" si="5"/>
        <v>0.278643836121236</v>
      </c>
    </row>
    <row r="9" spans="2:26" ht="16.2" thickBot="1" x14ac:dyDescent="0.35">
      <c r="B9" s="10" t="s">
        <v>20</v>
      </c>
      <c r="C9" s="12">
        <f>(VO+VD-VIN)*Dbar/L/FS</f>
        <v>0.61201482095289106</v>
      </c>
      <c r="F9" s="10" t="s">
        <v>21</v>
      </c>
      <c r="G9" s="11">
        <f>(2*ILOAD*(VO+VD-VIN-(RD+RL)*ILD)/L/FS)^0.5</f>
        <v>1.4190410230527017</v>
      </c>
      <c r="I9" s="67" t="s">
        <v>81</v>
      </c>
      <c r="J9" s="68">
        <f>N4*(J5+J6+J7)</f>
        <v>34.610088966994894</v>
      </c>
      <c r="L9" s="4">
        <f>IF(Ivalley&gt;=0,1,D1_+D2_)</f>
        <v>1</v>
      </c>
      <c r="M9" s="4">
        <f t="shared" si="6"/>
        <v>2.5000000000000002E-6</v>
      </c>
      <c r="N9" s="4">
        <f t="shared" si="9"/>
        <v>2.5</v>
      </c>
      <c r="O9" s="4">
        <f>IF(Ivalley&gt;=0,Ivalley,0)</f>
        <v>1.3576480817165959</v>
      </c>
      <c r="R9" s="1">
        <v>4</v>
      </c>
      <c r="S9" s="1">
        <f t="shared" si="7"/>
        <v>1.6630224247158596</v>
      </c>
      <c r="T9" s="8">
        <f t="shared" si="0"/>
        <v>0.24052592079048071</v>
      </c>
      <c r="U9" s="1">
        <f t="shared" si="1"/>
        <v>0.61224779837576904</v>
      </c>
      <c r="V9" s="1">
        <f t="shared" si="8"/>
        <v>1.3568985255279751</v>
      </c>
      <c r="W9" s="70">
        <f t="shared" si="2"/>
        <v>0.32565564612671399</v>
      </c>
      <c r="X9" s="1">
        <f t="shared" si="3"/>
        <v>0.50979804482524915</v>
      </c>
      <c r="Y9" s="1">
        <f t="shared" si="4"/>
        <v>0.19326044849431723</v>
      </c>
      <c r="Z9" s="1">
        <f t="shared" si="5"/>
        <v>0.27968808656591482</v>
      </c>
    </row>
    <row r="10" spans="2:26" ht="15.75" thickBot="1" x14ac:dyDescent="0.3">
      <c r="B10" s="10" t="s">
        <v>22</v>
      </c>
      <c r="C10" s="12">
        <f>ILOAD/Dbar-Ipp/2</f>
        <v>1.3576480817165959</v>
      </c>
      <c r="D10" s="1" t="s">
        <v>21</v>
      </c>
      <c r="E10" s="56">
        <f>IL+Ipp/2</f>
        <v>1.9696629026694872</v>
      </c>
      <c r="F10" s="13" t="s">
        <v>23</v>
      </c>
      <c r="G10" s="14">
        <f>1-D1_-D2_</f>
        <v>-1.2310477853925963</v>
      </c>
      <c r="I10" s="58" t="s">
        <v>78</v>
      </c>
      <c r="J10" s="64">
        <f>(IL*IL*RD+VD*IL)*Dbar</f>
        <v>0.19327310984386087</v>
      </c>
      <c r="L10" s="4">
        <v>1</v>
      </c>
      <c r="M10" s="4">
        <f t="shared" si="6"/>
        <v>2.5000000000000002E-6</v>
      </c>
      <c r="N10" s="4">
        <f t="shared" si="9"/>
        <v>2.5</v>
      </c>
      <c r="O10" s="4">
        <f>IF(Ivalley&gt;=0, Ivalley,0)</f>
        <v>1.3576480817165959</v>
      </c>
      <c r="R10" s="1">
        <v>5</v>
      </c>
      <c r="S10" s="1">
        <f t="shared" si="7"/>
        <v>1.6635502782515246</v>
      </c>
      <c r="T10" s="8">
        <f t="shared" si="0"/>
        <v>0.24044960060985968</v>
      </c>
      <c r="U10" s="1">
        <f t="shared" si="1"/>
        <v>0.61205352882509734</v>
      </c>
      <c r="V10" s="1">
        <f t="shared" si="8"/>
        <v>1.3575235138389758</v>
      </c>
      <c r="W10" s="70">
        <f t="shared" si="2"/>
        <v>0.3258056433213542</v>
      </c>
      <c r="X10" s="1">
        <f t="shared" si="3"/>
        <v>0.51016575631607353</v>
      </c>
      <c r="Y10" s="1">
        <f t="shared" si="4"/>
        <v>0.19327100556503049</v>
      </c>
      <c r="Z10" s="1">
        <f t="shared" si="5"/>
        <v>0.27986169884496626</v>
      </c>
    </row>
    <row r="11" spans="2:26" ht="15.75" thickBot="1" x14ac:dyDescent="0.3">
      <c r="B11" s="71" t="s">
        <v>24</v>
      </c>
      <c r="C11" s="72"/>
      <c r="D11" s="72"/>
      <c r="E11" s="73"/>
      <c r="F11" s="57" t="s">
        <v>25</v>
      </c>
      <c r="G11" s="14"/>
      <c r="I11" s="60" t="s">
        <v>79</v>
      </c>
      <c r="J11" s="61">
        <f>RL*(IL*IL+Ipp*Ipp/12)</f>
        <v>0.27989631084595712</v>
      </c>
      <c r="L11" s="4">
        <f>IF(Ivalley&gt;=0,1+D,1+D1_)</f>
        <v>1.7595656060542213</v>
      </c>
      <c r="M11" s="4">
        <f t="shared" si="6"/>
        <v>4.3989140151355533E-6</v>
      </c>
      <c r="N11" s="4">
        <f t="shared" si="9"/>
        <v>4.3989140151355537</v>
      </c>
      <c r="O11" s="4">
        <f>IF(Ivalley&gt;=0, Ivalley+Ipp,Ipeak)</f>
        <v>1.969662902669487</v>
      </c>
      <c r="R11" s="1">
        <v>6</v>
      </c>
      <c r="S11" s="1">
        <f t="shared" si="7"/>
        <v>1.6636380130059281</v>
      </c>
      <c r="T11" s="8">
        <f t="shared" si="0"/>
        <v>0.24043692009493337</v>
      </c>
      <c r="U11" s="1">
        <f t="shared" si="1"/>
        <v>0.61202125115073946</v>
      </c>
      <c r="V11" s="1">
        <f t="shared" si="8"/>
        <v>1.3576273874305582</v>
      </c>
      <c r="W11" s="70">
        <f t="shared" si="2"/>
        <v>0.32583057298333401</v>
      </c>
      <c r="X11" s="1">
        <f t="shared" si="3"/>
        <v>0.51022688698479679</v>
      </c>
      <c r="Y11" s="1">
        <f t="shared" si="4"/>
        <v>0.19327276026011858</v>
      </c>
      <c r="Z11" s="1">
        <f t="shared" si="5"/>
        <v>0.27989056059733225</v>
      </c>
    </row>
    <row r="12" spans="2:26" ht="15.75" thickBot="1" x14ac:dyDescent="0.3">
      <c r="I12" s="60" t="s">
        <v>75</v>
      </c>
      <c r="J12" s="61">
        <f>(VIN*IL-J5-J6-J10-J11)/(VIN*IL)</f>
        <v>0.90162897060135405</v>
      </c>
      <c r="L12" s="4">
        <f>IF(Ivalley&gt;=0,2,1+D1_+D2_)</f>
        <v>2</v>
      </c>
      <c r="M12" s="4">
        <f t="shared" si="6"/>
        <v>5.0000000000000004E-6</v>
      </c>
      <c r="N12" s="4">
        <f t="shared" si="9"/>
        <v>5</v>
      </c>
      <c r="O12" s="4">
        <f>IF(Ivalley&gt;=0, Ivalley,0)</f>
        <v>1.3576480817165959</v>
      </c>
      <c r="R12" s="1">
        <v>7</v>
      </c>
      <c r="S12" s="1">
        <f t="shared" si="7"/>
        <v>1.6636525976031975</v>
      </c>
      <c r="T12" s="8">
        <f t="shared" si="0"/>
        <v>0.24043481227768032</v>
      </c>
      <c r="U12" s="1">
        <f t="shared" si="1"/>
        <v>0.61201588579773181</v>
      </c>
      <c r="V12" s="1">
        <f t="shared" si="8"/>
        <v>1.3576446547043317</v>
      </c>
      <c r="W12" s="70">
        <f t="shared" si="2"/>
        <v>0.32583471712903961</v>
      </c>
      <c r="X12" s="1">
        <f t="shared" si="3"/>
        <v>0.51023704941317805</v>
      </c>
      <c r="Y12" s="1">
        <f t="shared" si="4"/>
        <v>0.19327305195206398</v>
      </c>
      <c r="Z12" s="1">
        <f t="shared" si="5"/>
        <v>0.27989535858842651</v>
      </c>
    </row>
    <row r="13" spans="2:26" ht="15.75" thickBot="1" x14ac:dyDescent="0.3">
      <c r="I13" s="62" t="s">
        <v>83</v>
      </c>
      <c r="J13" s="63">
        <f>(VO-K4)*ILOAD/(VIN*IL)</f>
        <v>0.87157467805344768</v>
      </c>
      <c r="L13" s="4">
        <v>2</v>
      </c>
      <c r="M13" s="4">
        <f t="shared" si="6"/>
        <v>5.0000000000000004E-6</v>
      </c>
      <c r="N13" s="4">
        <f t="shared" si="9"/>
        <v>5</v>
      </c>
      <c r="O13" s="4">
        <f>IF(Ivalley&gt;=0, Ivalley,0)</f>
        <v>1.3576480817165959</v>
      </c>
      <c r="R13" s="1">
        <v>8</v>
      </c>
      <c r="S13" s="1">
        <f t="shared" si="7"/>
        <v>1.6636550221353383</v>
      </c>
      <c r="T13" s="8">
        <f t="shared" si="0"/>
        <v>0.2404344618793571</v>
      </c>
      <c r="U13" s="1">
        <f t="shared" si="1"/>
        <v>0.61201499387472724</v>
      </c>
      <c r="V13" s="1">
        <f t="shared" si="8"/>
        <v>1.3576475251979747</v>
      </c>
      <c r="W13" s="70">
        <f t="shared" si="2"/>
        <v>0.32583540604751393</v>
      </c>
      <c r="X13" s="1">
        <f t="shared" si="3"/>
        <v>0.51023873881746307</v>
      </c>
      <c r="Y13" s="1">
        <f t="shared" si="4"/>
        <v>0.19327310044270679</v>
      </c>
      <c r="Z13" s="1">
        <f t="shared" si="5"/>
        <v>0.27989615620700897</v>
      </c>
    </row>
    <row r="14" spans="2:26" ht="15.75" thickBot="1" x14ac:dyDescent="0.3">
      <c r="L14" s="4"/>
      <c r="M14" s="4"/>
      <c r="N14" s="4"/>
      <c r="O14" s="4"/>
      <c r="R14" s="1">
        <v>9</v>
      </c>
      <c r="S14" s="1">
        <f t="shared" si="7"/>
        <v>1.6636554251893365</v>
      </c>
      <c r="T14" s="8">
        <f t="shared" si="0"/>
        <v>0.24043440362927138</v>
      </c>
      <c r="U14" s="1">
        <f t="shared" si="1"/>
        <v>0.61201484560178165</v>
      </c>
      <c r="V14" s="1">
        <f t="shared" si="8"/>
        <v>1.3576480023884456</v>
      </c>
      <c r="W14" s="70">
        <f t="shared" si="2"/>
        <v>0.32583552057322696</v>
      </c>
      <c r="X14" s="1">
        <f t="shared" si="3"/>
        <v>0.51023901966415308</v>
      </c>
      <c r="Y14" s="1">
        <f t="shared" si="4"/>
        <v>0.19327310850378673</v>
      </c>
      <c r="Z14" s="1">
        <f t="shared" si="5"/>
        <v>0.27989628880316597</v>
      </c>
    </row>
    <row r="15" spans="2:26" ht="15" thickBot="1" x14ac:dyDescent="0.35">
      <c r="J15" s="1" t="s">
        <v>26</v>
      </c>
      <c r="K15" s="1" t="s">
        <v>27</v>
      </c>
      <c r="L15" s="4"/>
      <c r="M15" s="4"/>
      <c r="N15" s="4"/>
      <c r="O15" s="4"/>
      <c r="R15" s="1">
        <v>10</v>
      </c>
      <c r="S15" s="1">
        <f t="shared" si="7"/>
        <v>1.6636554921930415</v>
      </c>
      <c r="T15" s="8">
        <f t="shared" si="0"/>
        <v>0.24043439394577865</v>
      </c>
      <c r="U15" s="1">
        <f t="shared" si="1"/>
        <v>0.61201482095289106</v>
      </c>
      <c r="V15" s="1">
        <f t="shared" si="8"/>
        <v>1.3576480817165959</v>
      </c>
      <c r="W15" s="70">
        <f t="shared" si="2"/>
        <v>0.32583553961198303</v>
      </c>
      <c r="X15" s="1">
        <f t="shared" si="3"/>
        <v>0.51023906635212035</v>
      </c>
      <c r="Y15" s="1">
        <f t="shared" si="4"/>
        <v>0.19327310984386087</v>
      </c>
      <c r="Z15" s="1">
        <f t="shared" si="5"/>
        <v>0.27989631084595712</v>
      </c>
    </row>
    <row r="16" spans="2:26" ht="15" thickBot="1" x14ac:dyDescent="0.35">
      <c r="J16" s="1" t="s">
        <v>28</v>
      </c>
      <c r="K16" s="1" t="s">
        <v>29</v>
      </c>
      <c r="L16" s="4"/>
      <c r="M16" s="4"/>
      <c r="N16" s="4"/>
      <c r="O16" s="4"/>
      <c r="R16" s="1">
        <v>11</v>
      </c>
      <c r="S16" s="1">
        <f t="shared" si="7"/>
        <v>1.6636555033317404</v>
      </c>
      <c r="T16" s="8">
        <f t="shared" si="0"/>
        <v>0.24043439233599448</v>
      </c>
      <c r="U16" s="1">
        <f t="shared" si="1"/>
        <v>0.6120148168552586</v>
      </c>
      <c r="V16" s="1">
        <f t="shared" si="8"/>
        <v>1.357648094904111</v>
      </c>
      <c r="W16" s="70">
        <f t="shared" si="2"/>
        <v>0.32583554277698668</v>
      </c>
      <c r="X16" s="1">
        <f t="shared" si="3"/>
        <v>0.51023907411353031</v>
      </c>
      <c r="Y16" s="1">
        <f t="shared" si="4"/>
        <v>0.19327311006663486</v>
      </c>
      <c r="Z16" s="1">
        <f t="shared" si="5"/>
        <v>0.2798963145103518</v>
      </c>
    </row>
    <row r="17" spans="10:26" ht="15" thickBot="1" x14ac:dyDescent="0.35">
      <c r="J17" s="1" t="s">
        <v>30</v>
      </c>
      <c r="K17" s="1" t="s">
        <v>31</v>
      </c>
      <c r="L17" s="4"/>
      <c r="M17" s="4"/>
      <c r="N17" s="4"/>
      <c r="O17" s="4"/>
      <c r="R17" s="1">
        <v>12</v>
      </c>
      <c r="S17" s="1">
        <f t="shared" si="7"/>
        <v>1.6636555051834379</v>
      </c>
      <c r="T17" s="8">
        <f t="shared" si="0"/>
        <v>0.24043439206838393</v>
      </c>
      <c r="U17" s="1">
        <f t="shared" si="1"/>
        <v>0.61201481617406817</v>
      </c>
      <c r="V17" s="1">
        <f t="shared" si="8"/>
        <v>1.3576480970964038</v>
      </c>
      <c r="W17" s="70">
        <f t="shared" si="2"/>
        <v>0.32583554330313691</v>
      </c>
      <c r="X17" s="1">
        <f t="shared" si="3"/>
        <v>0.51023907540378721</v>
      </c>
      <c r="Y17" s="1">
        <f t="shared" si="4"/>
        <v>0.19327311010366877</v>
      </c>
      <c r="Z17" s="1">
        <f t="shared" si="5"/>
        <v>0.27989631511952079</v>
      </c>
    </row>
    <row r="18" spans="10:26" ht="15" thickBot="1" x14ac:dyDescent="0.35">
      <c r="J18" s="1" t="s">
        <v>32</v>
      </c>
      <c r="K18" s="1" t="s">
        <v>33</v>
      </c>
      <c r="R18" s="1">
        <v>13</v>
      </c>
      <c r="S18" s="1">
        <f t="shared" si="7"/>
        <v>1.6636555054912641</v>
      </c>
      <c r="T18" s="8">
        <f t="shared" si="0"/>
        <v>0.24043439202389635</v>
      </c>
      <c r="U18" s="1">
        <f t="shared" si="1"/>
        <v>0.61201481606082697</v>
      </c>
      <c r="V18" s="1">
        <f t="shared" si="8"/>
        <v>1.3576480974608507</v>
      </c>
      <c r="W18" s="70">
        <f t="shared" si="2"/>
        <v>0.32583554339060417</v>
      </c>
      <c r="X18" s="1">
        <f t="shared" si="3"/>
        <v>0.51023907561827953</v>
      </c>
      <c r="Y18" s="1">
        <f t="shared" si="4"/>
        <v>0.19327311010982531</v>
      </c>
      <c r="Z18" s="1">
        <f t="shared" si="5"/>
        <v>0.27989631522078912</v>
      </c>
    </row>
    <row r="19" spans="10:26" ht="15" thickBot="1" x14ac:dyDescent="0.35">
      <c r="J19" s="1" t="s">
        <v>34</v>
      </c>
      <c r="K19" s="1" t="s">
        <v>35</v>
      </c>
      <c r="R19" s="1">
        <v>14</v>
      </c>
      <c r="S19" s="1">
        <f t="shared" si="7"/>
        <v>1.6636555055424371</v>
      </c>
      <c r="T19" s="8">
        <f t="shared" si="0"/>
        <v>0.24043439201650071</v>
      </c>
      <c r="U19" s="1">
        <f t="shared" si="1"/>
        <v>0.61201481604200181</v>
      </c>
      <c r="V19" s="1">
        <f t="shared" si="8"/>
        <v>1.3576480975214362</v>
      </c>
      <c r="W19" s="70">
        <f t="shared" si="2"/>
        <v>0.32583554340514465</v>
      </c>
      <c r="X19" s="1">
        <f t="shared" si="3"/>
        <v>0.51023907565393678</v>
      </c>
      <c r="Y19" s="1">
        <f t="shared" si="4"/>
        <v>0.19327311011084877</v>
      </c>
      <c r="Z19" s="1">
        <f t="shared" si="5"/>
        <v>0.27989631523762393</v>
      </c>
    </row>
    <row r="20" spans="10:26" ht="15" thickBot="1" x14ac:dyDescent="0.35">
      <c r="J20" s="1" t="s">
        <v>36</v>
      </c>
      <c r="K20" s="1" t="s">
        <v>37</v>
      </c>
      <c r="R20" s="1">
        <v>15</v>
      </c>
      <c r="S20" s="1">
        <f t="shared" si="7"/>
        <v>1.6636555055509441</v>
      </c>
      <c r="T20" s="8">
        <f t="shared" si="0"/>
        <v>0.24043439201527128</v>
      </c>
      <c r="U20" s="1">
        <f t="shared" si="1"/>
        <v>0.61201481603887242</v>
      </c>
      <c r="V20" s="1">
        <f t="shared" si="8"/>
        <v>1.3576480975315079</v>
      </c>
      <c r="W20" s="70">
        <f t="shared" si="2"/>
        <v>0.32583554340756188</v>
      </c>
      <c r="X20" s="1">
        <f t="shared" si="3"/>
        <v>0.51023907565986437</v>
      </c>
      <c r="Y20" s="1">
        <f t="shared" si="4"/>
        <v>0.19327311011101891</v>
      </c>
      <c r="Z20" s="1">
        <f t="shared" si="5"/>
        <v>0.27989631524042252</v>
      </c>
    </row>
    <row r="21" spans="10:26" ht="15" thickBot="1" x14ac:dyDescent="0.35">
      <c r="J21" s="1" t="s">
        <v>38</v>
      </c>
      <c r="K21" s="1" t="s">
        <v>39</v>
      </c>
      <c r="R21" s="1">
        <v>16</v>
      </c>
      <c r="S21" s="1">
        <f t="shared" si="7"/>
        <v>1.6636555055523585</v>
      </c>
      <c r="T21" s="8">
        <f t="shared" si="0"/>
        <v>0.24043439201506686</v>
      </c>
      <c r="U21" s="1">
        <f t="shared" si="1"/>
        <v>0.61201481603835195</v>
      </c>
      <c r="V21" s="1">
        <f t="shared" si="8"/>
        <v>1.3576480975331826</v>
      </c>
      <c r="W21" s="70">
        <f t="shared" si="2"/>
        <v>0.32583554340796383</v>
      </c>
      <c r="X21" s="1">
        <f t="shared" si="3"/>
        <v>0.51023907566084992</v>
      </c>
      <c r="Y21" s="1">
        <f t="shared" si="4"/>
        <v>0.19327311011104717</v>
      </c>
      <c r="Z21" s="1">
        <f t="shared" si="5"/>
        <v>0.27989631524088787</v>
      </c>
    </row>
    <row r="22" spans="10:26" ht="15" thickBot="1" x14ac:dyDescent="0.35">
      <c r="J22" s="1" t="s">
        <v>40</v>
      </c>
      <c r="K22" s="1" t="s">
        <v>41</v>
      </c>
      <c r="R22" s="1">
        <v>17</v>
      </c>
      <c r="S22" s="1">
        <f t="shared" si="7"/>
        <v>1.6636555055525937</v>
      </c>
      <c r="T22" s="8">
        <f t="shared" si="0"/>
        <v>0.24043439201503289</v>
      </c>
      <c r="U22" s="1">
        <f t="shared" si="1"/>
        <v>0.61201481603826546</v>
      </c>
      <c r="V22" s="1">
        <f t="shared" si="8"/>
        <v>1.3576480975334611</v>
      </c>
      <c r="W22" s="70">
        <f t="shared" si="2"/>
        <v>0.32583554340803067</v>
      </c>
      <c r="X22" s="1">
        <f t="shared" si="3"/>
        <v>0.51023907566101379</v>
      </c>
      <c r="Y22" s="1">
        <f t="shared" si="4"/>
        <v>0.19327311011105189</v>
      </c>
      <c r="Z22" s="1">
        <f t="shared" si="5"/>
        <v>0.2798963152409652</v>
      </c>
    </row>
    <row r="23" spans="10:26" ht="15" thickBot="1" x14ac:dyDescent="0.35">
      <c r="J23" s="1" t="s">
        <v>42</v>
      </c>
      <c r="K23" s="1" t="s">
        <v>43</v>
      </c>
      <c r="R23" s="1">
        <v>18</v>
      </c>
      <c r="S23" s="1">
        <f t="shared" si="7"/>
        <v>1.6636555055526328</v>
      </c>
      <c r="T23" s="8">
        <f t="shared" si="0"/>
        <v>0.24043439201502723</v>
      </c>
      <c r="U23" s="1">
        <f t="shared" si="1"/>
        <v>0.61201481603825114</v>
      </c>
      <c r="V23" s="1">
        <f t="shared" si="8"/>
        <v>1.3576480975335072</v>
      </c>
      <c r="W23" s="70">
        <f t="shared" si="2"/>
        <v>0.32583554340804177</v>
      </c>
      <c r="X23" s="1">
        <f t="shared" si="3"/>
        <v>0.5102390756610411</v>
      </c>
      <c r="Y23" s="1">
        <f t="shared" si="4"/>
        <v>0.19327311011105267</v>
      </c>
      <c r="Z23" s="1">
        <f t="shared" si="5"/>
        <v>0.27989631524097808</v>
      </c>
    </row>
    <row r="24" spans="10:26" ht="15" thickBot="1" x14ac:dyDescent="0.35">
      <c r="R24" s="1">
        <v>19</v>
      </c>
      <c r="S24" s="1">
        <f t="shared" si="7"/>
        <v>1.663655505552639</v>
      </c>
      <c r="T24" s="8">
        <f t="shared" si="0"/>
        <v>0.24043439201502634</v>
      </c>
      <c r="U24" s="1">
        <f t="shared" si="1"/>
        <v>0.61201481603824881</v>
      </c>
      <c r="V24" s="1">
        <f t="shared" si="8"/>
        <v>1.3576480975335146</v>
      </c>
      <c r="W24" s="70">
        <f t="shared" si="2"/>
        <v>0.32583554340804355</v>
      </c>
      <c r="X24" s="1">
        <f t="shared" si="3"/>
        <v>0.51023907566104532</v>
      </c>
      <c r="Y24" s="1">
        <f t="shared" si="4"/>
        <v>0.19327311011105283</v>
      </c>
      <c r="Z24" s="1">
        <f t="shared" si="5"/>
        <v>0.27989631524098008</v>
      </c>
    </row>
    <row r="25" spans="10:26" ht="15" thickBot="1" x14ac:dyDescent="0.35">
      <c r="J25" s="2"/>
      <c r="K25" s="2"/>
      <c r="L25" s="2"/>
      <c r="M25" s="2"/>
      <c r="R25" s="1">
        <v>20</v>
      </c>
      <c r="S25" s="1">
        <f t="shared" si="7"/>
        <v>1.6636555055526403</v>
      </c>
      <c r="T25" s="8">
        <f t="shared" si="0"/>
        <v>0.24043439201502614</v>
      </c>
      <c r="U25" s="1">
        <f t="shared" si="1"/>
        <v>0.61201481603824837</v>
      </c>
      <c r="V25" s="1">
        <f t="shared" si="8"/>
        <v>1.3576480975335161</v>
      </c>
      <c r="W25" s="70">
        <f t="shared" si="2"/>
        <v>0.32583554340804388</v>
      </c>
      <c r="X25" s="1">
        <f t="shared" si="3"/>
        <v>0.51023907566104632</v>
      </c>
      <c r="Y25" s="1">
        <f t="shared" si="4"/>
        <v>0.19327311011105283</v>
      </c>
      <c r="Z25" s="1">
        <f t="shared" si="5"/>
        <v>0.27989631524098052</v>
      </c>
    </row>
    <row r="26" spans="10:26" x14ac:dyDescent="0.3">
      <c r="R26" s="1">
        <v>21</v>
      </c>
      <c r="S26" s="1">
        <f t="shared" si="7"/>
        <v>1.6636555055526403</v>
      </c>
      <c r="T26" s="8">
        <f t="shared" si="0"/>
        <v>0.24043439201502614</v>
      </c>
      <c r="U26" s="1">
        <f t="shared" si="1"/>
        <v>0.61201481603824837</v>
      </c>
      <c r="V26" s="1">
        <f t="shared" si="8"/>
        <v>1.3576480975335161</v>
      </c>
      <c r="W26" s="70">
        <f t="shared" si="2"/>
        <v>0.32583554340804388</v>
      </c>
      <c r="X26" s="1">
        <f t="shared" si="3"/>
        <v>0.51023907566104632</v>
      </c>
      <c r="Y26" s="1">
        <f t="shared" si="4"/>
        <v>0.19327311011105283</v>
      </c>
      <c r="Z26" s="1">
        <f t="shared" si="5"/>
        <v>0.27989631524098052</v>
      </c>
    </row>
  </sheetData>
  <sheetProtection selectLockedCells="1"/>
  <mergeCells count="1">
    <mergeCell ref="B11:E11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1:Y173"/>
  <sheetViews>
    <sheetView zoomScaleNormal="100" workbookViewId="0">
      <selection activeCell="F6" sqref="F6"/>
    </sheetView>
  </sheetViews>
  <sheetFormatPr defaultRowHeight="14.4" x14ac:dyDescent="0.3"/>
  <cols>
    <col min="1" max="1" width="3.109375" customWidth="1"/>
    <col min="2" max="2" width="12" bestFit="1" customWidth="1"/>
    <col min="3" max="3" width="9.5546875" bestFit="1" customWidth="1"/>
    <col min="4" max="4" width="9.5546875" customWidth="1"/>
    <col min="6" max="6" width="7.109375" customWidth="1"/>
    <col min="7" max="7" width="11" bestFit="1" customWidth="1"/>
    <col min="8" max="8" width="2.44140625" customWidth="1"/>
    <col min="9" max="9" width="12" bestFit="1" customWidth="1"/>
    <col min="10" max="10" width="1.88671875" customWidth="1"/>
    <col min="11" max="11" width="9" bestFit="1" customWidth="1"/>
    <col min="13" max="13" width="12.33203125" bestFit="1" customWidth="1"/>
    <col min="14" max="14" width="7.6640625" customWidth="1"/>
    <col min="15" max="15" width="11.44140625" bestFit="1" customWidth="1"/>
    <col min="20" max="20" width="3.33203125" customWidth="1"/>
    <col min="21" max="21" width="8.109375" customWidth="1"/>
    <col min="24" max="24" width="12.88671875" bestFit="1" customWidth="1"/>
  </cols>
  <sheetData>
    <row r="1" spans="2:25" ht="15.75" thickBot="1" x14ac:dyDescent="0.3">
      <c r="U1" s="29" t="s">
        <v>58</v>
      </c>
    </row>
    <row r="2" spans="2:25" ht="15" thickBot="1" x14ac:dyDescent="0.35">
      <c r="B2" s="31" t="s">
        <v>71</v>
      </c>
      <c r="C2" s="33" t="s">
        <v>48</v>
      </c>
      <c r="D2" s="44"/>
      <c r="E2" s="34" t="s">
        <v>44</v>
      </c>
      <c r="F2" s="16"/>
      <c r="G2" s="34" t="s">
        <v>46</v>
      </c>
      <c r="I2" s="34" t="s">
        <v>45</v>
      </c>
      <c r="K2" s="17" t="s">
        <v>51</v>
      </c>
      <c r="L2" s="27" t="s">
        <v>52</v>
      </c>
      <c r="M2" s="18" t="s">
        <v>48</v>
      </c>
      <c r="N2" s="38" t="s">
        <v>47</v>
      </c>
      <c r="O2" s="18" t="s">
        <v>54</v>
      </c>
      <c r="P2" s="18" t="s">
        <v>55</v>
      </c>
      <c r="Q2" s="18" t="s">
        <v>57</v>
      </c>
      <c r="R2" s="37" t="s">
        <v>56</v>
      </c>
      <c r="S2" s="28" t="s">
        <v>62</v>
      </c>
      <c r="U2" s="30" t="s">
        <v>59</v>
      </c>
      <c r="V2" s="30" t="s">
        <v>60</v>
      </c>
      <c r="W2" s="26" t="s">
        <v>61</v>
      </c>
      <c r="X2" s="26" t="s">
        <v>63</v>
      </c>
      <c r="Y2" s="26" t="s">
        <v>65</v>
      </c>
    </row>
    <row r="3" spans="2:25" ht="15.75" thickBot="1" x14ac:dyDescent="0.3">
      <c r="B3" s="39">
        <v>30.6</v>
      </c>
      <c r="C3" s="41">
        <v>29</v>
      </c>
      <c r="D3" s="45"/>
      <c r="E3" s="51">
        <v>0.88</v>
      </c>
      <c r="F3" s="16"/>
      <c r="G3" s="42">
        <v>2200</v>
      </c>
      <c r="I3" s="42">
        <v>85</v>
      </c>
      <c r="K3" s="39">
        <v>3.3</v>
      </c>
      <c r="L3" s="40">
        <v>2.3199999999999998</v>
      </c>
      <c r="M3" s="40">
        <v>10</v>
      </c>
      <c r="N3" s="40">
        <v>1</v>
      </c>
      <c r="O3" s="40">
        <v>10</v>
      </c>
      <c r="P3" s="40">
        <v>3380</v>
      </c>
      <c r="Q3" s="50">
        <v>25</v>
      </c>
      <c r="R3" s="40">
        <v>49.9</v>
      </c>
      <c r="S3" s="41">
        <v>18.2</v>
      </c>
      <c r="U3" s="30">
        <v>-20</v>
      </c>
      <c r="V3">
        <f>$O$3*EXP($P$3/(U3+273.15)-$P$3/($Q$3+273.15))</f>
        <v>75.021689901877991</v>
      </c>
      <c r="W3">
        <f>V3*$R$3/(V3+$R$3)</f>
        <v>29.967432629547172</v>
      </c>
      <c r="X3">
        <f>IF(($L$3-W3*$K$3/($N$3+W3))/($S$3+W3*$N$3/($N$3+W3))&lt;0,0,IF(($L$3-W3*$K$3/($N$3+W3))/($S$3+W3*$N$3/($N$3+W3))&gt;$M$6*(1-$O$6),$M$6,($L$3-W3*$K$3/($N$3+W3))/($S$3+W3*$N$3/($N$3+W3))))</f>
        <v>0</v>
      </c>
      <c r="Y3">
        <f>($M$6-X3)*2000</f>
        <v>84.543125533731853</v>
      </c>
    </row>
    <row r="4" spans="2:25" ht="15.75" thickBot="1" x14ac:dyDescent="0.3">
      <c r="B4" s="19"/>
      <c r="C4" s="20"/>
      <c r="D4" s="20"/>
      <c r="E4" s="21"/>
      <c r="G4" s="24"/>
      <c r="I4" s="24"/>
      <c r="K4" s="19"/>
      <c r="L4" s="20"/>
      <c r="M4" s="20"/>
      <c r="N4" s="20"/>
      <c r="O4" s="20"/>
      <c r="P4" s="20"/>
      <c r="Q4" s="20"/>
      <c r="R4" s="20"/>
      <c r="S4" s="21"/>
      <c r="U4" s="30">
        <v>-19</v>
      </c>
      <c r="V4">
        <f t="shared" ref="V4:V67" si="0">$O$3*EXP($P$3/(U4+273.15)-$P$3/($Q$3+273.15))</f>
        <v>71.182163923732958</v>
      </c>
      <c r="W4">
        <f t="shared" ref="W4:W67" si="1">V4*$R$3/(V4+$R$3)</f>
        <v>29.335369179820706</v>
      </c>
      <c r="X4">
        <f t="shared" ref="X4:X67" si="2">IF(($L$3-W4*$K$3/($N$3+W4))/($S$3+W4*$N$3/($N$3+W4))&lt;0,0,IF(($L$3-W4*$K$3/($N$3+W4))/($S$3+W4*$N$3/($N$3+W4))&gt;$M$6*(1-$O$6),$M$6,($L$3-W4*$K$3/($N$3+W4))/($S$3+W4*$N$3/($N$3+W4))))</f>
        <v>0</v>
      </c>
      <c r="Y4">
        <f t="shared" ref="Y4:Y67" si="3">($M$6-X4)*2000</f>
        <v>84.543125533731853</v>
      </c>
    </row>
    <row r="5" spans="2:25" ht="15" thickBot="1" x14ac:dyDescent="0.35">
      <c r="B5" s="34" t="s">
        <v>47</v>
      </c>
      <c r="C5" s="34" t="s">
        <v>67</v>
      </c>
      <c r="D5" s="32" t="s">
        <v>69</v>
      </c>
      <c r="E5" s="36" t="s">
        <v>68</v>
      </c>
      <c r="G5" s="34" t="s">
        <v>49</v>
      </c>
      <c r="I5" s="35" t="s">
        <v>50</v>
      </c>
      <c r="K5" s="34" t="s">
        <v>53</v>
      </c>
      <c r="L5" s="20"/>
      <c r="M5" s="36" t="s">
        <v>64</v>
      </c>
      <c r="N5" s="20"/>
      <c r="O5" s="34" t="s">
        <v>66</v>
      </c>
      <c r="P5" s="20"/>
      <c r="Q5" s="20"/>
      <c r="R5" s="20"/>
      <c r="S5" s="21"/>
      <c r="U5" s="30">
        <v>-18</v>
      </c>
      <c r="V5">
        <f t="shared" si="0"/>
        <v>67.566958716772007</v>
      </c>
      <c r="W5">
        <f t="shared" si="1"/>
        <v>28.702464733902445</v>
      </c>
      <c r="X5">
        <f t="shared" si="2"/>
        <v>0</v>
      </c>
      <c r="Y5">
        <f t="shared" si="3"/>
        <v>84.543125533731853</v>
      </c>
    </row>
    <row r="6" spans="2:25" ht="15.75" thickBot="1" x14ac:dyDescent="0.3">
      <c r="B6" s="46">
        <f>(VBOOST-1.2)/(1.2/C3+E3*0.0387)</f>
        <v>389.73790742833324</v>
      </c>
      <c r="C6" s="47">
        <f>(1.2/C3+0.0387)*B6+1.2</f>
        <v>32.40994284209718</v>
      </c>
      <c r="D6" s="48">
        <f>(1.2/C3+E3*0.0387)*B6+1.2</f>
        <v>30.6</v>
      </c>
      <c r="E6" s="48">
        <f>(1.2/C3*B6+1.2)</f>
        <v>17.327085824620685</v>
      </c>
      <c r="G6" s="49">
        <f>67600/G3-6.4</f>
        <v>24.327272727272728</v>
      </c>
      <c r="I6" s="49">
        <f>2342/(I3-2.5)</f>
        <v>28.387878787878787</v>
      </c>
      <c r="K6" s="46">
        <f>L3*M3/(K3-L3)</f>
        <v>23.673469387755102</v>
      </c>
      <c r="L6" s="22"/>
      <c r="M6" s="25">
        <f>1.2/$I$6</f>
        <v>4.2271562766865924E-2</v>
      </c>
      <c r="N6" s="22"/>
      <c r="O6" s="43">
        <v>0.17499999999999999</v>
      </c>
      <c r="P6" s="22"/>
      <c r="Q6" s="22"/>
      <c r="R6" s="22"/>
      <c r="S6" s="23"/>
      <c r="U6" s="30">
        <v>-17</v>
      </c>
      <c r="V6">
        <f t="shared" si="0"/>
        <v>64.161469565679752</v>
      </c>
      <c r="W6">
        <f t="shared" si="1"/>
        <v>28.069578127641226</v>
      </c>
      <c r="X6">
        <f t="shared" si="2"/>
        <v>0</v>
      </c>
      <c r="Y6">
        <f t="shared" si="3"/>
        <v>84.543125533731853</v>
      </c>
    </row>
    <row r="7" spans="2:25" ht="15.75" thickBot="1" x14ac:dyDescent="0.3">
      <c r="U7" s="30">
        <v>-16</v>
      </c>
      <c r="V7">
        <f t="shared" si="0"/>
        <v>60.952134443976135</v>
      </c>
      <c r="W7">
        <f t="shared" si="1"/>
        <v>27.437554757157763</v>
      </c>
      <c r="X7">
        <f t="shared" si="2"/>
        <v>0</v>
      </c>
      <c r="Y7">
        <f t="shared" si="3"/>
        <v>84.543125533731853</v>
      </c>
    </row>
    <row r="8" spans="2:25" ht="15" thickBot="1" x14ac:dyDescent="0.35">
      <c r="B8" s="47" t="s">
        <v>72</v>
      </c>
      <c r="C8" s="32" t="s">
        <v>47</v>
      </c>
      <c r="D8" s="32" t="s">
        <v>48</v>
      </c>
      <c r="E8" s="33" t="s">
        <v>70</v>
      </c>
      <c r="U8" s="30">
        <v>-15</v>
      </c>
      <c r="V8">
        <f t="shared" si="0"/>
        <v>57.926353331959376</v>
      </c>
      <c r="W8">
        <f t="shared" si="1"/>
        <v>26.807222371379506</v>
      </c>
      <c r="X8">
        <f t="shared" si="2"/>
        <v>0</v>
      </c>
      <c r="Y8">
        <f t="shared" si="3"/>
        <v>84.543125533731853</v>
      </c>
    </row>
    <row r="9" spans="2:25" ht="15.75" thickBot="1" x14ac:dyDescent="0.3">
      <c r="B9" s="54"/>
      <c r="C9" s="40">
        <v>88.7</v>
      </c>
      <c r="D9" s="53">
        <v>6.65</v>
      </c>
      <c r="E9" s="41">
        <v>22.6</v>
      </c>
      <c r="U9" s="30">
        <v>-14</v>
      </c>
      <c r="V9">
        <f t="shared" si="0"/>
        <v>55.072414240847209</v>
      </c>
      <c r="W9">
        <f t="shared" si="1"/>
        <v>26.179387132252131</v>
      </c>
      <c r="X9">
        <f t="shared" si="2"/>
        <v>0</v>
      </c>
      <c r="Y9">
        <f t="shared" si="3"/>
        <v>84.543125533731853</v>
      </c>
    </row>
    <row r="10" spans="2:25" ht="15.75" thickBot="1" x14ac:dyDescent="0.3">
      <c r="B10" s="19"/>
      <c r="C10" s="20"/>
      <c r="D10" s="20"/>
      <c r="E10" s="21"/>
      <c r="U10" s="30">
        <v>-13</v>
      </c>
      <c r="V10">
        <f t="shared" si="0"/>
        <v>52.379425348588946</v>
      </c>
      <c r="W10">
        <f t="shared" si="1"/>
        <v>25.554829976668888</v>
      </c>
      <c r="X10">
        <f t="shared" si="2"/>
        <v>0</v>
      </c>
      <c r="Y10">
        <f t="shared" si="3"/>
        <v>84.543125533731853</v>
      </c>
    </row>
    <row r="11" spans="2:25" ht="15.75" thickBot="1" x14ac:dyDescent="0.3">
      <c r="B11" s="34"/>
      <c r="C11" s="34" t="s">
        <v>67</v>
      </c>
      <c r="D11" s="32" t="s">
        <v>69</v>
      </c>
      <c r="E11" s="36" t="s">
        <v>68</v>
      </c>
      <c r="U11" s="30">
        <v>-12</v>
      </c>
      <c r="V11">
        <f t="shared" si="0"/>
        <v>49.837252708710515</v>
      </c>
      <c r="W11">
        <f t="shared" si="1"/>
        <v>24.934303308190724</v>
      </c>
      <c r="X11">
        <f t="shared" si="2"/>
        <v>0</v>
      </c>
      <c r="Y11">
        <f t="shared" si="3"/>
        <v>84.543125533731853</v>
      </c>
    </row>
    <row r="12" spans="2:25" ht="15.75" thickBot="1" x14ac:dyDescent="0.3">
      <c r="B12" s="52"/>
      <c r="C12" s="47">
        <f>(1.2+0.0387*$E$9)*$C$9/$D$9+0.0387*$C$9+0.0387*$E$9+1.21</f>
        <v>33.189309097744356</v>
      </c>
      <c r="D12" s="47">
        <f>(1.2+$E$3*0.0387*$E$9)*$C$9/$D$9+$E$3*0.0387*$C$9+$E$3*0.0387*$E$9+1.21</f>
        <v>31.272513810526316</v>
      </c>
      <c r="E12" s="47">
        <f>(1.2+0*$E$9)*$C$9/$D$9+0*$C$9+0*$E$9+1.21</f>
        <v>17.216015037593984</v>
      </c>
      <c r="F12" s="26"/>
      <c r="U12" s="30">
        <v>-11</v>
      </c>
      <c r="V12">
        <f t="shared" si="0"/>
        <v>47.43646304390785</v>
      </c>
      <c r="W12">
        <f t="shared" si="1"/>
        <v>24.318528040444896</v>
      </c>
      <c r="X12">
        <f t="shared" si="2"/>
        <v>0</v>
      </c>
      <c r="Y12">
        <f t="shared" si="3"/>
        <v>84.543125533731853</v>
      </c>
    </row>
    <row r="13" spans="2:25" ht="15" x14ac:dyDescent="0.25">
      <c r="B13" s="26"/>
      <c r="C13" s="26"/>
      <c r="D13" s="26"/>
      <c r="E13" s="26"/>
      <c r="U13" s="30">
        <v>-10</v>
      </c>
      <c r="V13">
        <f t="shared" si="0"/>
        <v>45.168271181476321</v>
      </c>
      <c r="W13">
        <f t="shared" si="1"/>
        <v>23.708191007841016</v>
      </c>
      <c r="X13">
        <f t="shared" si="2"/>
        <v>0</v>
      </c>
      <c r="Y13">
        <f t="shared" si="3"/>
        <v>84.543125533731853</v>
      </c>
    </row>
    <row r="14" spans="2:25" ht="15" x14ac:dyDescent="0.25">
      <c r="U14" s="30">
        <v>-9</v>
      </c>
      <c r="V14">
        <f t="shared" si="0"/>
        <v>43.024491728599195</v>
      </c>
      <c r="W14">
        <f t="shared" si="1"/>
        <v>23.103942753085249</v>
      </c>
      <c r="X14">
        <f t="shared" si="2"/>
        <v>0</v>
      </c>
      <c r="Y14">
        <f t="shared" si="3"/>
        <v>84.543125533731853</v>
      </c>
    </row>
    <row r="15" spans="2:25" x14ac:dyDescent="0.3">
      <c r="U15" s="30">
        <v>-8</v>
      </c>
      <c r="V15">
        <f t="shared" si="0"/>
        <v>40.997494622447917</v>
      </c>
      <c r="W15">
        <f t="shared" si="1"/>
        <v>22.506395695035245</v>
      </c>
      <c r="X15">
        <f t="shared" si="2"/>
        <v>0</v>
      </c>
      <c r="Y15">
        <f t="shared" si="3"/>
        <v>84.543125533731853</v>
      </c>
    </row>
    <row r="16" spans="2:25" x14ac:dyDescent="0.3">
      <c r="U16" s="30">
        <v>-7</v>
      </c>
      <c r="V16">
        <f t="shared" si="0"/>
        <v>39.080164223402704</v>
      </c>
      <c r="W16">
        <f t="shared" si="1"/>
        <v>21.91612267484328</v>
      </c>
      <c r="X16">
        <f t="shared" si="2"/>
        <v>0</v>
      </c>
      <c r="Y16">
        <f t="shared" si="3"/>
        <v>84.543125533731853</v>
      </c>
    </row>
    <row r="17" spans="21:25" x14ac:dyDescent="0.3">
      <c r="U17" s="30">
        <v>-6</v>
      </c>
      <c r="V17">
        <f t="shared" si="0"/>
        <v>37.265861649833582</v>
      </c>
      <c r="W17">
        <f t="shared" si="1"/>
        <v>21.333655873179179</v>
      </c>
      <c r="X17">
        <f t="shared" si="2"/>
        <v>0</v>
      </c>
      <c r="Y17">
        <f t="shared" si="3"/>
        <v>84.543125533731853</v>
      </c>
    </row>
    <row r="18" spans="21:25" x14ac:dyDescent="0.3">
      <c r="U18" s="30">
        <v>-5</v>
      </c>
      <c r="V18">
        <f t="shared" si="0"/>
        <v>35.548390080127447</v>
      </c>
      <c r="W18">
        <f t="shared" si="1"/>
        <v>20.75948608668876</v>
      </c>
      <c r="X18">
        <f t="shared" si="2"/>
        <v>0</v>
      </c>
      <c r="Y18">
        <f t="shared" si="3"/>
        <v>84.543125533731853</v>
      </c>
    </row>
    <row r="19" spans="21:25" x14ac:dyDescent="0.3">
      <c r="U19" s="30">
        <v>-4</v>
      </c>
      <c r="V19">
        <f t="shared" si="0"/>
        <v>33.921962772287223</v>
      </c>
      <c r="W19">
        <f t="shared" si="1"/>
        <v>20.194062347783223</v>
      </c>
      <c r="X19">
        <f t="shared" si="2"/>
        <v>0</v>
      </c>
      <c r="Y19">
        <f t="shared" si="3"/>
        <v>84.543125533731853</v>
      </c>
    </row>
    <row r="20" spans="21:25" x14ac:dyDescent="0.3">
      <c r="U20" s="30">
        <v>-3</v>
      </c>
      <c r="V20">
        <f t="shared" si="0"/>
        <v>32.381173573736888</v>
      </c>
      <c r="W20">
        <f t="shared" si="1"/>
        <v>19.63779186840889</v>
      </c>
      <c r="X20">
        <f t="shared" si="2"/>
        <v>0</v>
      </c>
      <c r="Y20">
        <f t="shared" si="3"/>
        <v>84.543125533731853</v>
      </c>
    </row>
    <row r="21" spans="21:25" x14ac:dyDescent="0.3">
      <c r="U21" s="30">
        <v>-2</v>
      </c>
      <c r="V21">
        <f t="shared" si="0"/>
        <v>30.920969714164279</v>
      </c>
      <c r="W21">
        <f t="shared" si="1"/>
        <v>19.091040285630061</v>
      </c>
      <c r="X21">
        <f t="shared" si="2"/>
        <v>0</v>
      </c>
      <c r="Y21">
        <f t="shared" si="3"/>
        <v>84.543125533731853</v>
      </c>
    </row>
    <row r="22" spans="21:25" x14ac:dyDescent="0.3">
      <c r="U22" s="30">
        <v>-1</v>
      </c>
      <c r="V22">
        <f t="shared" si="0"/>
        <v>29.536626692537045</v>
      </c>
      <c r="W22">
        <f t="shared" si="1"/>
        <v>18.554132184669758</v>
      </c>
      <c r="X22">
        <f t="shared" si="2"/>
        <v>0</v>
      </c>
      <c r="Y22">
        <f t="shared" si="3"/>
        <v>84.543125533731853</v>
      </c>
    </row>
    <row r="23" spans="21:25" x14ac:dyDescent="0.3">
      <c r="U23" s="30">
        <v>0</v>
      </c>
      <c r="V23">
        <f t="shared" si="0"/>
        <v>28.223725086022139</v>
      </c>
      <c r="W23">
        <f t="shared" si="1"/>
        <v>18.027351873477016</v>
      </c>
      <c r="X23">
        <f t="shared" si="2"/>
        <v>0</v>
      </c>
      <c r="Y23">
        <f t="shared" si="3"/>
        <v>84.543125533731853</v>
      </c>
    </row>
    <row r="24" spans="21:25" x14ac:dyDescent="0.3">
      <c r="U24" s="30">
        <v>1</v>
      </c>
      <c r="V24">
        <f t="shared" si="0"/>
        <v>26.978129123593781</v>
      </c>
      <c r="W24">
        <f t="shared" si="1"/>
        <v>17.510944381894181</v>
      </c>
      <c r="X24">
        <f t="shared" si="2"/>
        <v>0</v>
      </c>
      <c r="Y24">
        <f t="shared" si="3"/>
        <v>84.543125533731853</v>
      </c>
    </row>
    <row r="25" spans="21:25" x14ac:dyDescent="0.3">
      <c r="U25" s="30">
        <v>2</v>
      </c>
      <c r="V25">
        <f t="shared" si="0"/>
        <v>25.79596688077617</v>
      </c>
      <c r="W25">
        <f t="shared" si="1"/>
        <v>17.005116658039999</v>
      </c>
      <c r="X25">
        <f t="shared" si="2"/>
        <v>0</v>
      </c>
      <c r="Y25">
        <f t="shared" si="3"/>
        <v>84.543125533731853</v>
      </c>
    </row>
    <row r="26" spans="21:25" x14ac:dyDescent="0.3">
      <c r="U26" s="30">
        <v>3</v>
      </c>
      <c r="V26">
        <f t="shared" si="0"/>
        <v>24.673611964377187</v>
      </c>
      <c r="W26">
        <f t="shared" si="1"/>
        <v>16.510038934557116</v>
      </c>
      <c r="X26">
        <f t="shared" si="2"/>
        <v>0</v>
      </c>
      <c r="Y26">
        <f t="shared" si="3"/>
        <v>84.543125533731853</v>
      </c>
    </row>
    <row r="27" spans="21:25" x14ac:dyDescent="0.3">
      <c r="U27" s="30">
        <v>4</v>
      </c>
      <c r="V27">
        <f t="shared" si="0"/>
        <v>23.607666567342754</v>
      </c>
      <c r="W27">
        <f t="shared" si="1"/>
        <v>16.025846237836685</v>
      </c>
      <c r="X27">
        <f t="shared" si="2"/>
        <v>0</v>
      </c>
      <c r="Y27">
        <f t="shared" si="3"/>
        <v>84.543125533731853</v>
      </c>
    </row>
    <row r="28" spans="21:25" x14ac:dyDescent="0.3">
      <c r="U28" s="30">
        <v>5</v>
      </c>
      <c r="V28">
        <f t="shared" si="0"/>
        <v>22.594945784110799</v>
      </c>
      <c r="W28">
        <f t="shared" si="1"/>
        <v>15.552640014171137</v>
      </c>
      <c r="X28">
        <f t="shared" si="2"/>
        <v>0</v>
      </c>
      <c r="Y28">
        <f t="shared" si="3"/>
        <v>84.543125533731853</v>
      </c>
    </row>
    <row r="29" spans="21:25" x14ac:dyDescent="0.3">
      <c r="U29" s="30">
        <v>6</v>
      </c>
      <c r="V29">
        <f t="shared" si="0"/>
        <v>21.632463086167142</v>
      </c>
      <c r="W29">
        <f t="shared" si="1"/>
        <v>15.090489847937096</v>
      </c>
      <c r="X29">
        <f t="shared" si="2"/>
        <v>0</v>
      </c>
      <c r="Y29">
        <f t="shared" si="3"/>
        <v>84.543125533731853</v>
      </c>
    </row>
    <row r="30" spans="21:25" x14ac:dyDescent="0.3">
      <c r="U30" s="30">
        <v>7</v>
      </c>
      <c r="V30">
        <f t="shared" si="0"/>
        <v>20.717416865989073</v>
      </c>
      <c r="W30">
        <f t="shared" si="1"/>
        <v>14.639435248314152</v>
      </c>
      <c r="X30">
        <f t="shared" si="2"/>
        <v>0</v>
      </c>
      <c r="Y30">
        <f t="shared" si="3"/>
        <v>84.543125533731853</v>
      </c>
    </row>
    <row r="31" spans="21:25" x14ac:dyDescent="0.3">
      <c r="U31" s="30">
        <v>8</v>
      </c>
      <c r="V31">
        <f t="shared" si="0"/>
        <v>19.847177965288573</v>
      </c>
      <c r="W31">
        <f t="shared" si="1"/>
        <v>14.199487482644592</v>
      </c>
      <c r="X31">
        <f t="shared" si="2"/>
        <v>0</v>
      </c>
      <c r="Y31">
        <f t="shared" si="3"/>
        <v>84.543125533731853</v>
      </c>
    </row>
    <row r="32" spans="21:25" x14ac:dyDescent="0.3">
      <c r="U32" s="30">
        <v>9</v>
      </c>
      <c r="V32">
        <f t="shared" si="0"/>
        <v>19.019278110503876</v>
      </c>
      <c r="W32">
        <f t="shared" si="1"/>
        <v>13.770631436278761</v>
      </c>
      <c r="X32">
        <f t="shared" si="2"/>
        <v>0</v>
      </c>
      <c r="Y32">
        <f t="shared" si="3"/>
        <v>84.543125533731853</v>
      </c>
    </row>
    <row r="33" spans="21:25" x14ac:dyDescent="0.3">
      <c r="U33" s="30">
        <v>10</v>
      </c>
      <c r="V33">
        <f t="shared" si="0"/>
        <v>18.231399184902834</v>
      </c>
      <c r="W33">
        <f t="shared" si="1"/>
        <v>13.352827480581688</v>
      </c>
      <c r="X33">
        <f t="shared" si="2"/>
        <v>0</v>
      </c>
      <c r="Y33">
        <f t="shared" si="3"/>
        <v>84.543125533731853</v>
      </c>
    </row>
    <row r="34" spans="21:25" x14ac:dyDescent="0.3">
      <c r="U34" s="30">
        <v>11</v>
      </c>
      <c r="V34">
        <f t="shared" si="0"/>
        <v>17.481363272511569</v>
      </c>
      <c r="W34">
        <f t="shared" si="1"/>
        <v>12.94601333265385</v>
      </c>
      <c r="X34">
        <f t="shared" si="2"/>
        <v>0</v>
      </c>
      <c r="Y34">
        <f t="shared" si="3"/>
        <v>84.543125533731853</v>
      </c>
    </row>
    <row r="35" spans="21:25" x14ac:dyDescent="0.3">
      <c r="U35" s="30">
        <v>12</v>
      </c>
      <c r="V35">
        <f t="shared" si="0"/>
        <v>16.767123414418112</v>
      </c>
      <c r="W35">
        <f t="shared" si="1"/>
        <v>12.550105892202255</v>
      </c>
      <c r="X35">
        <f t="shared" si="2"/>
        <v>0</v>
      </c>
      <c r="Y35">
        <f t="shared" si="3"/>
        <v>84.543125533731853</v>
      </c>
    </row>
    <row r="36" spans="21:25" x14ac:dyDescent="0.3">
      <c r="U36" s="30">
        <v>13</v>
      </c>
      <c r="V36">
        <f t="shared" si="0"/>
        <v>16.086755022872808</v>
      </c>
      <c r="W36">
        <f t="shared" si="1"/>
        <v>12.165003042854664</v>
      </c>
      <c r="X36">
        <f t="shared" si="2"/>
        <v>0</v>
      </c>
      <c r="Y36">
        <f t="shared" si="3"/>
        <v>84.543125533731853</v>
      </c>
    </row>
    <row r="37" spans="21:25" x14ac:dyDescent="0.3">
      <c r="U37" s="30">
        <v>14</v>
      </c>
      <c r="V37">
        <f t="shared" si="0"/>
        <v>15.438447903056725</v>
      </c>
      <c r="W37">
        <f t="shared" si="1"/>
        <v>11.790585407011022</v>
      </c>
      <c r="X37">
        <f t="shared" si="2"/>
        <v>0</v>
      </c>
      <c r="Y37">
        <f t="shared" si="3"/>
        <v>84.543125533731853</v>
      </c>
    </row>
    <row r="38" spans="21:25" x14ac:dyDescent="0.3">
      <c r="U38" s="30">
        <v>15</v>
      </c>
      <c r="V38">
        <f t="shared" si="0"/>
        <v>14.82049883645381</v>
      </c>
      <c r="W38">
        <f t="shared" si="1"/>
        <v>11.426718045048467</v>
      </c>
      <c r="X38">
        <f t="shared" si="2"/>
        <v>0</v>
      </c>
      <c r="Y38">
        <f t="shared" si="3"/>
        <v>84.543125533731853</v>
      </c>
    </row>
    <row r="39" spans="21:25" x14ac:dyDescent="0.3">
      <c r="U39" s="30">
        <v>16</v>
      </c>
      <c r="V39">
        <f t="shared" si="0"/>
        <v>14.231304683479706</v>
      </c>
      <c r="W39">
        <f t="shared" si="1"/>
        <v>11.073252091323361</v>
      </c>
      <c r="X39">
        <f t="shared" si="2"/>
        <v>0</v>
      </c>
      <c r="Y39">
        <f t="shared" si="3"/>
        <v>84.543125533731853</v>
      </c>
    </row>
    <row r="40" spans="21:25" x14ac:dyDescent="0.3">
      <c r="U40" s="30">
        <v>17</v>
      </c>
      <c r="V40">
        <f t="shared" si="0"/>
        <v>13.669355966418216</v>
      </c>
      <c r="W40">
        <f t="shared" si="1"/>
        <v>10.730026320930518</v>
      </c>
      <c r="X40">
        <f t="shared" si="2"/>
        <v>0</v>
      </c>
      <c r="Y40">
        <f t="shared" si="3"/>
        <v>84.543125533731853</v>
      </c>
    </row>
    <row r="41" spans="21:25" x14ac:dyDescent="0.3">
      <c r="U41" s="30">
        <v>18</v>
      </c>
      <c r="V41">
        <f t="shared" si="0"/>
        <v>13.133230896827301</v>
      </c>
      <c r="W41">
        <f t="shared" si="1"/>
        <v>10.396868642579268</v>
      </c>
      <c r="X41">
        <f t="shared" si="2"/>
        <v>0</v>
      </c>
      <c r="Y41">
        <f t="shared" si="3"/>
        <v>84.543125533731853</v>
      </c>
    </row>
    <row r="42" spans="21:25" x14ac:dyDescent="0.3">
      <c r="U42" s="30">
        <v>19</v>
      </c>
      <c r="V42">
        <f t="shared" si="0"/>
        <v>12.621589814422343</v>
      </c>
      <c r="W42">
        <f t="shared" si="1"/>
        <v>10.073597514220442</v>
      </c>
      <c r="X42">
        <f t="shared" si="2"/>
        <v>0</v>
      </c>
      <c r="Y42">
        <f t="shared" si="3"/>
        <v>84.543125533731853</v>
      </c>
    </row>
    <row r="43" spans="21:25" x14ac:dyDescent="0.3">
      <c r="U43" s="30">
        <v>20</v>
      </c>
      <c r="V43">
        <f t="shared" si="0"/>
        <v>12.133170007053389</v>
      </c>
      <c r="W43">
        <f t="shared" si="1"/>
        <v>9.7600232792088946</v>
      </c>
      <c r="X43">
        <f t="shared" si="2"/>
        <v>0</v>
      </c>
      <c r="Y43">
        <f t="shared" si="3"/>
        <v>84.543125533731853</v>
      </c>
    </row>
    <row r="44" spans="21:25" x14ac:dyDescent="0.3">
      <c r="U44" s="30">
        <v>21</v>
      </c>
      <c r="V44">
        <f t="shared" si="0"/>
        <v>11.66678088378108</v>
      </c>
      <c r="W44">
        <f t="shared" si="1"/>
        <v>9.4559494218097271</v>
      </c>
      <c r="X44">
        <f t="shared" si="2"/>
        <v>0</v>
      </c>
      <c r="Y44">
        <f t="shared" si="3"/>
        <v>84.543125533731853</v>
      </c>
    </row>
    <row r="45" spans="21:25" x14ac:dyDescent="0.3">
      <c r="U45" s="30">
        <v>22</v>
      </c>
      <c r="V45">
        <f t="shared" si="0"/>
        <v>11.221299475246839</v>
      </c>
      <c r="W45">
        <f t="shared" si="1"/>
        <v>9.1611737417589634</v>
      </c>
      <c r="X45">
        <f t="shared" si="2"/>
        <v>0</v>
      </c>
      <c r="Y45">
        <f t="shared" si="3"/>
        <v>84.543125533731853</v>
      </c>
    </row>
    <row r="46" spans="21:25" x14ac:dyDescent="0.3">
      <c r="U46" s="30">
        <v>23</v>
      </c>
      <c r="V46">
        <f t="shared" si="0"/>
        <v>10.795666237541603</v>
      </c>
      <c r="W46">
        <f t="shared" si="1"/>
        <v>8.8754894483739264</v>
      </c>
      <c r="X46">
        <f t="shared" si="2"/>
        <v>0</v>
      </c>
      <c r="Y46">
        <f t="shared" si="3"/>
        <v>84.543125533731853</v>
      </c>
    </row>
    <row r="47" spans="21:25" x14ac:dyDescent="0.3">
      <c r="U47" s="30">
        <v>24</v>
      </c>
      <c r="V47">
        <f t="shared" si="0"/>
        <v>10.388881137620128</v>
      </c>
      <c r="W47">
        <f t="shared" si="1"/>
        <v>8.5986861753810313</v>
      </c>
      <c r="X47">
        <f t="shared" si="2"/>
        <v>0</v>
      </c>
      <c r="Y47">
        <f t="shared" si="3"/>
        <v>84.543125533731853</v>
      </c>
    </row>
    <row r="48" spans="21:25" x14ac:dyDescent="0.3">
      <c r="U48" s="30">
        <v>25</v>
      </c>
      <c r="V48">
        <f t="shared" si="0"/>
        <v>10</v>
      </c>
      <c r="W48">
        <f t="shared" si="1"/>
        <v>8.3305509181969946</v>
      </c>
      <c r="X48">
        <f t="shared" si="2"/>
        <v>0</v>
      </c>
      <c r="Y48">
        <f t="shared" si="3"/>
        <v>84.543125533731853</v>
      </c>
    </row>
    <row r="49" spans="21:25" x14ac:dyDescent="0.3">
      <c r="U49" s="30">
        <v>26</v>
      </c>
      <c r="V49">
        <f t="shared" si="0"/>
        <v>9.6281310960376683</v>
      </c>
      <c r="W49">
        <f t="shared" si="1"/>
        <v>8.0708688958699568</v>
      </c>
      <c r="X49">
        <f t="shared" si="2"/>
        <v>0</v>
      </c>
      <c r="Y49">
        <f t="shared" si="3"/>
        <v>84.543125533731853</v>
      </c>
    </row>
    <row r="50" spans="21:25" x14ac:dyDescent="0.3">
      <c r="U50" s="30">
        <v>27</v>
      </c>
      <c r="V50">
        <f t="shared" si="0"/>
        <v>9.2724319585019899</v>
      </c>
      <c r="W50">
        <f t="shared" si="1"/>
        <v>7.8194243402694656</v>
      </c>
      <c r="X50">
        <f t="shared" si="2"/>
        <v>0</v>
      </c>
      <c r="Y50">
        <f t="shared" si="3"/>
        <v>84.543125533731853</v>
      </c>
    </row>
    <row r="51" spans="21:25" x14ac:dyDescent="0.3">
      <c r="U51" s="30">
        <v>28</v>
      </c>
      <c r="V51">
        <f t="shared" si="0"/>
        <v>8.9321064054765245</v>
      </c>
      <c r="W51">
        <f t="shared" si="1"/>
        <v>7.5760012154143848</v>
      </c>
      <c r="X51">
        <f t="shared" si="2"/>
        <v>0</v>
      </c>
      <c r="Y51">
        <f t="shared" si="3"/>
        <v>84.543125533731853</v>
      </c>
    </row>
    <row r="52" spans="21:25" x14ac:dyDescent="0.3">
      <c r="U52" s="30">
        <v>29</v>
      </c>
      <c r="V52">
        <f t="shared" si="0"/>
        <v>8.6064017588294135</v>
      </c>
      <c r="W52">
        <f t="shared" si="1"/>
        <v>7.3403838700570301</v>
      </c>
      <c r="X52">
        <f t="shared" si="2"/>
        <v>0</v>
      </c>
      <c r="Y52">
        <f t="shared" si="3"/>
        <v>84.543125533731853</v>
      </c>
    </row>
    <row r="53" spans="21:25" x14ac:dyDescent="0.3">
      <c r="U53" s="30">
        <v>30</v>
      </c>
      <c r="V53">
        <f t="shared" si="0"/>
        <v>8.2946062435985297</v>
      </c>
      <c r="W53">
        <f t="shared" si="1"/>
        <v>7.1123576268049105</v>
      </c>
      <c r="X53">
        <f t="shared" si="2"/>
        <v>0</v>
      </c>
      <c r="Y53">
        <f t="shared" si="3"/>
        <v>84.543125533731853</v>
      </c>
    </row>
    <row r="54" spans="21:25" x14ac:dyDescent="0.3">
      <c r="U54" s="30">
        <v>31</v>
      </c>
      <c r="V54">
        <f t="shared" si="0"/>
        <v>7.9960465556611329</v>
      </c>
      <c r="W54">
        <f t="shared" si="1"/>
        <v>6.8917093111684267</v>
      </c>
      <c r="X54">
        <f t="shared" si="2"/>
        <v>0</v>
      </c>
      <c r="Y54">
        <f t="shared" si="3"/>
        <v>84.543125533731853</v>
      </c>
    </row>
    <row r="55" spans="21:25" x14ac:dyDescent="0.3">
      <c r="U55" s="30">
        <v>32</v>
      </c>
      <c r="V55">
        <f t="shared" si="0"/>
        <v>7.7100855859978781</v>
      </c>
      <c r="W55">
        <f t="shared" si="1"/>
        <v>6.6782277239803909</v>
      </c>
      <c r="X55">
        <f t="shared" si="2"/>
        <v>0</v>
      </c>
      <c r="Y55">
        <f t="shared" si="3"/>
        <v>84.543125533731853</v>
      </c>
    </row>
    <row r="56" spans="21:25" x14ac:dyDescent="0.3">
      <c r="U56" s="30">
        <v>33</v>
      </c>
      <c r="V56">
        <f t="shared" si="0"/>
        <v>7.4361202907263273</v>
      </c>
      <c r="W56">
        <f t="shared" si="1"/>
        <v>6.4717040606470926</v>
      </c>
      <c r="X56">
        <f t="shared" si="2"/>
        <v>0</v>
      </c>
      <c r="Y56">
        <f t="shared" si="3"/>
        <v>84.543125533731853</v>
      </c>
    </row>
    <row r="57" spans="21:25" x14ac:dyDescent="0.3">
      <c r="U57" s="30">
        <v>34</v>
      </c>
      <c r="V57">
        <f t="shared" si="0"/>
        <v>7.1735796968779226</v>
      </c>
      <c r="W57">
        <f t="shared" si="1"/>
        <v>6.2719322806694358</v>
      </c>
      <c r="X57">
        <f t="shared" si="2"/>
        <v>0</v>
      </c>
      <c r="Y57">
        <f t="shared" si="3"/>
        <v>84.543125533731853</v>
      </c>
    </row>
    <row r="58" spans="21:25" x14ac:dyDescent="0.3">
      <c r="U58" s="30">
        <v>35</v>
      </c>
      <c r="V58">
        <f t="shared" si="0"/>
        <v>6.9219230346274578</v>
      </c>
      <c r="W58">
        <f t="shared" si="1"/>
        <v>6.0787094308198597</v>
      </c>
      <c r="X58">
        <f t="shared" si="2"/>
        <v>0</v>
      </c>
      <c r="Y58">
        <f t="shared" si="3"/>
        <v>84.543125533731853</v>
      </c>
    </row>
    <row r="59" spans="21:25" x14ac:dyDescent="0.3">
      <c r="U59" s="30">
        <v>36</v>
      </c>
      <c r="V59">
        <f t="shared" si="0"/>
        <v>6.6806379873624921</v>
      </c>
      <c r="W59">
        <f t="shared" si="1"/>
        <v>5.8918359252832477</v>
      </c>
      <c r="X59">
        <f t="shared" si="2"/>
        <v>0</v>
      </c>
      <c r="Y59">
        <f t="shared" si="3"/>
        <v>84.543125533731853</v>
      </c>
    </row>
    <row r="60" spans="21:25" x14ac:dyDescent="0.3">
      <c r="U60" s="30">
        <v>37</v>
      </c>
      <c r="V60">
        <f t="shared" si="0"/>
        <v>6.4492390516063525</v>
      </c>
      <c r="W60">
        <f t="shared" si="1"/>
        <v>5.7111157859723196</v>
      </c>
      <c r="X60">
        <f t="shared" si="2"/>
        <v>0</v>
      </c>
      <c r="Y60">
        <f t="shared" si="3"/>
        <v>84.543125533731853</v>
      </c>
    </row>
    <row r="61" spans="21:25" x14ac:dyDescent="0.3">
      <c r="U61" s="30">
        <v>38</v>
      </c>
      <c r="V61">
        <f t="shared" si="0"/>
        <v>6.2272659993852155</v>
      </c>
      <c r="W61">
        <f t="shared" si="1"/>
        <v>5.5363568461133648</v>
      </c>
      <c r="X61">
        <f t="shared" si="2"/>
        <v>0</v>
      </c>
      <c r="Y61">
        <f t="shared" si="3"/>
        <v>84.543125533731853</v>
      </c>
    </row>
    <row r="62" spans="21:25" x14ac:dyDescent="0.3">
      <c r="U62" s="30">
        <v>39</v>
      </c>
      <c r="V62">
        <f t="shared" si="0"/>
        <v>6.0142824361639144</v>
      </c>
      <c r="W62">
        <f t="shared" si="1"/>
        <v>5.3673709200723678</v>
      </c>
      <c r="X62">
        <f t="shared" si="2"/>
        <v>0</v>
      </c>
      <c r="Y62">
        <f t="shared" si="3"/>
        <v>84.543125533731853</v>
      </c>
    </row>
    <row r="63" spans="21:25" x14ac:dyDescent="0.3">
      <c r="U63" s="30">
        <v>40</v>
      </c>
      <c r="V63">
        <f t="shared" si="0"/>
        <v>5.8098744479667586</v>
      </c>
      <c r="W63">
        <f t="shared" si="1"/>
        <v>5.2039739422554412</v>
      </c>
      <c r="X63">
        <f t="shared" si="2"/>
        <v>0</v>
      </c>
      <c r="Y63">
        <f t="shared" si="3"/>
        <v>84.543125533731853</v>
      </c>
    </row>
    <row r="64" spans="21:25" x14ac:dyDescent="0.3">
      <c r="U64" s="30">
        <v>41</v>
      </c>
      <c r="V64">
        <f t="shared" si="0"/>
        <v>5.6136493317553002</v>
      </c>
      <c r="W64">
        <f t="shared" si="1"/>
        <v>5.0459860777762398</v>
      </c>
      <c r="X64">
        <f t="shared" si="2"/>
        <v>0</v>
      </c>
      <c r="Y64">
        <f t="shared" si="3"/>
        <v>84.543125533731853</v>
      </c>
    </row>
    <row r="65" spans="21:25" x14ac:dyDescent="0.3">
      <c r="U65" s="30">
        <v>42</v>
      </c>
      <c r="V65">
        <f t="shared" si="0"/>
        <v>5.4252344035555256</v>
      </c>
      <c r="W65">
        <f t="shared" si="1"/>
        <v>4.8932318074376324</v>
      </c>
      <c r="X65">
        <f t="shared" si="2"/>
        <v>0</v>
      </c>
      <c r="Y65">
        <f t="shared" si="3"/>
        <v>84.543125533731853</v>
      </c>
    </row>
    <row r="66" spans="21:25" x14ac:dyDescent="0.3">
      <c r="U66" s="30">
        <v>43</v>
      </c>
      <c r="V66">
        <f t="shared" si="0"/>
        <v>5.2442758792156186</v>
      </c>
      <c r="W66">
        <f t="shared" si="1"/>
        <v>4.7455399894278507</v>
      </c>
      <c r="X66">
        <f t="shared" si="2"/>
        <v>0</v>
      </c>
      <c r="Y66">
        <f t="shared" si="3"/>
        <v>84.543125533731853</v>
      </c>
    </row>
    <row r="67" spans="21:25" x14ac:dyDescent="0.3">
      <c r="U67" s="30">
        <v>44</v>
      </c>
      <c r="V67">
        <f t="shared" si="0"/>
        <v>5.0704378230357072</v>
      </c>
      <c r="W67">
        <f t="shared" si="1"/>
        <v>4.6027438999849899</v>
      </c>
      <c r="X67">
        <f t="shared" si="2"/>
        <v>0</v>
      </c>
      <c r="Y67">
        <f t="shared" si="3"/>
        <v>84.543125533731853</v>
      </c>
    </row>
    <row r="68" spans="21:25" x14ac:dyDescent="0.3">
      <c r="U68" s="30">
        <v>45</v>
      </c>
      <c r="V68">
        <f t="shared" ref="V68:V131" si="4">$O$3*EXP($P$3/(U68+273.15)-$P$3/($Q$3+273.15))</f>
        <v>4.903401159843523</v>
      </c>
      <c r="W68">
        <f t="shared" ref="W68:W131" si="5">V68*$R$3/(V68+$R$3)</f>
        <v>4.4646812551385526</v>
      </c>
      <c r="X68">
        <f t="shared" ref="X68:X131" si="6">IF(($L$3-W68*$K$3/($N$3+W68))/($S$3+W68*$N$3/($N$3+W68))&lt;0,0,IF(($L$3-W68*$K$3/($N$3+W68))/($S$3+W68*$N$3/($N$3+W68))&gt;$M$6*(1-$O$6),$M$6,($L$3-W68*$K$3/($N$3+W68))/($S$3+W68*$N$3/($N$3+W68))))</f>
        <v>0</v>
      </c>
      <c r="Y68">
        <f t="shared" ref="Y68:Y131" si="7">($M$6-X68)*2000</f>
        <v>84.543125533731853</v>
      </c>
    </row>
    <row r="69" spans="21:25" x14ac:dyDescent="0.3">
      <c r="U69" s="30">
        <v>46</v>
      </c>
      <c r="V69">
        <f t="shared" si="4"/>
        <v>4.7428627463983926</v>
      </c>
      <c r="W69">
        <f t="shared" si="5"/>
        <v>4.3311942154948504</v>
      </c>
      <c r="X69">
        <f t="shared" si="6"/>
        <v>0</v>
      </c>
      <c r="Y69">
        <f t="shared" si="7"/>
        <v>84.543125533731853</v>
      </c>
    </row>
    <row r="70" spans="21:25" x14ac:dyDescent="0.3">
      <c r="U70" s="30">
        <v>47</v>
      </c>
      <c r="V70">
        <f t="shared" si="4"/>
        <v>4.5885344982913141</v>
      </c>
      <c r="W70">
        <f t="shared" si="5"/>
        <v>4.2021293758949723</v>
      </c>
      <c r="X70">
        <f t="shared" si="6"/>
        <v>0</v>
      </c>
      <c r="Y70">
        <f t="shared" si="7"/>
        <v>84.543125533731853</v>
      </c>
    </row>
    <row r="71" spans="21:25" x14ac:dyDescent="0.3">
      <c r="U71" s="30">
        <v>48</v>
      </c>
      <c r="V71">
        <f t="shared" si="4"/>
        <v>4.4401425687732603</v>
      </c>
      <c r="W71">
        <f t="shared" si="5"/>
        <v>4.077337741640517</v>
      </c>
      <c r="X71">
        <f t="shared" si="6"/>
        <v>0</v>
      </c>
      <c r="Y71">
        <f t="shared" si="7"/>
        <v>84.543125533731853</v>
      </c>
    </row>
    <row r="72" spans="21:25" x14ac:dyDescent="0.3">
      <c r="U72" s="30">
        <v>49</v>
      </c>
      <c r="V72">
        <f t="shared" si="4"/>
        <v>4.2974265761888839</v>
      </c>
      <c r="W72">
        <f t="shared" si="5"/>
        <v>3.9566746928541097</v>
      </c>
      <c r="X72">
        <f t="shared" si="6"/>
        <v>0</v>
      </c>
      <c r="Y72">
        <f t="shared" si="7"/>
        <v>84.543125533731853</v>
      </c>
    </row>
    <row r="73" spans="21:25" x14ac:dyDescent="0.3">
      <c r="U73" s="30">
        <v>50</v>
      </c>
      <c r="V73">
        <f t="shared" si="4"/>
        <v>4.1601388769200955</v>
      </c>
      <c r="W73">
        <f t="shared" si="5"/>
        <v>3.8399999384193149</v>
      </c>
      <c r="X73">
        <f t="shared" si="6"/>
        <v>0</v>
      </c>
      <c r="Y73">
        <f t="shared" si="7"/>
        <v>84.543125533731853</v>
      </c>
    </row>
    <row r="74" spans="21:25" x14ac:dyDescent="0.3">
      <c r="U74" s="30">
        <v>51</v>
      </c>
      <c r="V74">
        <f t="shared" si="4"/>
        <v>4.0280438809543959</v>
      </c>
      <c r="W74">
        <f t="shared" si="5"/>
        <v>3.7271774608277735</v>
      </c>
      <c r="X74">
        <f t="shared" si="6"/>
        <v>0</v>
      </c>
      <c r="Y74">
        <f t="shared" si="7"/>
        <v>84.543125533731853</v>
      </c>
    </row>
    <row r="75" spans="21:25" x14ac:dyDescent="0.3">
      <c r="U75" s="30">
        <v>52</v>
      </c>
      <c r="V75">
        <f t="shared" si="4"/>
        <v>3.900917407388504</v>
      </c>
      <c r="W75">
        <f t="shared" si="5"/>
        <v>3.6180754531511794</v>
      </c>
      <c r="X75">
        <f t="shared" si="6"/>
        <v>0</v>
      </c>
      <c r="Y75">
        <f t="shared" si="7"/>
        <v>84.543125533731853</v>
      </c>
    </row>
    <row r="76" spans="21:25" x14ac:dyDescent="0.3">
      <c r="U76" s="30">
        <v>53</v>
      </c>
      <c r="V76">
        <f t="shared" si="4"/>
        <v>3.7785460773591812</v>
      </c>
      <c r="W76">
        <f t="shared" si="5"/>
        <v>3.512566249251496</v>
      </c>
      <c r="X76">
        <f t="shared" si="6"/>
        <v>0</v>
      </c>
      <c r="Y76">
        <f t="shared" si="7"/>
        <v>84.543125533731853</v>
      </c>
    </row>
    <row r="77" spans="21:25" x14ac:dyDescent="0.3">
      <c r="U77" s="30">
        <v>54</v>
      </c>
      <c r="V77">
        <f t="shared" si="4"/>
        <v>3.6607267420612359</v>
      </c>
      <c r="W77">
        <f t="shared" si="5"/>
        <v>3.4105262482445875</v>
      </c>
      <c r="X77">
        <f t="shared" si="6"/>
        <v>0</v>
      </c>
      <c r="Y77">
        <f t="shared" si="7"/>
        <v>84.543125533731853</v>
      </c>
    </row>
    <row r="78" spans="21:25" x14ac:dyDescent="0.3">
      <c r="U78" s="30">
        <v>55</v>
      </c>
      <c r="V78">
        <f t="shared" si="4"/>
        <v>3.5472659436695126</v>
      </c>
      <c r="W78">
        <f t="shared" si="5"/>
        <v>3.3118358341410015</v>
      </c>
      <c r="X78">
        <f t="shared" si="6"/>
        <v>0</v>
      </c>
      <c r="Y78">
        <f t="shared" si="7"/>
        <v>84.543125533731853</v>
      </c>
    </row>
    <row r="79" spans="21:25" x14ac:dyDescent="0.3">
      <c r="U79" s="30">
        <v>56</v>
      </c>
      <c r="V79">
        <f t="shared" si="4"/>
        <v>3.4379794071264884</v>
      </c>
      <c r="W79">
        <f t="shared" si="5"/>
        <v>3.2163792915014375</v>
      </c>
      <c r="X79">
        <f t="shared" si="6"/>
        <v>0</v>
      </c>
      <c r="Y79">
        <f t="shared" si="7"/>
        <v>84.543125533731853</v>
      </c>
    </row>
    <row r="80" spans="21:25" x14ac:dyDescent="0.3">
      <c r="U80" s="30">
        <v>57</v>
      </c>
      <c r="V80">
        <f t="shared" si="4"/>
        <v>3.3326915608924534</v>
      </c>
      <c r="W80">
        <f t="shared" si="5"/>
        <v>3.1240447178648232</v>
      </c>
      <c r="X80">
        <f t="shared" si="6"/>
        <v>0</v>
      </c>
      <c r="Y80">
        <f t="shared" si="7"/>
        <v>84.543125533731853</v>
      </c>
    </row>
    <row r="81" spans="21:25" x14ac:dyDescent="0.3">
      <c r="U81" s="30">
        <v>58</v>
      </c>
      <c r="V81">
        <f t="shared" si="4"/>
        <v>3.2312350848803471</v>
      </c>
      <c r="W81">
        <f t="shared" si="5"/>
        <v>3.0347239336322769</v>
      </c>
      <c r="X81">
        <f t="shared" si="6"/>
        <v>0</v>
      </c>
      <c r="Y81">
        <f t="shared" si="7"/>
        <v>84.543125533731853</v>
      </c>
    </row>
    <row r="82" spans="21:25" x14ac:dyDescent="0.3">
      <c r="U82" s="30">
        <v>59</v>
      </c>
      <c r="V82">
        <f t="shared" si="4"/>
        <v>3.1334504839144399</v>
      </c>
      <c r="W82">
        <f t="shared" si="5"/>
        <v>2.948312390021762</v>
      </c>
      <c r="X82">
        <f t="shared" si="6"/>
        <v>0</v>
      </c>
      <c r="Y82">
        <f t="shared" si="7"/>
        <v>84.543125533731853</v>
      </c>
    </row>
    <row r="83" spans="21:25" x14ac:dyDescent="0.3">
      <c r="U83" s="30">
        <v>60</v>
      </c>
      <c r="V83">
        <f t="shared" si="4"/>
        <v>3.0391856851602324</v>
      </c>
      <c r="W83">
        <f t="shared" si="5"/>
        <v>2.8647090756442672</v>
      </c>
      <c r="X83">
        <f t="shared" si="6"/>
        <v>0</v>
      </c>
      <c r="Y83">
        <f t="shared" si="7"/>
        <v>84.543125533731853</v>
      </c>
    </row>
    <row r="84" spans="21:25" x14ac:dyDescent="0.3">
      <c r="U84" s="30">
        <v>61</v>
      </c>
      <c r="V84">
        <f t="shared" si="4"/>
        <v>2.9482956580741244</v>
      </c>
      <c r="W84">
        <f t="shared" si="5"/>
        <v>2.7838164221937767</v>
      </c>
      <c r="X84">
        <f t="shared" si="6"/>
        <v>0</v>
      </c>
      <c r="Y84">
        <f t="shared" si="7"/>
        <v>84.543125533731853</v>
      </c>
    </row>
    <row r="85" spans="21:25" x14ac:dyDescent="0.3">
      <c r="U85" s="30">
        <v>62</v>
      </c>
      <c r="V85">
        <f t="shared" si="4"/>
        <v>2.8606420555154148</v>
      </c>
      <c r="W85">
        <f t="shared" si="5"/>
        <v>2.7055402096892607</v>
      </c>
      <c r="X85">
        <f t="shared" si="6"/>
        <v>0</v>
      </c>
      <c r="Y85">
        <f t="shared" si="7"/>
        <v>84.543125533731853</v>
      </c>
    </row>
    <row r="86" spans="21:25" x14ac:dyDescent="0.3">
      <c r="U86" s="30">
        <v>63</v>
      </c>
      <c r="V86">
        <f t="shared" si="4"/>
        <v>2.776092874750689</v>
      </c>
      <c r="W86">
        <f t="shared" si="5"/>
        <v>2.6297894716572601</v>
      </c>
      <c r="X86">
        <f t="shared" si="6"/>
        <v>0</v>
      </c>
      <c r="Y86">
        <f t="shared" si="7"/>
        <v>84.543125533731853</v>
      </c>
    </row>
    <row r="87" spans="21:25" x14ac:dyDescent="0.3">
      <c r="U87" s="30">
        <v>64</v>
      </c>
      <c r="V87">
        <f t="shared" si="4"/>
        <v>2.6945221371621915</v>
      </c>
      <c r="W87">
        <f t="shared" si="5"/>
        <v>2.5564764005981737</v>
      </c>
      <c r="X87">
        <f t="shared" si="6"/>
        <v>0</v>
      </c>
      <c r="Y87">
        <f t="shared" si="7"/>
        <v>84.543125533731853</v>
      </c>
    </row>
    <row r="88" spans="21:25" x14ac:dyDescent="0.3">
      <c r="U88" s="30">
        <v>65</v>
      </c>
      <c r="V88">
        <f t="shared" si="4"/>
        <v>2.6158095855477943</v>
      </c>
      <c r="W88">
        <f t="shared" si="5"/>
        <v>2.4855162540378344</v>
      </c>
      <c r="X88">
        <f t="shared" si="6"/>
        <v>0</v>
      </c>
      <c r="Y88">
        <f t="shared" si="7"/>
        <v>84.543125533731853</v>
      </c>
    </row>
    <row r="89" spans="21:25" x14ac:dyDescent="0.3">
      <c r="U89" s="30">
        <v>66</v>
      </c>
      <c r="V89">
        <f t="shared" si="4"/>
        <v>2.5398403979708881</v>
      </c>
      <c r="W89">
        <f t="shared" si="5"/>
        <v>2.4168272614279607</v>
      </c>
      <c r="X89">
        <f t="shared" si="6"/>
        <v>0</v>
      </c>
      <c r="Y89">
        <f t="shared" si="7"/>
        <v>84.543125533731853</v>
      </c>
    </row>
    <row r="90" spans="21:25" x14ac:dyDescent="0.3">
      <c r="U90" s="30">
        <v>67</v>
      </c>
      <c r="V90">
        <f t="shared" si="4"/>
        <v>2.4665049171846389</v>
      </c>
      <c r="W90">
        <f t="shared" si="5"/>
        <v>2.3503305321246275</v>
      </c>
      <c r="X90">
        <f t="shared" si="6"/>
        <v>2.6333555485383607E-4</v>
      </c>
      <c r="Y90">
        <f t="shared" si="7"/>
        <v>84.016454424024175</v>
      </c>
    </row>
    <row r="91" spans="21:25" x14ac:dyDescent="0.3">
      <c r="U91" s="30">
        <v>68</v>
      </c>
      <c r="V91">
        <f t="shared" si="4"/>
        <v>2.3956983947165336</v>
      </c>
      <c r="W91">
        <f t="shared" si="5"/>
        <v>2.2859499646424601</v>
      </c>
      <c r="X91">
        <f t="shared" si="6"/>
        <v>1.2847274470600368E-3</v>
      </c>
      <c r="Y91">
        <f t="shared" si="7"/>
        <v>81.973670639611782</v>
      </c>
    </row>
    <row r="92" spans="21:25" x14ac:dyDescent="0.3">
      <c r="U92" s="30">
        <v>69</v>
      </c>
      <c r="V92">
        <f t="shared" si="4"/>
        <v>2.3273207487565846</v>
      </c>
      <c r="W92">
        <f t="shared" si="5"/>
        <v>2.2236121573538394</v>
      </c>
      <c r="X92">
        <f t="shared" si="6"/>
        <v>2.3132259578302603E-3</v>
      </c>
      <c r="Y92">
        <f t="shared" si="7"/>
        <v>79.916673618071329</v>
      </c>
    </row>
    <row r="93" spans="21:25" x14ac:dyDescent="0.3">
      <c r="U93" s="30">
        <v>70</v>
      </c>
      <c r="V93">
        <f t="shared" si="4"/>
        <v>2.2612763350461424</v>
      </c>
      <c r="W93">
        <f t="shared" si="5"/>
        <v>2.1632463207766461</v>
      </c>
      <c r="X93">
        <f t="shared" si="6"/>
        <v>3.3484699298636355E-3</v>
      </c>
      <c r="Y93">
        <f t="shared" si="7"/>
        <v>77.846185674004573</v>
      </c>
    </row>
    <row r="94" spans="21:25" x14ac:dyDescent="0.3">
      <c r="U94" s="30">
        <v>71</v>
      </c>
      <c r="V94">
        <f t="shared" si="4"/>
        <v>2.1974737300143223</v>
      </c>
      <c r="W94">
        <f t="shared" si="5"/>
        <v>2.1047841915709053</v>
      </c>
      <c r="X94">
        <f t="shared" si="6"/>
        <v>4.3900928535915811E-3</v>
      </c>
      <c r="Y94">
        <f t="shared" si="7"/>
        <v>75.762939826548688</v>
      </c>
    </row>
    <row r="95" spans="21:25" x14ac:dyDescent="0.3">
      <c r="U95" s="30">
        <v>72</v>
      </c>
      <c r="V95">
        <f t="shared" si="4"/>
        <v>2.1358255254556955</v>
      </c>
      <c r="W95">
        <f t="shared" si="5"/>
        <v>2.0481599483437014</v>
      </c>
      <c r="X95">
        <f t="shared" si="6"/>
        <v>5.4377234174635752E-3</v>
      </c>
      <c r="Y95">
        <f t="shared" si="7"/>
        <v>73.667678698804693</v>
      </c>
    </row>
    <row r="96" spans="21:25" x14ac:dyDescent="0.3">
      <c r="U96" s="30">
        <v>73</v>
      </c>
      <c r="V96">
        <f t="shared" si="4"/>
        <v>2.0762481340865726</v>
      </c>
      <c r="W96">
        <f t="shared" si="5"/>
        <v>1.9933101293429998</v>
      </c>
      <c r="X96">
        <f t="shared" si="6"/>
        <v>6.4909860654128607E-3</v>
      </c>
      <c r="Y96">
        <f t="shared" si="7"/>
        <v>71.561153402906129</v>
      </c>
    </row>
    <row r="97" spans="21:25" x14ac:dyDescent="0.3">
      <c r="U97" s="30">
        <v>74</v>
      </c>
      <c r="V97">
        <f t="shared" si="4"/>
        <v>2.0186616053579178</v>
      </c>
      <c r="W97">
        <f t="shared" si="5"/>
        <v>1.9401735521041399</v>
      </c>
      <c r="X97">
        <f t="shared" si="6"/>
        <v>7.5495015597646219E-3</v>
      </c>
      <c r="Y97">
        <f t="shared" si="7"/>
        <v>69.444122414202596</v>
      </c>
    </row>
    <row r="98" spans="21:25" x14ac:dyDescent="0.3">
      <c r="U98" s="30">
        <v>75</v>
      </c>
      <c r="V98">
        <f t="shared" si="4"/>
        <v>1.9629894509410448</v>
      </c>
      <c r="W98">
        <f t="shared" si="5"/>
        <v>1.8886912350977252</v>
      </c>
      <c r="X98">
        <f t="shared" si="6"/>
        <v>8.6128875478432253E-3</v>
      </c>
      <c r="Y98">
        <f t="shared" si="7"/>
        <v>67.317350438045409</v>
      </c>
    </row>
    <row r="99" spans="21:25" x14ac:dyDescent="0.3">
      <c r="U99" s="30">
        <v>76</v>
      </c>
      <c r="V99">
        <f t="shared" si="4"/>
        <v>1.9091584793378016</v>
      </c>
      <c r="W99">
        <f t="shared" si="5"/>
        <v>1.838806321414197</v>
      </c>
      <c r="X99">
        <f t="shared" si="6"/>
        <v>9.6807591305402875E-3</v>
      </c>
      <c r="Y99">
        <f t="shared" si="7"/>
        <v>65.181607272651263</v>
      </c>
    </row>
    <row r="100" spans="21:25" x14ac:dyDescent="0.3">
      <c r="U100" s="30">
        <v>77</v>
      </c>
      <c r="V100">
        <f t="shared" si="4"/>
        <v>1.8570986391003701</v>
      </c>
      <c r="W100">
        <f t="shared" si="5"/>
        <v>1.7904640045085654</v>
      </c>
      <c r="X100">
        <f t="shared" si="6"/>
        <v>1.0752729431114846E-2</v>
      </c>
      <c r="Y100">
        <f t="shared" si="7"/>
        <v>63.037666671502151</v>
      </c>
    </row>
    <row r="101" spans="21:25" x14ac:dyDescent="0.3">
      <c r="U101" s="30">
        <v>78</v>
      </c>
      <c r="V101">
        <f t="shared" si="4"/>
        <v>1.8067428701767083</v>
      </c>
      <c r="W101">
        <f t="shared" si="5"/>
        <v>1.7436114560180116</v>
      </c>
      <c r="X101">
        <f t="shared" si="6"/>
        <v>1.1828410162523265E-2</v>
      </c>
      <c r="Y101">
        <f t="shared" si="7"/>
        <v>60.886305208685322</v>
      </c>
    </row>
    <row r="102" spans="21:25" x14ac:dyDescent="0.3">
      <c r="U102" s="30">
        <v>79</v>
      </c>
      <c r="V102">
        <f t="shared" si="4"/>
        <v>1.7580269629270995</v>
      </c>
      <c r="W102">
        <f t="shared" si="5"/>
        <v>1.698197755656045</v>
      </c>
      <c r="X102">
        <f t="shared" si="6"/>
        <v>1.290741219159971E-2</v>
      </c>
      <c r="Y102">
        <f t="shared" si="7"/>
        <v>58.728301150532431</v>
      </c>
    </row>
    <row r="103" spans="21:25" x14ac:dyDescent="0.3">
      <c r="U103" s="30">
        <v>80</v>
      </c>
      <c r="V103">
        <f t="shared" si="4"/>
        <v>1.7108894243842421</v>
      </c>
      <c r="W103">
        <f t="shared" si="5"/>
        <v>1.6541738231784455</v>
      </c>
      <c r="X103">
        <f t="shared" si="6"/>
        <v>1.398934609845191E-2</v>
      </c>
      <c r="Y103">
        <f t="shared" si="7"/>
        <v>56.564433336828031</v>
      </c>
    </row>
    <row r="104" spans="21:25" x14ac:dyDescent="0.3">
      <c r="U104" s="30">
        <v>81</v>
      </c>
      <c r="V104">
        <f t="shared" si="4"/>
        <v>1.6652713513550679</v>
      </c>
      <c r="W104">
        <f t="shared" si="5"/>
        <v>1.6114923524092772</v>
      </c>
      <c r="X104">
        <f t="shared" si="6"/>
        <v>1.5073822729477413E-2</v>
      </c>
      <c r="Y104">
        <f t="shared" si="7"/>
        <v>54.395480074777019</v>
      </c>
    </row>
    <row r="105" spans="21:25" x14ac:dyDescent="0.3">
      <c r="U105" s="30">
        <v>82</v>
      </c>
      <c r="V105">
        <f t="shared" si="4"/>
        <v>1.6211163099862447</v>
      </c>
      <c r="W105">
        <f t="shared" si="5"/>
        <v>1.5701077473089249</v>
      </c>
      <c r="X105">
        <f t="shared" si="6"/>
        <v>1.6160453742461129E-2</v>
      </c>
      <c r="Y105">
        <f t="shared" si="7"/>
        <v>52.222218048809587</v>
      </c>
    </row>
    <row r="106" spans="21:25" x14ac:dyDescent="0.3">
      <c r="U106" s="30">
        <v>83</v>
      </c>
      <c r="V106">
        <f t="shared" si="4"/>
        <v>1.5783702214377393</v>
      </c>
      <c r="W106">
        <f t="shared" si="5"/>
        <v>1.5299760600607353</v>
      </c>
      <c r="X106">
        <f t="shared" si="6"/>
        <v>1.724885214227247E-2</v>
      </c>
      <c r="Y106">
        <f t="shared" si="7"/>
        <v>50.045421249186909</v>
      </c>
    </row>
    <row r="107" spans="21:25" x14ac:dyDescent="0.3">
      <c r="U107" s="30">
        <v>84</v>
      </c>
      <c r="V107">
        <f t="shared" si="4"/>
        <v>1.5369812533298126</v>
      </c>
      <c r="W107">
        <f t="shared" si="5"/>
        <v>1.4910549311482526</v>
      </c>
      <c r="X107">
        <f t="shared" si="6"/>
        <v>1.8338632805747313E-2</v>
      </c>
      <c r="Y107">
        <f t="shared" si="7"/>
        <v>47.86585992223722</v>
      </c>
    </row>
    <row r="108" spans="21:25" x14ac:dyDescent="0.3">
      <c r="U108" s="30">
        <v>85</v>
      </c>
      <c r="V108">
        <f t="shared" si="4"/>
        <v>1.4968997166484721</v>
      </c>
      <c r="W108">
        <f t="shared" si="5"/>
        <v>1.4533035313910867</v>
      </c>
      <c r="X108">
        <f t="shared" si="6"/>
        <v>1.9429412994408698E-2</v>
      </c>
      <c r="Y108">
        <f t="shared" si="7"/>
        <v>45.684299544914452</v>
      </c>
    </row>
    <row r="109" spans="21:25" x14ac:dyDescent="0.3">
      <c r="U109" s="30">
        <v>86</v>
      </c>
      <c r="V109">
        <f t="shared" si="4"/>
        <v>1.4580779678127604</v>
      </c>
      <c r="W109">
        <f t="shared" si="5"/>
        <v>1.4166825059040538</v>
      </c>
      <c r="X109">
        <f t="shared" si="6"/>
        <v>2.0520812853760451E-2</v>
      </c>
      <c r="Y109">
        <f t="shared" si="7"/>
        <v>43.501499826210946</v>
      </c>
    </row>
    <row r="110" spans="21:25" x14ac:dyDescent="0.3">
      <c r="U110" s="30">
        <v>87</v>
      </c>
      <c r="V110">
        <f t="shared" si="4"/>
        <v>1.4204703156246898</v>
      </c>
      <c r="W110">
        <f t="shared" si="5"/>
        <v>1.381153919941609</v>
      </c>
      <c r="X110">
        <f t="shared" si="6"/>
        <v>2.1612455897962797E-2</v>
      </c>
      <c r="Y110">
        <f t="shared" si="7"/>
        <v>41.318213737806254</v>
      </c>
    </row>
    <row r="111" spans="21:25" x14ac:dyDescent="0.3">
      <c r="U111" s="30">
        <v>88</v>
      </c>
      <c r="V111">
        <f t="shared" si="4"/>
        <v>1.3840329328386358</v>
      </c>
      <c r="W111">
        <f t="shared" si="5"/>
        <v>1.3466812065871043</v>
      </c>
      <c r="X111">
        <f t="shared" si="6"/>
        <v>2.2703969478789925E-2</v>
      </c>
      <c r="Y111">
        <f t="shared" si="7"/>
        <v>39.135186576151995</v>
      </c>
    </row>
    <row r="112" spans="21:25" x14ac:dyDescent="0.3">
      <c r="U112" s="30">
        <v>89</v>
      </c>
      <c r="V112">
        <f t="shared" si="4"/>
        <v>1.3487237721024088</v>
      </c>
      <c r="W112">
        <f t="shared" si="5"/>
        <v>1.3132291162447662</v>
      </c>
      <c r="X112">
        <f t="shared" si="6"/>
        <v>2.3794985237851073E-2</v>
      </c>
      <c r="Y112">
        <f t="shared" si="7"/>
        <v>36.953155058029701</v>
      </c>
    </row>
    <row r="113" spans="21:25" x14ac:dyDescent="0.3">
      <c r="U113" s="30">
        <v>90</v>
      </c>
      <c r="V113">
        <f t="shared" si="4"/>
        <v>1.314502486036317</v>
      </c>
      <c r="W113">
        <f t="shared" si="5"/>
        <v>1.2807636678906797</v>
      </c>
      <c r="X113">
        <f t="shared" si="6"/>
        <v>2.4885139541151558E-2</v>
      </c>
      <c r="Y113">
        <f t="shared" si="7"/>
        <v>34.772846451428734</v>
      </c>
    </row>
    <row r="114" spans="21:25" x14ac:dyDescent="0.3">
      <c r="U114" s="30">
        <v>91</v>
      </c>
      <c r="V114">
        <f t="shared" si="4"/>
        <v>1.2813303512300633</v>
      </c>
      <c r="W114">
        <f t="shared" si="5"/>
        <v>1.2492521020380922</v>
      </c>
      <c r="X114">
        <f t="shared" si="6"/>
        <v>2.5974073895158722E-2</v>
      </c>
      <c r="Y114">
        <f t="shared" si="7"/>
        <v>32.594977743414404</v>
      </c>
    </row>
    <row r="115" spans="21:25" x14ac:dyDescent="0.3">
      <c r="U115" s="30">
        <v>92</v>
      </c>
      <c r="V115">
        <f t="shared" si="4"/>
        <v>1.2491701959497745</v>
      </c>
      <c r="W115">
        <f t="shared" si="5"/>
        <v>1.2186628353714644</v>
      </c>
      <c r="X115">
        <f t="shared" si="6"/>
        <v>2.7061435343634258E-2</v>
      </c>
      <c r="Y115">
        <f t="shared" si="7"/>
        <v>30.42025484646333</v>
      </c>
    </row>
    <row r="116" spans="21:25" x14ac:dyDescent="0.3">
      <c r="U116" s="30">
        <v>93</v>
      </c>
      <c r="V116">
        <f t="shared" si="4"/>
        <v>1.2179863313593668</v>
      </c>
      <c r="W116">
        <f t="shared" si="5"/>
        <v>1.1889654170032751</v>
      </c>
      <c r="X116">
        <f t="shared" si="6"/>
        <v>2.8146876844584907E-2</v>
      </c>
      <c r="Y116">
        <f t="shared" si="7"/>
        <v>28.249371844562035</v>
      </c>
    </row>
    <row r="117" spans="21:25" x14ac:dyDescent="0.3">
      <c r="U117" s="30">
        <v>94</v>
      </c>
      <c r="V117">
        <f t="shared" si="4"/>
        <v>1.1877444860714674</v>
      </c>
      <c r="W117">
        <f t="shared" si="5"/>
        <v>1.1601304863072421</v>
      </c>
      <c r="X117">
        <f t="shared" si="6"/>
        <v>2.923005762678204E-2</v>
      </c>
      <c r="Y117">
        <f t="shared" si="7"/>
        <v>26.083010280167766</v>
      </c>
    </row>
    <row r="118" spans="21:25" x14ac:dyDescent="0.3">
      <c r="U118" s="30">
        <v>95</v>
      </c>
      <c r="V118">
        <f t="shared" si="4"/>
        <v>1.1584117438535917</v>
      </c>
      <c r="W118">
        <f t="shared" si="5"/>
        <v>1.1321297322816306</v>
      </c>
      <c r="X118">
        <f t="shared" si="6"/>
        <v>3.0310643525389425E-2</v>
      </c>
      <c r="Y118">
        <f t="shared" si="7"/>
        <v>23.921838482953</v>
      </c>
    </row>
    <row r="119" spans="21:25" x14ac:dyDescent="0.3">
      <c r="U119" s="30">
        <v>96</v>
      </c>
      <c r="V119">
        <f t="shared" si="4"/>
        <v>1.1299564843250405</v>
      </c>
      <c r="W119">
        <f t="shared" si="5"/>
        <v>1.1049358543964141</v>
      </c>
      <c r="X119">
        <f t="shared" si="6"/>
        <v>3.1388307296334531E-2</v>
      </c>
      <c r="Y119">
        <f t="shared" si="7"/>
        <v>21.766510941062787</v>
      </c>
    </row>
    <row r="120" spans="21:25" x14ac:dyDescent="0.3">
      <c r="U120" s="30">
        <v>97</v>
      </c>
      <c r="V120">
        <f t="shared" si="4"/>
        <v>1.1023483264891649</v>
      </c>
      <c r="W120">
        <f t="shared" si="5"/>
        <v>1.0785225248783332</v>
      </c>
      <c r="X120">
        <f t="shared" si="6"/>
        <v>3.2462728909149662E-2</v>
      </c>
      <c r="Y120">
        <f t="shared" si="7"/>
        <v>19.617667715432525</v>
      </c>
    </row>
    <row r="121" spans="21:25" x14ac:dyDescent="0.3">
      <c r="U121" s="30">
        <v>98</v>
      </c>
      <c r="V121">
        <f t="shared" si="4"/>
        <v>1.0755580749543927</v>
      </c>
      <c r="W121">
        <f t="shared" si="5"/>
        <v>1.0528643523884014</v>
      </c>
      <c r="X121">
        <f t="shared" si="6"/>
        <v>3.3533595818094904E-2</v>
      </c>
      <c r="Y121">
        <f t="shared" si="7"/>
        <v>17.475933897542038</v>
      </c>
    </row>
    <row r="122" spans="21:25" x14ac:dyDescent="0.3">
      <c r="U122" s="30">
        <v>99</v>
      </c>
      <c r="V122">
        <f t="shared" si="4"/>
        <v>1.0495576687054327</v>
      </c>
      <c r="W122">
        <f t="shared" si="5"/>
        <v>1.0279368470468573</v>
      </c>
      <c r="X122">
        <f t="shared" si="6"/>
        <v>3.4600603211466387E-2</v>
      </c>
      <c r="Y122">
        <f t="shared" si="7"/>
        <v>15.341919110799074</v>
      </c>
    </row>
    <row r="123" spans="21:25" x14ac:dyDescent="0.3">
      <c r="U123" s="30">
        <v>100</v>
      </c>
      <c r="V123">
        <f t="shared" si="4"/>
        <v>1.0243201322938438</v>
      </c>
      <c r="W123">
        <f t="shared" si="5"/>
        <v>1.0037163867613215</v>
      </c>
      <c r="X123">
        <f t="shared" si="6"/>
        <v>4.2271562766865924E-2</v>
      </c>
      <c r="Y123">
        <f t="shared" si="7"/>
        <v>0</v>
      </c>
    </row>
    <row r="124" spans="21:25" x14ac:dyDescent="0.3">
      <c r="U124" s="30">
        <v>101</v>
      </c>
      <c r="V124">
        <f t="shared" si="4"/>
        <v>0.99981952932430951</v>
      </c>
      <c r="W124">
        <f t="shared" si="5"/>
        <v>0.98018018481460301</v>
      </c>
      <c r="X124">
        <f t="shared" si="6"/>
        <v>4.2271562766865924E-2</v>
      </c>
      <c r="Y124">
        <f t="shared" si="7"/>
        <v>0</v>
      </c>
    </row>
    <row r="125" spans="21:25" x14ac:dyDescent="0.3">
      <c r="U125" s="30">
        <v>102</v>
      </c>
      <c r="V125">
        <f t="shared" si="4"/>
        <v>0.9760309181197262</v>
      </c>
      <c r="W125">
        <f t="shared" si="5"/>
        <v>0.95730625866940822</v>
      </c>
      <c r="X125">
        <f t="shared" si="6"/>
        <v>4.2271562766865924E-2</v>
      </c>
      <c r="Y125">
        <f t="shared" si="7"/>
        <v>0</v>
      </c>
    </row>
    <row r="126" spans="21:25" x14ac:dyDescent="0.3">
      <c r="U126" s="30">
        <v>103</v>
      </c>
      <c r="V126">
        <f t="shared" si="4"/>
        <v>0.9529303094546695</v>
      </c>
      <c r="W126">
        <f t="shared" si="5"/>
        <v>0.93507339994814798</v>
      </c>
      <c r="X126">
        <f t="shared" si="6"/>
        <v>4.2271562766865924E-2</v>
      </c>
      <c r="Y126">
        <f t="shared" si="7"/>
        <v>0</v>
      </c>
    </row>
    <row r="127" spans="21:25" x14ac:dyDescent="0.3">
      <c r="U127" s="30">
        <v>104</v>
      </c>
      <c r="V127">
        <f t="shared" si="4"/>
        <v>0.93049462625275958</v>
      </c>
      <c r="W127">
        <f t="shared" si="5"/>
        <v>0.91346114554690616</v>
      </c>
      <c r="X127">
        <f t="shared" si="6"/>
        <v>4.2271562766865924E-2</v>
      </c>
      <c r="Y127">
        <f t="shared" si="7"/>
        <v>0</v>
      </c>
    </row>
    <row r="128" spans="21:25" x14ac:dyDescent="0.3">
      <c r="U128" s="30">
        <v>105</v>
      </c>
      <c r="V128">
        <f t="shared" si="4"/>
        <v>0.90870166514911255</v>
      </c>
      <c r="W128">
        <f t="shared" si="5"/>
        <v>0.8924497498436057</v>
      </c>
      <c r="X128">
        <f t="shared" si="6"/>
        <v>4.2271562766865924E-2</v>
      </c>
      <c r="Y128">
        <f t="shared" si="7"/>
        <v>0</v>
      </c>
    </row>
    <row r="129" spans="21:25" x14ac:dyDescent="0.3">
      <c r="U129" s="30">
        <v>106</v>
      </c>
      <c r="V129">
        <f t="shared" si="4"/>
        <v>0.88753005982447564</v>
      </c>
      <c r="W129">
        <f t="shared" si="5"/>
        <v>0.87202015796147569</v>
      </c>
      <c r="X129">
        <f t="shared" si="6"/>
        <v>4.2271562766865924E-2</v>
      </c>
      <c r="Y129">
        <f t="shared" si="7"/>
        <v>0</v>
      </c>
    </row>
    <row r="130" spans="21:25" x14ac:dyDescent="0.3">
      <c r="U130" s="30">
        <v>107</v>
      </c>
      <c r="V130">
        <f t="shared" si="4"/>
        <v>0.86695924602255214</v>
      </c>
      <c r="W130">
        <f t="shared" si="5"/>
        <v>0.85215398004982434</v>
      </c>
      <c r="X130">
        <f t="shared" si="6"/>
        <v>4.2271562766865924E-2</v>
      </c>
      <c r="Y130">
        <f t="shared" si="7"/>
        <v>0</v>
      </c>
    </row>
    <row r="131" spans="21:25" x14ac:dyDescent="0.3">
      <c r="U131" s="30">
        <v>108</v>
      </c>
      <c r="V131">
        <f t="shared" si="4"/>
        <v>0.8469694281668918</v>
      </c>
      <c r="W131">
        <f t="shared" si="5"/>
        <v>0.83283346654528634</v>
      </c>
      <c r="X131">
        <f t="shared" si="6"/>
        <v>4.2271562766865924E-2</v>
      </c>
      <c r="Y131">
        <f t="shared" si="7"/>
        <v>0</v>
      </c>
    </row>
    <row r="132" spans="21:25" x14ac:dyDescent="0.3">
      <c r="U132" s="30">
        <v>109</v>
      </c>
      <c r="V132">
        <f t="shared" ref="V132:V173" si="8">$O$3*EXP($P$3/(U132+273.15)-$P$3/($Q$3+273.15))</f>
        <v>0.82754154749809983</v>
      </c>
      <c r="W132">
        <f t="shared" ref="W132:W173" si="9">V132*$R$3/(V132+$R$3)</f>
        <v>0.81404148437766799</v>
      </c>
      <c r="X132">
        <f t="shared" ref="X132:X173" si="10">IF(($L$3-W132*$K$3/($N$3+W132))/($S$3+W132*$N$3/($N$3+W132))&lt;0,0,IF(($L$3-W132*$K$3/($N$3+W132))/($S$3+W132*$N$3/($N$3+W132))&gt;$M$6*(1-$O$6),$M$6,($L$3-W132*$K$3/($N$3+W132))/($S$3+W132*$N$3/($N$3+W132))))</f>
        <v>4.2271562766865924E-2</v>
      </c>
      <c r="Y132">
        <f t="shared" ref="Y132:Y173" si="11">($M$6-X132)*2000</f>
        <v>0</v>
      </c>
    </row>
    <row r="133" spans="21:25" x14ac:dyDescent="0.3">
      <c r="U133" s="30">
        <v>110</v>
      </c>
      <c r="V133">
        <f t="shared" si="8"/>
        <v>0.80865725165637148</v>
      </c>
      <c r="W133">
        <f t="shared" si="9"/>
        <v>0.79576149408560526</v>
      </c>
      <c r="X133">
        <f t="shared" si="10"/>
        <v>4.2271562766865924E-2</v>
      </c>
      <c r="Y133">
        <f t="shared" si="11"/>
        <v>0</v>
      </c>
    </row>
    <row r="134" spans="21:25" x14ac:dyDescent="0.3">
      <c r="U134" s="30">
        <v>111</v>
      </c>
      <c r="V134">
        <f t="shared" si="8"/>
        <v>0.79029886563833518</v>
      </c>
      <c r="W134">
        <f t="shared" si="9"/>
        <v>0.77797752780829488</v>
      </c>
      <c r="X134">
        <f t="shared" si="10"/>
        <v>4.2271562766865924E-2</v>
      </c>
      <c r="Y134">
        <f t="shared" si="11"/>
        <v>0</v>
      </c>
    </row>
    <row r="135" spans="21:25" x14ac:dyDescent="0.3">
      <c r="U135" s="30">
        <v>112</v>
      </c>
      <c r="V135">
        <f t="shared" si="8"/>
        <v>0.77244936406092546</v>
      </c>
      <c r="W135">
        <f t="shared" si="9"/>
        <v>0.76067416812059818</v>
      </c>
      <c r="X135">
        <f t="shared" si="10"/>
        <v>4.2271562766865924E-2</v>
      </c>
      <c r="Y135">
        <f t="shared" si="11"/>
        <v>0</v>
      </c>
    </row>
    <row r="136" spans="21:25" x14ac:dyDescent="0.3">
      <c r="U136" s="30">
        <v>113</v>
      </c>
      <c r="V136">
        <f t="shared" si="8"/>
        <v>0.75509234466856512</v>
      </c>
      <c r="W136">
        <f t="shared" si="9"/>
        <v>0.74383652767986941</v>
      </c>
      <c r="X136">
        <f t="shared" si="10"/>
        <v>4.2271562766865924E-2</v>
      </c>
      <c r="Y136">
        <f t="shared" si="11"/>
        <v>0</v>
      </c>
    </row>
    <row r="137" spans="21:25" x14ac:dyDescent="0.3">
      <c r="U137" s="30">
        <v>114</v>
      </c>
      <c r="V137">
        <f t="shared" si="8"/>
        <v>0.73821200302323309</v>
      </c>
      <c r="W137">
        <f t="shared" si="9"/>
        <v>0.72745022965384487</v>
      </c>
      <c r="X137">
        <f t="shared" si="10"/>
        <v>4.2271562766865924E-2</v>
      </c>
      <c r="Y137">
        <f t="shared" si="11"/>
        <v>0</v>
      </c>
    </row>
    <row r="138" spans="21:25" x14ac:dyDescent="0.3">
      <c r="U138" s="30">
        <v>115</v>
      </c>
      <c r="V138">
        <f t="shared" si="8"/>
        <v>0.72179310832022536</v>
      </c>
      <c r="W138">
        <f t="shared" si="9"/>
        <v>0.71150138890001879</v>
      </c>
      <c r="X138">
        <f t="shared" si="10"/>
        <v>4.2271562766865924E-2</v>
      </c>
      <c r="Y138">
        <f t="shared" si="11"/>
        <v>0</v>
      </c>
    </row>
    <row r="139" spans="21:25" x14ac:dyDescent="0.3">
      <c r="U139" s="30">
        <v>116</v>
      </c>
      <c r="V139">
        <f t="shared" si="8"/>
        <v>0.70582098027529638</v>
      </c>
      <c r="W139">
        <f t="shared" si="9"/>
        <v>0.69597659386783239</v>
      </c>
      <c r="X139">
        <f t="shared" si="10"/>
        <v>4.2271562766865924E-2</v>
      </c>
      <c r="Y139">
        <f t="shared" si="11"/>
        <v>0</v>
      </c>
    </row>
    <row r="140" spans="21:25" x14ac:dyDescent="0.3">
      <c r="U140" s="30">
        <v>117</v>
      </c>
      <c r="V140">
        <f t="shared" si="8"/>
        <v>0.69028146703177473</v>
      </c>
      <c r="W140">
        <f t="shared" si="9"/>
        <v>0.6808628891960683</v>
      </c>
      <c r="X140">
        <f t="shared" si="10"/>
        <v>4.2271562766865924E-2</v>
      </c>
      <c r="Y140">
        <f t="shared" si="11"/>
        <v>0</v>
      </c>
    </row>
    <row r="141" spans="21:25" x14ac:dyDescent="0.3">
      <c r="U141" s="30">
        <v>118</v>
      </c>
      <c r="V141">
        <f t="shared" si="8"/>
        <v>0.67516092403882799</v>
      </c>
      <c r="W141">
        <f t="shared" si="9"/>
        <v>0.66614775897873835</v>
      </c>
      <c r="X141">
        <f t="shared" si="10"/>
        <v>4.2271562766865924E-2</v>
      </c>
      <c r="Y141">
        <f t="shared" si="11"/>
        <v>0</v>
      </c>
    </row>
    <row r="142" spans="21:25" x14ac:dyDescent="0.3">
      <c r="U142" s="30">
        <v>119</v>
      </c>
      <c r="V142">
        <f t="shared" si="8"/>
        <v>0.66044619385461267</v>
      </c>
      <c r="W142">
        <f t="shared" si="9"/>
        <v>0.65181911067372766</v>
      </c>
      <c r="X142">
        <f t="shared" si="10"/>
        <v>4.2271562766865924E-2</v>
      </c>
      <c r="Y142">
        <f t="shared" si="11"/>
        <v>0</v>
      </c>
    </row>
    <row r="143" spans="21:25" x14ac:dyDescent="0.3">
      <c r="U143" s="30">
        <v>120</v>
      </c>
      <c r="V143">
        <f t="shared" si="8"/>
        <v>0.64612458683038976</v>
      </c>
      <c r="W143">
        <f t="shared" si="9"/>
        <v>0.63786525962935814</v>
      </c>
      <c r="X143">
        <f t="shared" si="10"/>
        <v>4.2271562766865924E-2</v>
      </c>
      <c r="Y143">
        <f t="shared" si="11"/>
        <v>0</v>
      </c>
    </row>
    <row r="144" spans="21:25" x14ac:dyDescent="0.3">
      <c r="U144" s="30">
        <v>121</v>
      </c>
      <c r="V144">
        <f t="shared" si="8"/>
        <v>0.63218386263393811</v>
      </c>
      <c r="W144">
        <f t="shared" si="9"/>
        <v>0.62427491420492931</v>
      </c>
      <c r="X144">
        <f t="shared" si="10"/>
        <v>4.2271562766865924E-2</v>
      </c>
      <c r="Y144">
        <f t="shared" si="11"/>
        <v>0</v>
      </c>
    </row>
    <row r="145" spans="21:25" x14ac:dyDescent="0.3">
      <c r="U145" s="30">
        <v>122</v>
      </c>
      <c r="V145">
        <f t="shared" si="8"/>
        <v>0.6186122125727217</v>
      </c>
      <c r="W145">
        <f t="shared" si="9"/>
        <v>0.61103716146217513</v>
      </c>
      <c r="X145">
        <f t="shared" si="10"/>
        <v>4.2271562766865924E-2</v>
      </c>
      <c r="Y145">
        <f t="shared" si="11"/>
        <v>0</v>
      </c>
    </row>
    <row r="146" spans="21:25" x14ac:dyDescent="0.3">
      <c r="U146" s="30">
        <v>123</v>
      </c>
      <c r="V146">
        <f t="shared" si="8"/>
        <v>0.6053982426792488</v>
      </c>
      <c r="W146">
        <f t="shared" si="9"/>
        <v>0.59814145340539637</v>
      </c>
      <c r="X146">
        <f t="shared" si="10"/>
        <v>4.2271562766865924E-2</v>
      </c>
      <c r="Y146">
        <f t="shared" si="11"/>
        <v>0</v>
      </c>
    </row>
    <row r="147" spans="21:25" x14ac:dyDescent="0.3">
      <c r="U147" s="30">
        <v>124</v>
      </c>
      <c r="V147">
        <f t="shared" si="8"/>
        <v>0.592530957523005</v>
      </c>
      <c r="W147">
        <f t="shared" si="9"/>
        <v>0.58557759374889573</v>
      </c>
      <c r="X147">
        <f t="shared" si="10"/>
        <v>4.2271562766865924E-2</v>
      </c>
      <c r="Y147">
        <f t="shared" si="11"/>
        <v>0</v>
      </c>
    </row>
    <row r="148" spans="21:25" x14ac:dyDescent="0.3">
      <c r="U148" s="30">
        <v>125</v>
      </c>
      <c r="V148">
        <f t="shared" si="8"/>
        <v>0.57999974471507187</v>
      </c>
      <c r="W148">
        <f t="shared" si="9"/>
        <v>0.57333572519108666</v>
      </c>
      <c r="X148">
        <f t="shared" si="10"/>
        <v>4.2271562766865924E-2</v>
      </c>
      <c r="Y148">
        <f t="shared" si="11"/>
        <v>0</v>
      </c>
    </row>
    <row r="149" spans="21:25" x14ac:dyDescent="0.3">
      <c r="U149" s="30">
        <v>126</v>
      </c>
      <c r="V149">
        <f t="shared" si="8"/>
        <v>0.5677943600732972</v>
      </c>
      <c r="W149">
        <f t="shared" si="9"/>
        <v>0.56140631717546652</v>
      </c>
      <c r="X149">
        <f t="shared" si="10"/>
        <v>4.2271562766865924E-2</v>
      </c>
      <c r="Y149">
        <f t="shared" si="11"/>
        <v>0</v>
      </c>
    </row>
    <row r="150" spans="21:25" x14ac:dyDescent="0.3">
      <c r="U150" s="30">
        <v>127</v>
      </c>
      <c r="V150">
        <f t="shared" si="8"/>
        <v>0.55590491341745329</v>
      </c>
      <c r="W150">
        <f t="shared" si="9"/>
        <v>0.54978015411936987</v>
      </c>
      <c r="X150">
        <f t="shared" si="10"/>
        <v>4.2271562766865924E-2</v>
      </c>
      <c r="Y150">
        <f t="shared" si="11"/>
        <v>0</v>
      </c>
    </row>
    <row r="151" spans="21:25" x14ac:dyDescent="0.3">
      <c r="U151" s="30">
        <v>128</v>
      </c>
      <c r="V151">
        <f t="shared" si="8"/>
        <v>0.54432185496536278</v>
      </c>
      <c r="W151">
        <f t="shared" si="9"/>
        <v>0.5384483240921597</v>
      </c>
      <c r="X151">
        <f t="shared" si="10"/>
        <v>4.2271562766865924E-2</v>
      </c>
      <c r="Y151">
        <f t="shared" si="11"/>
        <v>0</v>
      </c>
    </row>
    <row r="152" spans="21:25" x14ac:dyDescent="0.3">
      <c r="U152" s="30">
        <v>129</v>
      </c>
      <c r="V152">
        <f t="shared" si="8"/>
        <v>0.53303596230238959</v>
      </c>
      <c r="W152">
        <f t="shared" si="9"/>
        <v>0.52740220792519887</v>
      </c>
      <c r="X152">
        <f t="shared" si="10"/>
        <v>4.2271562766865924E-2</v>
      </c>
      <c r="Y152">
        <f t="shared" si="11"/>
        <v>0</v>
      </c>
    </row>
    <row r="153" spans="21:25" x14ac:dyDescent="0.3">
      <c r="U153" s="30">
        <v>130</v>
      </c>
      <c r="V153">
        <f t="shared" si="8"/>
        <v>0.52203832789807403</v>
      </c>
      <c r="W153">
        <f t="shared" si="9"/>
        <v>0.51663346873664195</v>
      </c>
      <c r="X153">
        <f t="shared" si="10"/>
        <v>4.2271562766865924E-2</v>
      </c>
      <c r="Y153">
        <f t="shared" si="11"/>
        <v>0</v>
      </c>
    </row>
    <row r="154" spans="21:25" x14ac:dyDescent="0.3">
      <c r="U154" s="30">
        <v>131</v>
      </c>
      <c r="V154">
        <f t="shared" si="8"/>
        <v>0.51132034714497709</v>
      </c>
      <c r="W154">
        <f t="shared" si="9"/>
        <v>0.50613404185473565</v>
      </c>
      <c r="X154">
        <f t="shared" si="10"/>
        <v>4.2271562766865924E-2</v>
      </c>
      <c r="Y154">
        <f t="shared" si="11"/>
        <v>0</v>
      </c>
    </row>
    <row r="155" spans="21:25" x14ac:dyDescent="0.3">
      <c r="U155" s="30">
        <v>132</v>
      </c>
      <c r="V155">
        <f t="shared" si="8"/>
        <v>0.50087370689601496</v>
      </c>
      <c r="W155">
        <f t="shared" si="9"/>
        <v>0.49589612512394682</v>
      </c>
      <c r="X155">
        <f t="shared" si="10"/>
        <v>4.2271562766865924E-2</v>
      </c>
      <c r="Y155">
        <f t="shared" si="11"/>
        <v>0</v>
      </c>
    </row>
    <row r="156" spans="21:25" x14ac:dyDescent="0.3">
      <c r="U156" s="30">
        <v>133</v>
      </c>
      <c r="V156">
        <f t="shared" si="8"/>
        <v>0.49069037447773545</v>
      </c>
      <c r="W156">
        <f t="shared" si="9"/>
        <v>0.48591216957885885</v>
      </c>
      <c r="X156">
        <f t="shared" si="10"/>
        <v>4.2271562766865924E-2</v>
      </c>
      <c r="Y156">
        <f t="shared" si="11"/>
        <v>0</v>
      </c>
    </row>
    <row r="157" spans="21:25" x14ac:dyDescent="0.3">
      <c r="U157" s="30">
        <v>134</v>
      </c>
      <c r="V157">
        <f t="shared" si="8"/>
        <v>0.48076258715808218</v>
      </c>
      <c r="W157">
        <f t="shared" si="9"/>
        <v>0.47617487047135926</v>
      </c>
      <c r="X157">
        <f t="shared" si="10"/>
        <v>4.2271562766865924E-2</v>
      </c>
      <c r="Y157">
        <f t="shared" si="11"/>
        <v>0</v>
      </c>
    </row>
    <row r="158" spans="21:25" x14ac:dyDescent="0.3">
      <c r="U158" s="30">
        <v>135</v>
      </c>
      <c r="V158">
        <f t="shared" si="8"/>
        <v>0.4710828420482196</v>
      </c>
      <c r="W158">
        <f t="shared" si="9"/>
        <v>0.46667715863720155</v>
      </c>
      <c r="X158">
        <f t="shared" si="10"/>
        <v>4.2271562766865924E-2</v>
      </c>
      <c r="Y158">
        <f t="shared" si="11"/>
        <v>0</v>
      </c>
    </row>
    <row r="159" spans="21:25" x14ac:dyDescent="0.3">
      <c r="U159" s="30">
        <v>136</v>
      </c>
      <c r="V159">
        <f t="shared" si="8"/>
        <v>0.46164388641901799</v>
      </c>
      <c r="W159">
        <f t="shared" si="9"/>
        <v>0.45741219218860929</v>
      </c>
      <c r="X159">
        <f t="shared" si="10"/>
        <v>4.2271562766865924E-2</v>
      </c>
      <c r="Y159">
        <f t="shared" si="11"/>
        <v>0</v>
      </c>
    </row>
    <row r="160" spans="21:25" x14ac:dyDescent="0.3">
      <c r="U160" s="30">
        <v>137</v>
      </c>
      <c r="V160">
        <f t="shared" si="8"/>
        <v>0.45243870841367695</v>
      </c>
      <c r="W160">
        <f t="shared" si="9"/>
        <v>0.44837334852005911</v>
      </c>
      <c r="X160">
        <f t="shared" si="10"/>
        <v>4.2271562766865924E-2</v>
      </c>
      <c r="Y160">
        <f t="shared" si="11"/>
        <v>0</v>
      </c>
    </row>
    <row r="161" spans="21:25" x14ac:dyDescent="0.3">
      <c r="U161" s="30">
        <v>138</v>
      </c>
      <c r="V161">
        <f t="shared" si="8"/>
        <v>0.44346052813891096</v>
      </c>
      <c r="W161">
        <f t="shared" si="9"/>
        <v>0.43955421661494803</v>
      </c>
      <c r="X161">
        <f t="shared" si="10"/>
        <v>4.2271562766865924E-2</v>
      </c>
      <c r="Y161">
        <f t="shared" si="11"/>
        <v>0</v>
      </c>
    </row>
    <row r="162" spans="21:25" x14ac:dyDescent="0.3">
      <c r="U162" s="30">
        <v>139</v>
      </c>
      <c r="V162">
        <f t="shared" si="8"/>
        <v>0.43470278911792115</v>
      </c>
      <c r="W162">
        <f t="shared" si="9"/>
        <v>0.43094858964129779</v>
      </c>
      <c r="X162">
        <f t="shared" si="10"/>
        <v>4.2271562766865924E-2</v>
      </c>
      <c r="Y162">
        <f t="shared" si="11"/>
        <v>0</v>
      </c>
    </row>
    <row r="163" spans="21:25" x14ac:dyDescent="0.3">
      <c r="U163" s="30">
        <v>140</v>
      </c>
      <c r="V163">
        <f t="shared" si="8"/>
        <v>0.42615915008920585</v>
      </c>
      <c r="W163">
        <f t="shared" si="9"/>
        <v>0.42255045782514633</v>
      </c>
      <c r="X163">
        <f t="shared" si="10"/>
        <v>4.2271562766865924E-2</v>
      </c>
      <c r="Y163">
        <f t="shared" si="11"/>
        <v>0</v>
      </c>
    </row>
    <row r="164" spans="21:25" x14ac:dyDescent="0.3">
      <c r="U164" s="30">
        <v>141</v>
      </c>
      <c r="V164">
        <f t="shared" si="8"/>
        <v>0.41782347713598833</v>
      </c>
      <c r="W164">
        <f t="shared" si="9"/>
        <v>0.41435400159070096</v>
      </c>
      <c r="X164">
        <f t="shared" si="10"/>
        <v>4.2271562766865924E-2</v>
      </c>
      <c r="Y164">
        <f t="shared" si="11"/>
        <v>0</v>
      </c>
    </row>
    <row r="165" spans="21:25" x14ac:dyDescent="0.3">
      <c r="U165" s="30">
        <v>142</v>
      </c>
      <c r="V165">
        <f t="shared" si="8"/>
        <v>0.40968983613180354</v>
      </c>
      <c r="W165">
        <f t="shared" si="9"/>
        <v>0.40635358495680302</v>
      </c>
      <c r="X165">
        <f t="shared" si="10"/>
        <v>4.2271562766865924E-2</v>
      </c>
      <c r="Y165">
        <f t="shared" si="11"/>
        <v>0</v>
      </c>
    </row>
    <row r="166" spans="21:25" x14ac:dyDescent="0.3">
      <c r="U166" s="30">
        <v>143</v>
      </c>
      <c r="V166">
        <f t="shared" si="8"/>
        <v>0.40175248548842185</v>
      </c>
      <c r="W166">
        <f t="shared" si="9"/>
        <v>0.39854374917962848</v>
      </c>
      <c r="X166">
        <f t="shared" si="10"/>
        <v>4.2271562766865924E-2</v>
      </c>
      <c r="Y166">
        <f t="shared" si="11"/>
        <v>0</v>
      </c>
    </row>
    <row r="167" spans="21:25" x14ac:dyDescent="0.3">
      <c r="U167" s="30">
        <v>144</v>
      </c>
      <c r="V167">
        <f t="shared" si="8"/>
        <v>0.39400586919298264</v>
      </c>
      <c r="W167">
        <f t="shared" si="9"/>
        <v>0.39091920663199525</v>
      </c>
      <c r="X167">
        <f t="shared" si="10"/>
        <v>4.2271562766865924E-2</v>
      </c>
      <c r="Y167">
        <f t="shared" si="11"/>
        <v>0</v>
      </c>
    </row>
    <row r="168" spans="21:25" x14ac:dyDescent="0.3">
      <c r="U168" s="30">
        <v>145</v>
      </c>
      <c r="V168">
        <f t="shared" si="8"/>
        <v>0.38644461012177844</v>
      </c>
      <c r="W168">
        <f t="shared" si="9"/>
        <v>0.38347483490998874</v>
      </c>
      <c r="X168">
        <f t="shared" si="10"/>
        <v>4.2271562766865924E-2</v>
      </c>
      <c r="Y168">
        <f t="shared" si="11"/>
        <v>0</v>
      </c>
    </row>
    <row r="169" spans="21:25" x14ac:dyDescent="0.3">
      <c r="U169" s="30">
        <v>146</v>
      </c>
      <c r="V169">
        <f t="shared" si="8"/>
        <v>0.37906350361876695</v>
      </c>
      <c r="W169">
        <f t="shared" si="9"/>
        <v>0.37620567115803716</v>
      </c>
      <c r="X169">
        <f t="shared" si="10"/>
        <v>4.2271562766865924E-2</v>
      </c>
      <c r="Y169">
        <f t="shared" si="11"/>
        <v>0</v>
      </c>
    </row>
    <row r="170" spans="21:25" x14ac:dyDescent="0.3">
      <c r="U170" s="30">
        <v>147</v>
      </c>
      <c r="V170">
        <f t="shared" si="8"/>
        <v>0.37185751132739764</v>
      </c>
      <c r="W170">
        <f t="shared" si="9"/>
        <v>0.36910690660388112</v>
      </c>
      <c r="X170">
        <f t="shared" si="10"/>
        <v>4.2271562766865924E-2</v>
      </c>
      <c r="Y170">
        <f t="shared" si="11"/>
        <v>0</v>
      </c>
    </row>
    <row r="171" spans="21:25" x14ac:dyDescent="0.3">
      <c r="U171" s="30">
        <v>148</v>
      </c>
      <c r="V171">
        <f t="shared" si="8"/>
        <v>0.36482175526490612</v>
      </c>
      <c r="W171">
        <f t="shared" si="9"/>
        <v>0.36217388129526207</v>
      </c>
      <c r="X171">
        <f t="shared" si="10"/>
        <v>4.2271562766865924E-2</v>
      </c>
      <c r="Y171">
        <f t="shared" si="11"/>
        <v>0</v>
      </c>
    </row>
    <row r="172" spans="21:25" x14ac:dyDescent="0.3">
      <c r="U172" s="30">
        <v>149</v>
      </c>
      <c r="V172">
        <f t="shared" si="8"/>
        <v>0.35795151212869969</v>
      </c>
      <c r="W172">
        <f t="shared" si="9"/>
        <v>0.35540207903045051</v>
      </c>
      <c r="X172">
        <f t="shared" si="10"/>
        <v>4.2271562766865924E-2</v>
      </c>
      <c r="Y172">
        <f t="shared" si="11"/>
        <v>0</v>
      </c>
    </row>
    <row r="173" spans="21:25" x14ac:dyDescent="0.3">
      <c r="U173" s="30">
        <v>150</v>
      </c>
      <c r="V173">
        <f t="shared" si="8"/>
        <v>0.35124220782495985</v>
      </c>
      <c r="W173">
        <f t="shared" si="9"/>
        <v>0.34878712247507881</v>
      </c>
      <c r="X173">
        <f t="shared" si="10"/>
        <v>4.2271562766865924E-2</v>
      </c>
      <c r="Y173">
        <f t="shared" si="11"/>
        <v>0</v>
      </c>
    </row>
  </sheetData>
  <sheetProtection selectLockedCells="1"/>
  <dataValidations disablePrompts="1" count="1">
    <dataValidation type="list" allowBlank="1" showInputMessage="1" showErrorMessage="1" sqref="F3">
      <formula1>"0, 0.88, 1"</formula1>
    </dataValidation>
  </dataValidations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21</vt:i4>
      </vt:variant>
    </vt:vector>
  </HeadingPairs>
  <TitlesOfParts>
    <vt:vector size="23" baseType="lpstr">
      <vt:lpstr>Boost</vt:lpstr>
      <vt:lpstr>External Components</vt:lpstr>
      <vt:lpstr>Boost!CM</vt:lpstr>
      <vt:lpstr>Boost!D</vt:lpstr>
      <vt:lpstr>Boost!D1_</vt:lpstr>
      <vt:lpstr>Boost!D2_</vt:lpstr>
      <vt:lpstr>Boost!Dbar</vt:lpstr>
      <vt:lpstr>Boost!FS</vt:lpstr>
      <vt:lpstr>Boost!IL</vt:lpstr>
      <vt:lpstr>Boost!ILD</vt:lpstr>
      <vt:lpstr>Boost!ILOAD</vt:lpstr>
      <vt:lpstr>Boost!Ipeak</vt:lpstr>
      <vt:lpstr>Boost!Ipp</vt:lpstr>
      <vt:lpstr>Boost!Ivalley</vt:lpstr>
      <vt:lpstr>Boost!L</vt:lpstr>
      <vt:lpstr>Boost!RD</vt:lpstr>
      <vt:lpstr>Boost!RDS_ON</vt:lpstr>
      <vt:lpstr>Boost!RL</vt:lpstr>
      <vt:lpstr>Boost!TS</vt:lpstr>
      <vt:lpstr>'External Components'!VBOOST</vt:lpstr>
      <vt:lpstr>Boost!VD</vt:lpstr>
      <vt:lpstr>Boost!VIN</vt:lpstr>
      <vt:lpstr>Boost!VO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2020-07-23T08:05:53Z</dcterms:modified>
</cp:coreProperties>
</file>