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embeddings/oleObject1.bin" ContentType="application/vnd.openxmlformats-officedocument.oleObject"/>
  <Override PartName="/xl/charts/chart1.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workbookProtection workbookPassword="EC20" lockStructure="1"/>
  <bookViews>
    <workbookView xWindow="14510" yWindow="-20" windowWidth="14310" windowHeight="12990"/>
  </bookViews>
  <sheets>
    <sheet name="InputSheet" sheetId="14" r:id="rId1"/>
    <sheet name="DeviceCalculator" sheetId="7" r:id="rId2"/>
    <sheet name="Schematic Checklist" sheetId="6" state="hidden" r:id="rId3"/>
    <sheet name="Layout Checklist" sheetId="5" state="hidden" r:id="rId4"/>
    <sheet name="Small Signal" sheetId="12" state="hidden" r:id="rId5"/>
    <sheet name="partData" sheetId="8" state="hidden" r:id="rId6"/>
    <sheet name="Std. R and C Values" sheetId="10" state="hidden" r:id="rId7"/>
    <sheet name="Extra" sheetId="4" state="hidden" r:id="rId8"/>
    <sheet name="revisionNotes" sheetId="13" r:id="rId9"/>
  </sheets>
  <externalReferences>
    <externalReference r:id="rId10"/>
  </externalReferences>
  <definedNames>
    <definedName name="_xlnm._FilterDatabase" localSheetId="3" hidden="1">'Layout Checklist'!$A$1:$H$50</definedName>
    <definedName name="_xlnm._FilterDatabase" localSheetId="2" hidden="1">'Schematic Checklist'!$A$1:$I$1</definedName>
    <definedName name="C_f1">'Std. R and C Values'!$K$18</definedName>
    <definedName name="C_f2">'Std. R and C Values'!$K$25</definedName>
    <definedName name="c_s1">'Std. R and C Values'!$J$7</definedName>
    <definedName name="C_s2">'Std. R and C Values'!$J$20</definedName>
    <definedName name="Cboot">DeviceCalculator!$E$158</definedName>
    <definedName name="Cboot_req">DeviceCalculator!$D$157</definedName>
    <definedName name="Cc_ss">'Small Signal'!$B$8</definedName>
    <definedName name="Ccomp">DeviceCalculator!$E$118*10^-9</definedName>
    <definedName name="Ccomp_fco">DeviceCalculator!$D$116</definedName>
    <definedName name="Ccomp_ps_fpole">DeviceCalculator!$D$115</definedName>
    <definedName name="Ccomp_rec">MAX(Ccomp_ps_fpole,Ccomp_fco)</definedName>
    <definedName name="Ccomp_rec_std">DeviceCalculator!$D$117</definedName>
    <definedName name="Ce">'Small Signal'!$B$91</definedName>
    <definedName name="Cff">IF(DeviceCalculator!$E$128=0,0.000000000000001,DeviceCalculator!$E$128*10^-12)</definedName>
    <definedName name="Cff_fsw">DeviceCalculator!$D$126</definedName>
    <definedName name="Cff_rec">Cff_fsw</definedName>
    <definedName name="Cff_rec_std">DeviceCalculator!$D$127</definedName>
    <definedName name="Cff_ss">'Small Signal'!$B$10</definedName>
    <definedName name="Cin">DeviceCalculator!$E$90</definedName>
    <definedName name="Cin_derating">DeviceCalculator!$E$91</definedName>
    <definedName name="Cin_eff">DeviceCalculator!$F$92</definedName>
    <definedName name="Cin_min">DeviceCalculator!$D$89</definedName>
    <definedName name="Co_bulk">DeviceCalculator!$E$72</definedName>
    <definedName name="Co_bulk_eff">DeviceCalculator!$F$75</definedName>
    <definedName name="Co_bulk_eff_F">Co_bulk_eff*10^-6</definedName>
    <definedName name="Co_cer">DeviceCalculator!$E$66</definedName>
    <definedName name="Co_cer_eff">DeviceCalculator!$F$70</definedName>
    <definedName name="Co_cer_eff_F">Co_cer_eff*10^-6</definedName>
    <definedName name="Co_derate_cer">DeviceCalculator!$E$69</definedName>
    <definedName name="Co_ss">'Small Signal'!$B$14</definedName>
    <definedName name="Co_total">DeviceCalculator!$F$78</definedName>
    <definedName name="Co_total_F">Co_total*10^-6</definedName>
    <definedName name="Co2_ss">'Small Signal'!$B$16</definedName>
    <definedName name="Cout_F">Cout*0.000001</definedName>
    <definedName name="Cout_min">DeviceCalculator!$D$62</definedName>
    <definedName name="Cp_ss">'Small Signal'!$B$9</definedName>
    <definedName name="Cpole">DeviceCalculator!$E$124*10^-12</definedName>
    <definedName name="Cpole_ESR_fzero">DeviceCalculator!$D$120</definedName>
    <definedName name="Cpole_fco">DeviceCalculator!$D$122</definedName>
    <definedName name="Cpole_fsw">DeviceCalculator!$D$121</definedName>
    <definedName name="Cpole_rec">MAX(Cpole_ESR_fzero,Cpole_fsw,Cpole_fco)</definedName>
    <definedName name="Cpole_rec_std">DeviceCalculator!$D$123</definedName>
    <definedName name="Css">DeviceCalculator!$E$143</definedName>
    <definedName name="Css_std">DeviceCalculator!$D$142</definedName>
    <definedName name="DCR">DeviceCalculator!$E$47</definedName>
    <definedName name="DCR_Ohm" localSheetId="0">[0]!DCR*0.001</definedName>
    <definedName name="DCR_Ohm">DCR*10^-3</definedName>
    <definedName name="dVo_dc">DeviceCalculator!$C$57</definedName>
    <definedName name="dVo_trans">DeviceCalculator!$C$56</definedName>
    <definedName name="E12_f">'Std. R and C Values'!$F$22</definedName>
    <definedName name="E12_s">'Std. R and C Values'!$E$11</definedName>
    <definedName name="E24_f">'Std. R and C Values'!$F$47</definedName>
    <definedName name="E24_s">'Std. R and C Values'!$E$24</definedName>
    <definedName name="E48_f">'Std. R and C Values'!$F$96</definedName>
    <definedName name="E48_s">'Std. R and C Values'!$E$49</definedName>
    <definedName name="E6_f">'Std. R and C Values'!$F$9</definedName>
    <definedName name="E6_s">'Std. R and C Values'!$E$4</definedName>
    <definedName name="E96_f">'Std. R and C Values'!$H$99</definedName>
    <definedName name="E96_s">'Std. R and C Values'!$G$4</definedName>
    <definedName name="EN_fall">DeviceCalculator!$C$10</definedName>
    <definedName name="EN_rise">DeviceCalculator!$C$9</definedName>
    <definedName name="ESR_bulk">DeviceCalculator!$E$73</definedName>
    <definedName name="ESR_bulk_eff">DeviceCalculator!$F$76</definedName>
    <definedName name="ESR_bulk_eff_Ohm">ESR_bulk_eff*10^-3</definedName>
    <definedName name="ESR_cer">DeviceCalculator!$E$67</definedName>
    <definedName name="ESR_cer_eff">DeviceCalculator!$F$71</definedName>
    <definedName name="ESR_cer_eff_Ohm">ESR_cer_eff*10^-3</definedName>
    <definedName name="ESR_Ohm">[0]!ESR*0.001</definedName>
    <definedName name="ESR_ss">'Small Signal'!$B$15</definedName>
    <definedName name="ESR2_ss">'Small Signal'!$B$17</definedName>
    <definedName name="fbw_ea">'Small Signal'!$B$53</definedName>
    <definedName name="FCCM">'Small Signal'!$B$50</definedName>
    <definedName name="fco">'Small Signal'!$C$19</definedName>
    <definedName name="fco_3">DeviceCalculator!$D$109</definedName>
    <definedName name="fco_est">DeviceCalculator!$D$58</definedName>
    <definedName name="fco_target">DeviceCalculator!$E$110</definedName>
    <definedName name="fco_target_Hz">fco_target*10^3</definedName>
    <definedName name="fm">'Small Signal'!$B$64</definedName>
    <definedName name="fp_cff">'Small Signal'!$C$30</definedName>
    <definedName name="fpole_Hz">DeviceCalculator!$F$105*10^3</definedName>
    <definedName name="fsw">DeviceCalculator!$F$38</definedName>
    <definedName name="fsw_Hz" localSheetId="0">[0]!fsw_select*1000</definedName>
    <definedName name="fsw_Hz">fsw*1000</definedName>
    <definedName name="fsw_max">DeviceCalculator!$C$16</definedName>
    <definedName name="fsw_max_toff">DeviceCalculator!$D$33</definedName>
    <definedName name="fsw_max_ton">DeviceCalculator!$D$32</definedName>
    <definedName name="fsw_min">DeviceCalculator!$C$15</definedName>
    <definedName name="fsw_select">DeviceCalculator!$C$34</definedName>
    <definedName name="fsw_ss">'Small Signal'!$B$11</definedName>
    <definedName name="fz_cff">'Small Signal'!$C$29</definedName>
    <definedName name="fz_ESR_bulk">DeviceCalculator!$F$84</definedName>
    <definedName name="fz_ESR_cer">DeviceCalculator!$F$83</definedName>
    <definedName name="fzero_ESR">DeviceCalculator!$F$106</definedName>
    <definedName name="fzero_ESR_Hz">DeviceCalculator!$F$106*1000</definedName>
    <definedName name="gainMargin">'Small Signal'!$C$21</definedName>
    <definedName name="gmea">DeviceCalculator!$C$21*10^-6</definedName>
    <definedName name="gmps">DeviceCalculator!$C$22</definedName>
    <definedName name="I_1">DeviceCalculator!$C$23/10^6</definedName>
    <definedName name="Ihys">DeviceCalculator!$C$24/10^6</definedName>
    <definedName name="Ilim_peak">DeviceCalculator!$C$14</definedName>
    <definedName name="Io_max_IC">DeviceCalculator!$C$8</definedName>
    <definedName name="Io_ss">'Small Signal'!$B$4</definedName>
    <definedName name="Io_step">DeviceCalculator!$C$55</definedName>
    <definedName name="Iout">DeviceCalculator!$C$30</definedName>
    <definedName name="Iripple_max">DeviceCalculator!$F$49</definedName>
    <definedName name="Iripple_min">DeviceCalculator!$F$52</definedName>
    <definedName name="Iss">DeviceCalculator!$C$12</definedName>
    <definedName name="k_2">'Small Signal'!$B$84</definedName>
    <definedName name="Kind">DeviceCalculator!$C$41</definedName>
    <definedName name="L_rec">DeviceCalculator!$D$45</definedName>
    <definedName name="Lo_ss">'Small Signal'!$B$12</definedName>
    <definedName name="Lout">DeviceCalculator!$E$46</definedName>
    <definedName name="Lout_H" localSheetId="0">[0]!Lout*0.000001</definedName>
    <definedName name="Lout_H">Lout*10^-6</definedName>
    <definedName name="mc">'Small Signal'!$B$82</definedName>
    <definedName name="N_Co_bulk">DeviceCalculator!$E$74</definedName>
    <definedName name="N_Co_cer">DeviceCalculator!$E$68</definedName>
    <definedName name="OC_clamp">DeviceCalculator!$C$14</definedName>
    <definedName name="phaseMargin">'Small Signal'!$C$20</definedName>
    <definedName name="_xlnm.Print_Area" localSheetId="6">'Std. R and C Values'!$A$2:$I$46</definedName>
    <definedName name="q_2">'Small Signal'!$B$87</definedName>
    <definedName name="q_2_vimax">'Small Signal'!$C$87</definedName>
    <definedName name="Rc_ss">'Small Signal'!$B$7</definedName>
    <definedName name="Rcomp">DeviceCalculator!$E$114*1000</definedName>
    <definedName name="Rcomp_std">DeviceCalculator!$D$113</definedName>
    <definedName name="Rdc_ss">'Small Signal'!$B$13</definedName>
    <definedName name="Rdson_HS">DeviceCalculator!$C$19</definedName>
    <definedName name="Rdson_HS_Ohm" localSheetId="0">[0]!Rdson_HS*0.001</definedName>
    <definedName name="Rdson_HS_Ohm">Rdson_HS*0.001</definedName>
    <definedName name="Rdson_LS">DeviceCalculator!$C$20</definedName>
    <definedName name="Rdson_LS_Ohm" localSheetId="0">[0]!Rdson_LS*0.001</definedName>
    <definedName name="Rdson_LS_Ohm">Rdson_LS*0.001</definedName>
    <definedName name="Re">'Small Signal'!$B$90</definedName>
    <definedName name="Re_vimax">'Small Signal'!$C$90</definedName>
    <definedName name="Ren_b">DeviceCalculator!$E$152*1000</definedName>
    <definedName name="Ren_t">DeviceCalculator!$E$150*1000</definedName>
    <definedName name="Rfb_b">DeviceCalculator!$E$98</definedName>
    <definedName name="Rfb_t">DeviceCalculator!$E$101</definedName>
    <definedName name="Rhs_ss">'Small Signal'!$B$5</definedName>
    <definedName name="Rhs_std">DeviceCalculator!$D$100</definedName>
    <definedName name="Ri">'Small Signal'!$B$54</definedName>
    <definedName name="Rls_ss">'Small Signal'!$B$6</definedName>
    <definedName name="Rls_std">DeviceCalculator!$D$97</definedName>
    <definedName name="Ro">'Small Signal'!$B$39</definedName>
    <definedName name="Rpg">DeviceCalculator!$E$160</definedName>
    <definedName name="Rpg_rec">DeviceCalculator!$D$159</definedName>
    <definedName name="Rt">DeviceCalculator!$E$37</definedName>
    <definedName name="Rt_std">DeviceCalculator!$D$36</definedName>
    <definedName name="Se_ss">'Small Signal'!$B$56</definedName>
    <definedName name="Sf">'Small Signal'!$B$66</definedName>
    <definedName name="Sn">'Small Signal'!$B$65</definedName>
    <definedName name="sn_vimax">'Small Signal'!$C$65</definedName>
    <definedName name="toff_min">DeviceCalculator!$C$18</definedName>
    <definedName name="toff_min_max_sec">toff_min_max*0.000000001</definedName>
    <definedName name="toff_min_sec">toff_min*0.000000001</definedName>
    <definedName name="Tol_L">DeviceCalculator!$E$48</definedName>
    <definedName name="ton_min_max">DeviceCalculator!$C$17</definedName>
    <definedName name="ton_min_max_sec" localSheetId="0">[0]!ton_min_max*10^-9</definedName>
    <definedName name="ton_min_max_sec">ton_min_max*10^-9</definedName>
    <definedName name="tss">DeviceCalculator!$F$144</definedName>
    <definedName name="tss_target">DeviceCalculator!$C$140</definedName>
    <definedName name="Vi_ripple_target">DeviceCalculator!$C$88</definedName>
    <definedName name="Vi_ss">'Small Signal'!$B$2</definedName>
    <definedName name="Vin_max">DeviceCalculator!$C$28</definedName>
    <definedName name="Vin_min">DeviceCalculator!$C$26</definedName>
    <definedName name="Vin_nom">DeviceCalculator!$C$27</definedName>
    <definedName name="Vo_ss">'Small Signal'!$B$3</definedName>
    <definedName name="Vout">DeviceCalculator!$C$29</definedName>
    <definedName name="Vref">DeviceCalculator!$C$7</definedName>
    <definedName name="Vstart_target">DeviceCalculator!$C$147</definedName>
    <definedName name="Vstop_target">DeviceCalculator!$C$148</definedName>
    <definedName name="w_2">'Small Signal'!$B$88</definedName>
    <definedName name="wp">'Small Signal'!$B$83</definedName>
    <definedName name="Zbulk_fco">DeviceCalculator!$F$136</definedName>
    <definedName name="Zbulk_fsw">DeviceCalculator!$F$80</definedName>
    <definedName name="Zcer_fco">DeviceCalculator!$F$135</definedName>
    <definedName name="Zcer_fsw">DeviceCalculator!$F$79</definedName>
    <definedName name="Zco_cer">DeviceCalculator!$F$138</definedName>
    <definedName name="Zco_fco_total">DeviceCalculator!$F$82</definedName>
    <definedName name="Zcout_fsw">DeviceCalculator!$F$81</definedName>
    <definedName name="Zout_fco">DeviceCalculator!$F$137</definedName>
  </definedNames>
  <calcPr calcId="145621"/>
</workbook>
</file>

<file path=xl/calcChain.xml><?xml version="1.0" encoding="utf-8"?>
<calcChain xmlns="http://schemas.openxmlformats.org/spreadsheetml/2006/main">
  <c r="Z10" i="8" l="1"/>
  <c r="Y10" i="8"/>
  <c r="B1" i="8"/>
  <c r="C1" i="8"/>
  <c r="D1" i="8"/>
  <c r="E1" i="8" s="1"/>
  <c r="F1" i="8" s="1"/>
  <c r="G1" i="8" s="1"/>
  <c r="H1" i="8" s="1"/>
  <c r="I1" i="8" s="1"/>
  <c r="J1" i="8" s="1"/>
  <c r="K1" i="8" s="1"/>
  <c r="L1" i="8" s="1"/>
  <c r="M1" i="8" s="1"/>
  <c r="N1" i="8" s="1"/>
  <c r="O1" i="8" s="1"/>
  <c r="P1" i="8" s="1"/>
  <c r="Q1" i="8" s="1"/>
  <c r="R1" i="8" s="1"/>
  <c r="S1" i="8" s="1"/>
  <c r="T1" i="8" s="1"/>
  <c r="U1" i="8" s="1"/>
  <c r="V1" i="8" s="1"/>
  <c r="W1" i="8" s="1"/>
  <c r="Z7" i="8"/>
  <c r="S8" i="8"/>
  <c r="Z9" i="8"/>
  <c r="F92" i="7" l="1"/>
  <c r="F153" i="7" l="1"/>
  <c r="C24" i="7"/>
  <c r="C23" i="7"/>
  <c r="C12" i="7" l="1"/>
  <c r="D33" i="12"/>
  <c r="D32" i="12"/>
  <c r="F70" i="7"/>
  <c r="C14" i="12" s="1"/>
  <c r="F75" i="7"/>
  <c r="F76" i="7"/>
  <c r="C17" i="12" s="1"/>
  <c r="F71" i="7"/>
  <c r="F83" i="7" l="1"/>
  <c r="F84" i="7"/>
  <c r="C16" i="12"/>
  <c r="F78" i="7"/>
  <c r="F105" i="7" l="1"/>
  <c r="F106" i="7"/>
  <c r="C12" i="12"/>
  <c r="C13" i="12"/>
  <c r="D107" i="7" l="1"/>
  <c r="B53" i="12" l="1"/>
  <c r="B50" i="12"/>
  <c r="C22" i="7"/>
  <c r="C21" i="7"/>
  <c r="C11" i="7"/>
  <c r="C20" i="7"/>
  <c r="C19" i="7"/>
  <c r="C18" i="7"/>
  <c r="C17" i="7"/>
  <c r="C15" i="7"/>
  <c r="C14" i="7"/>
  <c r="C13" i="7"/>
  <c r="C10" i="7"/>
  <c r="C9" i="7"/>
  <c r="F154" i="7" s="1"/>
  <c r="C8" i="7"/>
  <c r="C7" i="7"/>
  <c r="C6" i="7"/>
  <c r="C5" i="7"/>
  <c r="C3" i="12"/>
  <c r="C2" i="12"/>
  <c r="D96" i="7" l="1"/>
  <c r="D97" i="7" s="1"/>
  <c r="F155" i="7"/>
  <c r="D151" i="7"/>
  <c r="D149" i="7"/>
  <c r="D141" i="7"/>
  <c r="D142" i="7" s="1"/>
  <c r="B54" i="12"/>
  <c r="C6" i="12"/>
  <c r="F144" i="7" l="1"/>
  <c r="F145" i="7" s="1"/>
  <c r="C16" i="7"/>
  <c r="D32" i="7" s="1"/>
  <c r="V17" i="8" l="1"/>
  <c r="V6" i="8"/>
  <c r="V9" i="8"/>
  <c r="V13" i="8"/>
  <c r="V3" i="8"/>
  <c r="V7" i="8"/>
  <c r="V10" i="8"/>
  <c r="V14" i="8"/>
  <c r="V12" i="8"/>
  <c r="V15" i="8"/>
  <c r="V4" i="8"/>
  <c r="V11" i="8"/>
  <c r="V16" i="8"/>
  <c r="V5" i="8"/>
  <c r="V8" i="8"/>
  <c r="D33" i="7"/>
  <c r="D35" i="7" l="1"/>
  <c r="D63" i="7"/>
  <c r="C15" i="12"/>
  <c r="B15" i="12" l="1"/>
  <c r="B17" i="12"/>
  <c r="E17" i="12" s="1"/>
  <c r="B12" i="12"/>
  <c r="E12" i="12" s="1"/>
  <c r="B13" i="12"/>
  <c r="B3" i="12"/>
  <c r="E3" i="12" s="1"/>
  <c r="B2" i="12"/>
  <c r="E2" i="12" s="1"/>
  <c r="L212" i="12"/>
  <c r="L211" i="12"/>
  <c r="L210" i="12"/>
  <c r="L209" i="12"/>
  <c r="L208" i="12"/>
  <c r="L207" i="12"/>
  <c r="L206" i="12"/>
  <c r="L205" i="12"/>
  <c r="L204" i="12"/>
  <c r="L203" i="12"/>
  <c r="M203" i="12" s="1"/>
  <c r="L202" i="12"/>
  <c r="L201" i="12"/>
  <c r="L200" i="12"/>
  <c r="L199" i="12"/>
  <c r="L198" i="12"/>
  <c r="L197" i="12"/>
  <c r="L196" i="12"/>
  <c r="L195" i="12"/>
  <c r="L194" i="12"/>
  <c r="L193" i="12"/>
  <c r="L192" i="12"/>
  <c r="L191" i="12"/>
  <c r="L190" i="12"/>
  <c r="L189" i="12"/>
  <c r="L188" i="12"/>
  <c r="L187" i="12"/>
  <c r="L186" i="12"/>
  <c r="L185" i="12"/>
  <c r="L184" i="12"/>
  <c r="L183" i="12"/>
  <c r="L182" i="12"/>
  <c r="L181" i="12"/>
  <c r="L180" i="12"/>
  <c r="L179" i="12"/>
  <c r="L178" i="12"/>
  <c r="L177" i="12"/>
  <c r="L176" i="12"/>
  <c r="L175" i="12"/>
  <c r="L174" i="12"/>
  <c r="L173" i="12"/>
  <c r="L172" i="12"/>
  <c r="L171" i="12"/>
  <c r="L170" i="12"/>
  <c r="L169" i="12"/>
  <c r="L168" i="12"/>
  <c r="L167" i="12"/>
  <c r="L166" i="12"/>
  <c r="L165" i="12"/>
  <c r="L164" i="12"/>
  <c r="L163" i="12"/>
  <c r="L162" i="12"/>
  <c r="L161" i="12"/>
  <c r="L160" i="12"/>
  <c r="L159" i="12"/>
  <c r="L158" i="12"/>
  <c r="L157" i="12"/>
  <c r="L156" i="12"/>
  <c r="L155" i="12"/>
  <c r="L154" i="12"/>
  <c r="L153" i="12"/>
  <c r="L152" i="12"/>
  <c r="M152" i="12" s="1"/>
  <c r="L151" i="12"/>
  <c r="M150" i="12"/>
  <c r="L150" i="12"/>
  <c r="L149" i="12"/>
  <c r="L148" i="12"/>
  <c r="L147" i="12"/>
  <c r="L146" i="12"/>
  <c r="M146" i="12" s="1"/>
  <c r="L145" i="12"/>
  <c r="L144" i="12"/>
  <c r="L143" i="12"/>
  <c r="L142" i="12"/>
  <c r="L141" i="12"/>
  <c r="L140" i="12"/>
  <c r="L139" i="12"/>
  <c r="L138" i="12"/>
  <c r="L137" i="12"/>
  <c r="L136" i="12"/>
  <c r="L135" i="12"/>
  <c r="L134" i="12"/>
  <c r="L133" i="12"/>
  <c r="L132" i="12"/>
  <c r="L131" i="12"/>
  <c r="L130" i="12"/>
  <c r="L129" i="12"/>
  <c r="L128" i="12"/>
  <c r="L127" i="12"/>
  <c r="L126" i="12"/>
  <c r="L125" i="12"/>
  <c r="L124" i="12"/>
  <c r="M124" i="12" s="1"/>
  <c r="L123" i="12"/>
  <c r="L122" i="12"/>
  <c r="L121" i="12"/>
  <c r="L120" i="12"/>
  <c r="L119" i="12"/>
  <c r="L118" i="12"/>
  <c r="M118" i="12" s="1"/>
  <c r="L117" i="12"/>
  <c r="L116" i="12"/>
  <c r="L115" i="12"/>
  <c r="L114" i="12"/>
  <c r="L113" i="12"/>
  <c r="L112" i="12"/>
  <c r="L111" i="12"/>
  <c r="L110" i="12"/>
  <c r="L109" i="12"/>
  <c r="L108" i="12"/>
  <c r="L107" i="12"/>
  <c r="L106" i="12"/>
  <c r="L105" i="12"/>
  <c r="L104" i="12"/>
  <c r="L103" i="12"/>
  <c r="L102" i="12"/>
  <c r="L101" i="12"/>
  <c r="L100" i="12"/>
  <c r="L99" i="12"/>
  <c r="L98" i="12"/>
  <c r="L97" i="12"/>
  <c r="L96" i="12"/>
  <c r="L95" i="12"/>
  <c r="L94" i="12"/>
  <c r="L93" i="12"/>
  <c r="L92" i="12"/>
  <c r="L91" i="12"/>
  <c r="L90" i="12"/>
  <c r="L89" i="12"/>
  <c r="L88" i="12"/>
  <c r="L87" i="12"/>
  <c r="M87" i="12" s="1"/>
  <c r="L86" i="12"/>
  <c r="L85" i="12"/>
  <c r="L84" i="12"/>
  <c r="L83" i="12"/>
  <c r="L82" i="12"/>
  <c r="L81" i="12"/>
  <c r="L80" i="12"/>
  <c r="L79" i="12"/>
  <c r="L78" i="12"/>
  <c r="L77" i="12"/>
  <c r="L76" i="12"/>
  <c r="L75" i="12"/>
  <c r="L74" i="12"/>
  <c r="L73" i="12"/>
  <c r="L72" i="12"/>
  <c r="L71" i="12"/>
  <c r="L70" i="12"/>
  <c r="M70" i="12" s="1"/>
  <c r="L69" i="12"/>
  <c r="L68" i="12"/>
  <c r="L67" i="12"/>
  <c r="L66" i="12"/>
  <c r="L65" i="12"/>
  <c r="L64" i="12"/>
  <c r="L63" i="12"/>
  <c r="L62" i="12"/>
  <c r="L61" i="12"/>
  <c r="L60" i="12"/>
  <c r="L59" i="12"/>
  <c r="M59" i="12" s="1"/>
  <c r="L58" i="12"/>
  <c r="L57" i="12"/>
  <c r="L56" i="12"/>
  <c r="L55" i="12"/>
  <c r="L54" i="12"/>
  <c r="L53" i="12"/>
  <c r="L52" i="12"/>
  <c r="L51" i="12"/>
  <c r="L50" i="12"/>
  <c r="L49" i="12"/>
  <c r="L48" i="12"/>
  <c r="L47" i="12"/>
  <c r="L46" i="12"/>
  <c r="L45" i="12"/>
  <c r="L44" i="12"/>
  <c r="L43" i="12"/>
  <c r="L42" i="12"/>
  <c r="L41" i="12"/>
  <c r="L40" i="12"/>
  <c r="L39" i="12"/>
  <c r="M38" i="12"/>
  <c r="L38" i="12"/>
  <c r="L37" i="12"/>
  <c r="L36" i="12"/>
  <c r="L35" i="12"/>
  <c r="L34" i="12"/>
  <c r="L33" i="12"/>
  <c r="L32" i="12"/>
  <c r="L31" i="12"/>
  <c r="L30" i="12"/>
  <c r="L29" i="12"/>
  <c r="L28" i="12"/>
  <c r="L27" i="12"/>
  <c r="L26" i="12"/>
  <c r="L25" i="12"/>
  <c r="L24" i="12"/>
  <c r="L23" i="12"/>
  <c r="L22" i="12"/>
  <c r="M22" i="12" s="1"/>
  <c r="L21" i="12"/>
  <c r="L20" i="12"/>
  <c r="L19" i="12"/>
  <c r="M19" i="12" s="1"/>
  <c r="L18" i="12"/>
  <c r="L17" i="12"/>
  <c r="L16" i="12"/>
  <c r="B16" i="12"/>
  <c r="E16" i="12" s="1"/>
  <c r="L15" i="12"/>
  <c r="L14" i="12"/>
  <c r="B14" i="12"/>
  <c r="E14" i="12" s="1"/>
  <c r="L13" i="12"/>
  <c r="L12" i="12"/>
  <c r="L11" i="12"/>
  <c r="L10" i="12"/>
  <c r="L9" i="12"/>
  <c r="L8" i="12"/>
  <c r="L7" i="12"/>
  <c r="L6" i="12"/>
  <c r="L5" i="12"/>
  <c r="L4" i="12"/>
  <c r="C4" i="12"/>
  <c r="B4" i="12" s="1"/>
  <c r="E4" i="12" s="1"/>
  <c r="L3" i="12"/>
  <c r="L2" i="12"/>
  <c r="L20" i="10"/>
  <c r="C9" i="10"/>
  <c r="C8" i="10"/>
  <c r="L7" i="10"/>
  <c r="C7" i="10"/>
  <c r="C6" i="10"/>
  <c r="C5" i="10"/>
  <c r="K4" i="10"/>
  <c r="B43" i="12" l="1"/>
  <c r="E13" i="12"/>
  <c r="B41" i="12"/>
  <c r="E15" i="12"/>
  <c r="M6" i="12"/>
  <c r="M42" i="12"/>
  <c r="M2" i="12"/>
  <c r="M3" i="12"/>
  <c r="M45" i="12"/>
  <c r="M52" i="12"/>
  <c r="M9" i="12"/>
  <c r="M15" i="12"/>
  <c r="M20" i="12"/>
  <c r="M26" i="12"/>
  <c r="M39" i="12"/>
  <c r="M46" i="12"/>
  <c r="M53" i="12"/>
  <c r="M60" i="12"/>
  <c r="M67" i="12"/>
  <c r="M73" i="12"/>
  <c r="M81" i="12"/>
  <c r="M93" i="12"/>
  <c r="M100" i="12"/>
  <c r="M108" i="12"/>
  <c r="M137" i="12"/>
  <c r="M143" i="12"/>
  <c r="M156" i="12"/>
  <c r="M169" i="12"/>
  <c r="M177" i="12"/>
  <c r="M185" i="12"/>
  <c r="M207" i="12"/>
  <c r="M36" i="12"/>
  <c r="M74" i="12"/>
  <c r="M94" i="12"/>
  <c r="M109" i="12"/>
  <c r="M116" i="12"/>
  <c r="M123" i="12"/>
  <c r="M130" i="12"/>
  <c r="M157" i="12"/>
  <c r="M164" i="12"/>
  <c r="M170" i="12"/>
  <c r="M193" i="12"/>
  <c r="M201" i="12"/>
  <c r="M11" i="12"/>
  <c r="M27" i="12"/>
  <c r="M4" i="12"/>
  <c r="M16" i="12"/>
  <c r="M21" i="12"/>
  <c r="M28" i="12"/>
  <c r="M34" i="12"/>
  <c r="M40" i="12"/>
  <c r="M55" i="12"/>
  <c r="M75" i="12"/>
  <c r="M82" i="12"/>
  <c r="M95" i="12"/>
  <c r="M102" i="12"/>
  <c r="M117" i="12"/>
  <c r="M138" i="12"/>
  <c r="M145" i="12"/>
  <c r="M151" i="12"/>
  <c r="M158" i="12"/>
  <c r="M179" i="12"/>
  <c r="M187" i="12"/>
  <c r="M209" i="12"/>
  <c r="M17" i="12"/>
  <c r="M29" i="12"/>
  <c r="M35" i="12"/>
  <c r="M56" i="12"/>
  <c r="M63" i="12"/>
  <c r="M76" i="12"/>
  <c r="M83" i="12"/>
  <c r="M132" i="12"/>
  <c r="M139" i="12"/>
  <c r="M166" i="12"/>
  <c r="M172" i="12"/>
  <c r="M180" i="12"/>
  <c r="M195" i="12"/>
  <c r="M90" i="12"/>
  <c r="M173" i="12"/>
  <c r="M181" i="12"/>
  <c r="M189" i="12"/>
  <c r="M5" i="12"/>
  <c r="M12" i="12"/>
  <c r="M57" i="12"/>
  <c r="M13" i="12"/>
  <c r="M31" i="12"/>
  <c r="M37" i="12"/>
  <c r="M43" i="12"/>
  <c r="M58" i="12"/>
  <c r="M64" i="12"/>
  <c r="M84" i="12"/>
  <c r="M91" i="12"/>
  <c r="M98" i="12"/>
  <c r="M105" i="12"/>
  <c r="M112" i="12"/>
  <c r="M140" i="12"/>
  <c r="M153" i="12"/>
  <c r="M167" i="12"/>
  <c r="M174" i="12"/>
  <c r="M197" i="12"/>
  <c r="M211" i="12"/>
  <c r="M24" i="12"/>
  <c r="M44" i="12"/>
  <c r="M65" i="12"/>
  <c r="M79" i="12"/>
  <c r="M92" i="12"/>
  <c r="M106" i="12"/>
  <c r="M120" i="12"/>
  <c r="M135" i="12"/>
  <c r="M141" i="12"/>
  <c r="M148" i="12"/>
  <c r="M168" i="12"/>
  <c r="M205" i="12"/>
  <c r="M8" i="12"/>
  <c r="M14" i="12"/>
  <c r="M25" i="12"/>
  <c r="M121" i="12"/>
  <c r="M128" i="12"/>
  <c r="M142" i="12"/>
  <c r="M155" i="12"/>
  <c r="M162" i="12"/>
  <c r="M191" i="12"/>
  <c r="M199" i="12"/>
  <c r="B65" i="12"/>
  <c r="B74" i="12"/>
  <c r="AM197" i="12"/>
  <c r="AM73" i="12"/>
  <c r="AM169" i="12"/>
  <c r="AM179" i="12"/>
  <c r="AH156" i="12"/>
  <c r="AM42" i="12"/>
  <c r="AH2" i="12"/>
  <c r="AH15" i="12"/>
  <c r="AJ203" i="12"/>
  <c r="AH211" i="12"/>
  <c r="AH44" i="12"/>
  <c r="AM67" i="12"/>
  <c r="AM39" i="12"/>
  <c r="AM156" i="12"/>
  <c r="AH143" i="12"/>
  <c r="AH203" i="12"/>
  <c r="B6" i="12"/>
  <c r="E6" i="12" s="1"/>
  <c r="AH12" i="12"/>
  <c r="AH31" i="12"/>
  <c r="AM59" i="12"/>
  <c r="AH109" i="12"/>
  <c r="AH124" i="12"/>
  <c r="AH148" i="12"/>
  <c r="AM211" i="12"/>
  <c r="AH207" i="12"/>
  <c r="AM2" i="12"/>
  <c r="AM15" i="12"/>
  <c r="AM44" i="12"/>
  <c r="AH55" i="12"/>
  <c r="AM130" i="12"/>
  <c r="AM143" i="12"/>
  <c r="AH166" i="12"/>
  <c r="AH174" i="12"/>
  <c r="AM180" i="12"/>
  <c r="AM203" i="12"/>
  <c r="AM31" i="12"/>
  <c r="AH74" i="12"/>
  <c r="AH83" i="12"/>
  <c r="AM148" i="12"/>
  <c r="AH157" i="12"/>
  <c r="AM199" i="12"/>
  <c r="AM6" i="12"/>
  <c r="AM19" i="12"/>
  <c r="AM92" i="12"/>
  <c r="AH153" i="12"/>
  <c r="AH162" i="12"/>
  <c r="AH195" i="12"/>
  <c r="AH6" i="12"/>
  <c r="AH24" i="12"/>
  <c r="AM27" i="12"/>
  <c r="AH45" i="12"/>
  <c r="AH60" i="12"/>
  <c r="AM74" i="12"/>
  <c r="AM83" i="12"/>
  <c r="AM157" i="12"/>
  <c r="AM3" i="12"/>
  <c r="AM13" i="12"/>
  <c r="AH37" i="12"/>
  <c r="AH137" i="12"/>
  <c r="AH141" i="12"/>
  <c r="AM195" i="12"/>
  <c r="AM16" i="12"/>
  <c r="AH42" i="12"/>
  <c r="AM56" i="12"/>
  <c r="AM65" i="12"/>
  <c r="AM93" i="12"/>
  <c r="AM137" i="12"/>
  <c r="AM141" i="12"/>
  <c r="AH187" i="12"/>
  <c r="AM20" i="12"/>
  <c r="AH25" i="12"/>
  <c r="AH46" i="12"/>
  <c r="AM75" i="12"/>
  <c r="AM209" i="12"/>
  <c r="AH75" i="12"/>
  <c r="AH11" i="12"/>
  <c r="AM14" i="12"/>
  <c r="AH117" i="12"/>
  <c r="AM177" i="12"/>
  <c r="AM187" i="12"/>
  <c r="AM205" i="12"/>
  <c r="AH14" i="12"/>
  <c r="AM25" i="12"/>
  <c r="AM52" i="12"/>
  <c r="AM84" i="12"/>
  <c r="AH90" i="12"/>
  <c r="AH112" i="12"/>
  <c r="AM11" i="12"/>
  <c r="AH128" i="12"/>
  <c r="AH193" i="12"/>
  <c r="AH197" i="12"/>
  <c r="AH116" i="12"/>
  <c r="AH17" i="12"/>
  <c r="AM26" i="12"/>
  <c r="AM142" i="12"/>
  <c r="AM151" i="12"/>
  <c r="AH20" i="12"/>
  <c r="AH158" i="12"/>
  <c r="AH209" i="12"/>
  <c r="AH26" i="12"/>
  <c r="AM35" i="12"/>
  <c r="AH58" i="12"/>
  <c r="AM95" i="12"/>
  <c r="AM193" i="12"/>
  <c r="AJ19" i="12"/>
  <c r="AJ211" i="12"/>
  <c r="AJ79" i="12"/>
  <c r="AJ56" i="12"/>
  <c r="AJ34" i="12"/>
  <c r="AJ17" i="12"/>
  <c r="AJ9" i="12"/>
  <c r="AJ95" i="12"/>
  <c r="AJ12" i="12"/>
  <c r="AJ83" i="12"/>
  <c r="AJ151" i="12"/>
  <c r="AJ164" i="12"/>
  <c r="AJ46" i="12"/>
  <c r="AJ92" i="12"/>
  <c r="AJ156" i="12"/>
  <c r="AJ168" i="12"/>
  <c r="AJ195" i="12"/>
  <c r="AJ143" i="12"/>
  <c r="AJ172" i="12"/>
  <c r="AJ26" i="12"/>
  <c r="AJ53" i="12"/>
  <c r="AJ75" i="12"/>
  <c r="AJ109" i="12"/>
  <c r="AJ81" i="12"/>
  <c r="AJ124" i="12"/>
  <c r="AJ93" i="12"/>
  <c r="AJ193" i="12"/>
  <c r="AJ209" i="12"/>
  <c r="AJ16" i="12"/>
  <c r="AJ44" i="12"/>
  <c r="AJ84" i="12"/>
  <c r="AJ197" i="12"/>
  <c r="AJ58" i="12"/>
  <c r="AJ141" i="12"/>
  <c r="AJ157" i="12"/>
  <c r="AJ179" i="12"/>
  <c r="AJ14" i="12"/>
  <c r="AJ189" i="12"/>
  <c r="AJ59" i="12"/>
  <c r="AJ74" i="12"/>
  <c r="AJ106" i="12"/>
  <c r="AJ25" i="12"/>
  <c r="AJ185" i="12"/>
  <c r="AJ42" i="12"/>
  <c r="AJ142" i="12"/>
  <c r="AM4" i="12"/>
  <c r="AH4" i="12"/>
  <c r="B61" i="12"/>
  <c r="C24" i="12"/>
  <c r="B60" i="12"/>
  <c r="B40" i="12"/>
  <c r="AJ5" i="12"/>
  <c r="AM5" i="12"/>
  <c r="B69" i="12"/>
  <c r="B72" i="12" s="1"/>
  <c r="B45" i="12"/>
  <c r="B39" i="12"/>
  <c r="AJ3" i="12"/>
  <c r="AH29" i="12"/>
  <c r="AM29" i="12"/>
  <c r="AJ29" i="12"/>
  <c r="AJ8" i="12"/>
  <c r="AH8" i="12"/>
  <c r="AM22" i="12"/>
  <c r="AJ22" i="12"/>
  <c r="AH22" i="12"/>
  <c r="AJ13" i="12"/>
  <c r="AH13" i="12"/>
  <c r="AM9" i="12"/>
  <c r="AH9" i="12"/>
  <c r="C23" i="12"/>
  <c r="AJ4" i="12"/>
  <c r="M10" i="12"/>
  <c r="AJ11" i="12"/>
  <c r="AH3" i="12"/>
  <c r="AH21" i="12"/>
  <c r="AM21" i="12"/>
  <c r="AJ21" i="12"/>
  <c r="AH5" i="12"/>
  <c r="M7" i="12"/>
  <c r="AM8" i="12"/>
  <c r="AM38" i="12"/>
  <c r="AJ38" i="12"/>
  <c r="AH38" i="12"/>
  <c r="AJ2" i="12"/>
  <c r="AJ15" i="12"/>
  <c r="M30" i="12"/>
  <c r="AJ36" i="12"/>
  <c r="M51" i="12"/>
  <c r="M54" i="12"/>
  <c r="AH19" i="12"/>
  <c r="AJ20" i="12"/>
  <c r="B44" i="12"/>
  <c r="AH16" i="12"/>
  <c r="M18" i="12"/>
  <c r="AH34" i="12"/>
  <c r="M32" i="12"/>
  <c r="AM36" i="12"/>
  <c r="AH36" i="12"/>
  <c r="M49" i="12"/>
  <c r="AM34" i="12"/>
  <c r="M47" i="12"/>
  <c r="M62" i="12"/>
  <c r="AM24" i="12"/>
  <c r="AJ24" i="12"/>
  <c r="AJ39" i="12"/>
  <c r="AH39" i="12"/>
  <c r="M48" i="12"/>
  <c r="AJ31" i="12"/>
  <c r="AJ6" i="12"/>
  <c r="AM12" i="12"/>
  <c r="AM17" i="12"/>
  <c r="M23" i="12"/>
  <c r="AJ40" i="12"/>
  <c r="AM28" i="12"/>
  <c r="AJ28" i="12"/>
  <c r="AH28" i="12"/>
  <c r="AH35" i="12"/>
  <c r="AJ37" i="12"/>
  <c r="AM37" i="12"/>
  <c r="AH43" i="12"/>
  <c r="B42" i="12"/>
  <c r="C25" i="12"/>
  <c r="AJ43" i="12"/>
  <c r="AM45" i="12"/>
  <c r="AJ45" i="12"/>
  <c r="M33" i="12"/>
  <c r="AM40" i="12"/>
  <c r="AH40" i="12"/>
  <c r="AJ35" i="12"/>
  <c r="AM43" i="12"/>
  <c r="AJ52" i="12"/>
  <c r="AH52" i="12"/>
  <c r="M50" i="12"/>
  <c r="AM63" i="12"/>
  <c r="AH63" i="12"/>
  <c r="AJ82" i="12"/>
  <c r="AH57" i="12"/>
  <c r="M69" i="12"/>
  <c r="AM53" i="12"/>
  <c r="AJ64" i="12"/>
  <c r="AM64" i="12"/>
  <c r="AH64" i="12"/>
  <c r="M66" i="12"/>
  <c r="AJ70" i="12"/>
  <c r="AM70" i="12"/>
  <c r="AH59" i="12"/>
  <c r="M77" i="12"/>
  <c r="AH56" i="12"/>
  <c r="AM57" i="12"/>
  <c r="AH65" i="12"/>
  <c r="AJ65" i="12"/>
  <c r="M80" i="12"/>
  <c r="M86" i="12"/>
  <c r="AH27" i="12"/>
  <c r="AJ57" i="12"/>
  <c r="AH70" i="12"/>
  <c r="AJ73" i="12"/>
  <c r="AJ27" i="12"/>
  <c r="M41" i="12"/>
  <c r="AM46" i="12"/>
  <c r="AJ63" i="12"/>
  <c r="M72" i="12"/>
  <c r="M61" i="12"/>
  <c r="AH73" i="12"/>
  <c r="AM79" i="12"/>
  <c r="AH79" i="12"/>
  <c r="AM82" i="12"/>
  <c r="AH82" i="12"/>
  <c r="AH53" i="12"/>
  <c r="AJ55" i="12"/>
  <c r="AM55" i="12"/>
  <c r="M89" i="12"/>
  <c r="AJ60" i="12"/>
  <c r="M71" i="12"/>
  <c r="AJ76" i="12"/>
  <c r="AH76" i="12"/>
  <c r="AM58" i="12"/>
  <c r="AM60" i="12"/>
  <c r="AM87" i="12"/>
  <c r="AJ87" i="12"/>
  <c r="M68" i="12"/>
  <c r="M78" i="12"/>
  <c r="AH87" i="12"/>
  <c r="M97" i="12"/>
  <c r="AH100" i="12"/>
  <c r="AM100" i="12"/>
  <c r="AJ100" i="12"/>
  <c r="AJ67" i="12"/>
  <c r="AH67" i="12"/>
  <c r="AM76" i="12"/>
  <c r="M101" i="12"/>
  <c r="AH81" i="12"/>
  <c r="AM81" i="12"/>
  <c r="AH84" i="12"/>
  <c r="M99" i="12"/>
  <c r="M85" i="12"/>
  <c r="M88" i="12"/>
  <c r="AH93" i="12"/>
  <c r="AH102" i="12"/>
  <c r="AM102" i="12"/>
  <c r="AJ102" i="12"/>
  <c r="M96" i="12"/>
  <c r="AM108" i="12"/>
  <c r="AH108" i="12"/>
  <c r="AH94" i="12"/>
  <c r="AM94" i="12"/>
  <c r="AJ94" i="12"/>
  <c r="AH120" i="12"/>
  <c r="AM120" i="12"/>
  <c r="AJ120" i="12"/>
  <c r="AH106" i="12"/>
  <c r="AM106" i="12"/>
  <c r="M110" i="12"/>
  <c r="AH92" i="12"/>
  <c r="M104" i="12"/>
  <c r="AH105" i="12"/>
  <c r="AJ105" i="12"/>
  <c r="M147" i="12"/>
  <c r="AJ108" i="12"/>
  <c r="AH95" i="12"/>
  <c r="AH98" i="12"/>
  <c r="AM98" i="12"/>
  <c r="AJ98" i="12"/>
  <c r="M115" i="12"/>
  <c r="AJ91" i="12"/>
  <c r="AH91" i="12"/>
  <c r="AM91" i="12"/>
  <c r="M113" i="12"/>
  <c r="AH123" i="12"/>
  <c r="AM123" i="12"/>
  <c r="AJ123" i="12"/>
  <c r="AM90" i="12"/>
  <c r="AJ90" i="12"/>
  <c r="AM105" i="12"/>
  <c r="M122" i="12"/>
  <c r="AM121" i="12"/>
  <c r="AH139" i="12"/>
  <c r="AM139" i="12"/>
  <c r="AJ139" i="12"/>
  <c r="AM118" i="12"/>
  <c r="AJ118" i="12"/>
  <c r="AH118" i="12"/>
  <c r="M134" i="12"/>
  <c r="M107" i="12"/>
  <c r="AM112" i="12"/>
  <c r="AJ112" i="12"/>
  <c r="M127" i="12"/>
  <c r="M136" i="12"/>
  <c r="M114" i="12"/>
  <c r="M131" i="12"/>
  <c r="AH121" i="12"/>
  <c r="M126" i="12"/>
  <c r="M119" i="12"/>
  <c r="AJ121" i="12"/>
  <c r="AM109" i="12"/>
  <c r="M125" i="12"/>
  <c r="M133" i="12"/>
  <c r="M103" i="12"/>
  <c r="AJ117" i="12"/>
  <c r="AM117" i="12"/>
  <c r="AJ130" i="12"/>
  <c r="AH130" i="12"/>
  <c r="M111" i="12"/>
  <c r="AM150" i="12"/>
  <c r="AJ150" i="12"/>
  <c r="AH150" i="12"/>
  <c r="AM124" i="12"/>
  <c r="AM128" i="12"/>
  <c r="AJ128" i="12"/>
  <c r="AM135" i="12"/>
  <c r="AH135" i="12"/>
  <c r="AM116" i="12"/>
  <c r="M129" i="12"/>
  <c r="AM132" i="12"/>
  <c r="AJ132" i="12"/>
  <c r="AH132" i="12"/>
  <c r="AJ116" i="12"/>
  <c r="M144" i="12"/>
  <c r="AJ135" i="12"/>
  <c r="AJ145" i="12"/>
  <c r="AH145" i="12"/>
  <c r="AM145" i="12"/>
  <c r="AJ146" i="12"/>
  <c r="AH146" i="12"/>
  <c r="AJ140" i="12"/>
  <c r="AH140" i="12"/>
  <c r="AM140" i="12"/>
  <c r="M161" i="12"/>
  <c r="AJ152" i="12"/>
  <c r="AJ167" i="12"/>
  <c r="AH167" i="12"/>
  <c r="AM167" i="12"/>
  <c r="AM155" i="12"/>
  <c r="AJ155" i="12"/>
  <c r="AH155" i="12"/>
  <c r="M160" i="12"/>
  <c r="AM146" i="12"/>
  <c r="AM153" i="12"/>
  <c r="AJ153" i="12"/>
  <c r="AH152" i="12"/>
  <c r="AM152" i="12"/>
  <c r="M178" i="12"/>
  <c r="AH169" i="12"/>
  <c r="AJ169" i="12"/>
  <c r="M176" i="12"/>
  <c r="AH138" i="12"/>
  <c r="AM138" i="12"/>
  <c r="AJ138" i="12"/>
  <c r="AH142" i="12"/>
  <c r="M149" i="12"/>
  <c r="AM168" i="12"/>
  <c r="AH168" i="12"/>
  <c r="AJ137" i="12"/>
  <c r="M163" i="12"/>
  <c r="AJ181" i="12"/>
  <c r="AM181" i="12"/>
  <c r="AH181" i="12"/>
  <c r="AM164" i="12"/>
  <c r="M165" i="12"/>
  <c r="AM166" i="12"/>
  <c r="AH173" i="12"/>
  <c r="AM173" i="12"/>
  <c r="AJ173" i="12"/>
  <c r="AM158" i="12"/>
  <c r="AJ158" i="12"/>
  <c r="AJ148" i="12"/>
  <c r="AH151" i="12"/>
  <c r="AH164" i="12"/>
  <c r="AJ166" i="12"/>
  <c r="AM170" i="12"/>
  <c r="AH170" i="12"/>
  <c r="AJ170" i="12"/>
  <c r="M192" i="12"/>
  <c r="AH177" i="12"/>
  <c r="AM172" i="12"/>
  <c r="AH172" i="12"/>
  <c r="AJ177" i="12"/>
  <c r="AM189" i="12"/>
  <c r="AH189" i="12"/>
  <c r="M159" i="12"/>
  <c r="AJ162" i="12"/>
  <c r="M196" i="12"/>
  <c r="M154" i="12"/>
  <c r="AM162" i="12"/>
  <c r="M194" i="12"/>
  <c r="AJ180" i="12"/>
  <c r="M171" i="12"/>
  <c r="AH180" i="12"/>
  <c r="M183" i="12"/>
  <c r="AM191" i="12"/>
  <c r="AJ191" i="12"/>
  <c r="AH191" i="12"/>
  <c r="AH179" i="12"/>
  <c r="M175" i="12"/>
  <c r="AM174" i="12"/>
  <c r="AJ174" i="12"/>
  <c r="AM185" i="12"/>
  <c r="AH185" i="12"/>
  <c r="AJ187" i="12"/>
  <c r="M204" i="12"/>
  <c r="M190" i="12"/>
  <c r="AH199" i="12"/>
  <c r="AM207" i="12"/>
  <c r="AJ207" i="12"/>
  <c r="AJ199" i="12"/>
  <c r="AH205" i="12"/>
  <c r="AJ205" i="12"/>
  <c r="M212" i="12"/>
  <c r="AJ201" i="12"/>
  <c r="M184" i="12"/>
  <c r="M198" i="12"/>
  <c r="M200" i="12"/>
  <c r="M188" i="12"/>
  <c r="M210" i="12"/>
  <c r="M202" i="12"/>
  <c r="M182" i="12"/>
  <c r="AM201" i="12"/>
  <c r="AH201" i="12"/>
  <c r="M186" i="12"/>
  <c r="M206" i="12"/>
  <c r="M208" i="12"/>
  <c r="B73" i="12" l="1"/>
  <c r="AI173" i="12"/>
  <c r="AK173" i="12" s="1"/>
  <c r="AI113" i="12"/>
  <c r="AI101" i="12"/>
  <c r="AI73" i="12"/>
  <c r="AK73" i="12" s="1"/>
  <c r="AI67" i="12"/>
  <c r="AK67" i="12" s="1"/>
  <c r="AI63" i="12"/>
  <c r="AK63" i="12" s="1"/>
  <c r="AI39" i="12"/>
  <c r="AK39" i="12" s="1"/>
  <c r="AI17" i="12"/>
  <c r="AK17" i="12" s="1"/>
  <c r="AI145" i="12"/>
  <c r="AK145" i="12" s="1"/>
  <c r="AI93" i="12"/>
  <c r="AK93" i="12" s="1"/>
  <c r="AI80" i="12"/>
  <c r="AI56" i="12"/>
  <c r="AK56" i="12" s="1"/>
  <c r="AI5" i="12"/>
  <c r="AK5" i="12" s="1"/>
  <c r="AI169" i="12"/>
  <c r="AK169" i="12" s="1"/>
  <c r="AI197" i="12"/>
  <c r="AK197" i="12" s="1"/>
  <c r="AI193" i="12"/>
  <c r="AK193" i="12" s="1"/>
  <c r="AI183" i="12"/>
  <c r="AI178" i="12"/>
  <c r="AI165" i="12"/>
  <c r="AI160" i="12"/>
  <c r="AI147" i="12"/>
  <c r="AI134" i="12"/>
  <c r="AI128" i="12"/>
  <c r="AK128" i="12" s="1"/>
  <c r="AI123" i="12"/>
  <c r="AK123" i="12" s="1"/>
  <c r="AI107" i="12"/>
  <c r="AI85" i="12"/>
  <c r="AI76" i="12"/>
  <c r="AK76" i="12" s="1"/>
  <c r="AI53" i="12"/>
  <c r="AK53" i="12" s="1"/>
  <c r="AI47" i="12"/>
  <c r="AI43" i="12"/>
  <c r="AK43" i="12" s="1"/>
  <c r="AI29" i="12"/>
  <c r="AK29" i="12" s="1"/>
  <c r="AI8" i="12"/>
  <c r="AK8" i="12" s="1"/>
  <c r="AI163" i="12"/>
  <c r="AI154" i="12"/>
  <c r="AI141" i="12"/>
  <c r="AK141" i="12" s="1"/>
  <c r="AI16" i="12"/>
  <c r="AK16" i="12" s="1"/>
  <c r="AI206" i="12"/>
  <c r="AI202" i="12"/>
  <c r="AI188" i="12"/>
  <c r="AI151" i="12"/>
  <c r="AK151" i="12" s="1"/>
  <c r="AI142" i="12"/>
  <c r="AK142" i="12" s="1"/>
  <c r="AI138" i="12"/>
  <c r="AK138" i="12" s="1"/>
  <c r="AI112" i="12"/>
  <c r="AK112" i="12" s="1"/>
  <c r="AI100" i="12"/>
  <c r="AK100" i="12" s="1"/>
  <c r="AI90" i="12"/>
  <c r="AK90" i="12" s="1"/>
  <c r="AI34" i="12"/>
  <c r="AK34" i="12" s="1"/>
  <c r="AI21" i="12"/>
  <c r="AK21" i="12" s="1"/>
  <c r="AI14" i="12"/>
  <c r="AK14" i="12" s="1"/>
  <c r="AI210" i="12"/>
  <c r="AI177" i="12"/>
  <c r="AK177" i="12" s="1"/>
  <c r="AI159" i="12"/>
  <c r="AI155" i="12"/>
  <c r="AK155" i="12" s="1"/>
  <c r="AI146" i="12"/>
  <c r="AK146" i="12" s="1"/>
  <c r="AI133" i="12"/>
  <c r="AI117" i="12"/>
  <c r="AK117" i="12" s="1"/>
  <c r="AI106" i="12"/>
  <c r="AK106" i="12" s="1"/>
  <c r="AI94" i="12"/>
  <c r="AK94" i="12" s="1"/>
  <c r="AI81" i="12"/>
  <c r="AK81" i="12" s="1"/>
  <c r="AI72" i="12"/>
  <c r="AI66" i="12"/>
  <c r="AI57" i="12"/>
  <c r="AK57" i="12" s="1"/>
  <c r="AI38" i="12"/>
  <c r="AK38" i="12" s="1"/>
  <c r="AI11" i="12"/>
  <c r="AK11" i="12" s="1"/>
  <c r="AI4" i="12"/>
  <c r="AK4" i="12" s="1"/>
  <c r="AI156" i="12"/>
  <c r="AK156" i="12" s="1"/>
  <c r="AI118" i="12"/>
  <c r="AI82" i="12"/>
  <c r="AK82" i="12" s="1"/>
  <c r="AI201" i="12"/>
  <c r="AK201" i="12" s="1"/>
  <c r="AI182" i="12"/>
  <c r="AI172" i="12"/>
  <c r="AK172" i="12" s="1"/>
  <c r="AI168" i="12"/>
  <c r="AK168" i="12" s="1"/>
  <c r="AI164" i="12"/>
  <c r="AK164" i="12" s="1"/>
  <c r="AI122" i="12"/>
  <c r="AI84" i="12"/>
  <c r="AK84" i="12" s="1"/>
  <c r="AI62" i="12"/>
  <c r="AI52" i="12"/>
  <c r="AK52" i="12" s="1"/>
  <c r="AI46" i="12"/>
  <c r="AK46" i="12" s="1"/>
  <c r="AI25" i="12"/>
  <c r="AK25" i="12" s="1"/>
  <c r="AI176" i="12"/>
  <c r="AI137" i="12"/>
  <c r="AK137" i="12" s="1"/>
  <c r="AI111" i="12"/>
  <c r="AI89" i="12"/>
  <c r="AI205" i="12"/>
  <c r="AK205" i="12" s="1"/>
  <c r="AI187" i="12"/>
  <c r="AK187" i="12" s="1"/>
  <c r="AI150" i="12"/>
  <c r="AK150" i="12" s="1"/>
  <c r="AI132" i="12"/>
  <c r="AK132" i="12" s="1"/>
  <c r="AI99" i="12"/>
  <c r="AI71" i="12"/>
  <c r="AI65" i="12"/>
  <c r="AK65" i="12" s="1"/>
  <c r="AI42" i="12"/>
  <c r="AK42" i="12" s="1"/>
  <c r="AI33" i="12"/>
  <c r="AI28" i="12"/>
  <c r="AK28" i="12" s="1"/>
  <c r="AI7" i="12"/>
  <c r="AI3" i="12"/>
  <c r="AK3" i="12" s="1"/>
  <c r="AI209" i="12"/>
  <c r="AK209" i="12" s="1"/>
  <c r="AI196" i="12"/>
  <c r="AI192" i="12"/>
  <c r="AI181" i="12"/>
  <c r="AK181" i="12" s="1"/>
  <c r="AI158" i="12"/>
  <c r="AK158" i="12" s="1"/>
  <c r="AI127" i="12"/>
  <c r="AI121" i="12"/>
  <c r="AK121" i="12" s="1"/>
  <c r="AI116" i="12"/>
  <c r="AK116" i="12" s="1"/>
  <c r="AI105" i="12"/>
  <c r="AK105" i="12" s="1"/>
  <c r="AI75" i="12"/>
  <c r="AK75" i="12" s="1"/>
  <c r="AI61" i="12"/>
  <c r="AI20" i="12"/>
  <c r="AK20" i="12" s="1"/>
  <c r="AI98" i="12"/>
  <c r="AK98" i="12" s="1"/>
  <c r="AI37" i="12"/>
  <c r="AK37" i="12" s="1"/>
  <c r="AI129" i="12"/>
  <c r="AI95" i="12"/>
  <c r="AK95" i="12" s="1"/>
  <c r="AI77" i="12"/>
  <c r="AI54" i="12"/>
  <c r="AI200" i="12"/>
  <c r="AI191" i="12"/>
  <c r="AK191" i="12" s="1"/>
  <c r="AI171" i="12"/>
  <c r="AI167" i="12"/>
  <c r="AK167" i="12" s="1"/>
  <c r="AI149" i="12"/>
  <c r="AI126" i="12"/>
  <c r="AI70" i="12"/>
  <c r="AK70" i="12" s="1"/>
  <c r="AI60" i="12"/>
  <c r="AK60" i="12" s="1"/>
  <c r="AI51" i="12"/>
  <c r="AI45" i="12"/>
  <c r="AK45" i="12" s="1"/>
  <c r="AI32" i="12"/>
  <c r="AI24" i="12"/>
  <c r="AK24" i="12" s="1"/>
  <c r="AI6" i="12"/>
  <c r="AK6" i="12" s="1"/>
  <c r="AI198" i="12"/>
  <c r="AI139" i="12"/>
  <c r="AK139" i="12" s="1"/>
  <c r="AI91" i="12"/>
  <c r="AK91" i="12" s="1"/>
  <c r="AI48" i="12"/>
  <c r="AI30" i="12"/>
  <c r="AI195" i="12"/>
  <c r="AK195" i="12" s="1"/>
  <c r="AI186" i="12"/>
  <c r="AI175" i="12"/>
  <c r="AI162" i="12"/>
  <c r="AK162" i="12" s="1"/>
  <c r="AI153" i="12"/>
  <c r="AK153" i="12" s="1"/>
  <c r="AI131" i="12"/>
  <c r="AI120" i="12"/>
  <c r="AK120" i="12" s="1"/>
  <c r="AI110" i="12"/>
  <c r="AI104" i="12"/>
  <c r="AI88" i="12"/>
  <c r="AI79" i="12"/>
  <c r="AK79" i="12" s="1"/>
  <c r="AI41" i="12"/>
  <c r="AI13" i="12"/>
  <c r="AK13" i="12" s="1"/>
  <c r="AI10" i="12"/>
  <c r="AI194" i="12"/>
  <c r="AI108" i="12"/>
  <c r="AK108" i="12" s="1"/>
  <c r="AI204" i="12"/>
  <c r="AI199" i="12"/>
  <c r="AK199" i="12" s="1"/>
  <c r="AI170" i="12"/>
  <c r="AK170" i="12" s="1"/>
  <c r="AI157" i="12"/>
  <c r="AK157" i="12" s="1"/>
  <c r="AI144" i="12"/>
  <c r="AI125" i="12"/>
  <c r="AI97" i="12"/>
  <c r="AI83" i="12"/>
  <c r="AK83" i="12" s="1"/>
  <c r="AI74" i="12"/>
  <c r="AK74" i="12" s="1"/>
  <c r="AI64" i="12"/>
  <c r="AK64" i="12" s="1"/>
  <c r="AI50" i="12"/>
  <c r="AI27" i="12"/>
  <c r="AK27" i="12" s="1"/>
  <c r="AI189" i="12"/>
  <c r="AK189" i="12" s="1"/>
  <c r="AI35" i="12"/>
  <c r="AK35" i="12" s="1"/>
  <c r="AI212" i="12"/>
  <c r="AI208" i="12"/>
  <c r="AI185" i="12"/>
  <c r="AK185" i="12" s="1"/>
  <c r="AI180" i="12"/>
  <c r="AK180" i="12" s="1"/>
  <c r="AI174" i="12"/>
  <c r="AK174" i="12" s="1"/>
  <c r="AI166" i="12"/>
  <c r="AK166" i="12" s="1"/>
  <c r="AI140" i="12"/>
  <c r="AK140" i="12" s="1"/>
  <c r="AI130" i="12"/>
  <c r="AK130" i="12" s="1"/>
  <c r="AI115" i="12"/>
  <c r="AI103" i="12"/>
  <c r="AI92" i="12"/>
  <c r="AK92" i="12" s="1"/>
  <c r="AI87" i="12"/>
  <c r="AK87" i="12" s="1"/>
  <c r="AI69" i="12"/>
  <c r="AI55" i="12"/>
  <c r="AK55" i="12" s="1"/>
  <c r="AI40" i="12"/>
  <c r="AK40" i="12" s="1"/>
  <c r="AI36" i="12"/>
  <c r="AK36" i="12" s="1"/>
  <c r="AI19" i="12"/>
  <c r="AK19" i="12" s="1"/>
  <c r="AI211" i="12"/>
  <c r="AK211" i="12" s="1"/>
  <c r="AI179" i="12"/>
  <c r="AK179" i="12" s="1"/>
  <c r="AI161" i="12"/>
  <c r="AI18" i="12"/>
  <c r="AI184" i="12"/>
  <c r="AI190" i="12"/>
  <c r="AI148" i="12"/>
  <c r="AK148" i="12" s="1"/>
  <c r="AI136" i="12"/>
  <c r="AI124" i="12"/>
  <c r="AK124" i="12" s="1"/>
  <c r="AI109" i="12"/>
  <c r="AK109" i="12" s="1"/>
  <c r="AI96" i="12"/>
  <c r="AI59" i="12"/>
  <c r="AK59" i="12" s="1"/>
  <c r="AI49" i="12"/>
  <c r="AI31" i="12"/>
  <c r="AK31" i="12" s="1"/>
  <c r="AI12" i="12"/>
  <c r="AK12" i="12" s="1"/>
  <c r="AI9" i="12"/>
  <c r="AK9" i="12" s="1"/>
  <c r="AI86" i="12"/>
  <c r="AI58" i="12"/>
  <c r="AK58" i="12" s="1"/>
  <c r="AI22" i="12"/>
  <c r="AK22" i="12" s="1"/>
  <c r="AI207" i="12"/>
  <c r="AK207" i="12" s="1"/>
  <c r="AI203" i="12"/>
  <c r="AK203" i="12" s="1"/>
  <c r="AI152" i="12"/>
  <c r="AK152" i="12" s="1"/>
  <c r="AI143" i="12"/>
  <c r="AK143" i="12" s="1"/>
  <c r="AI119" i="12"/>
  <c r="AI114" i="12"/>
  <c r="AI102" i="12"/>
  <c r="AK102" i="12" s="1"/>
  <c r="AI78" i="12"/>
  <c r="AI68" i="12"/>
  <c r="AI44" i="12"/>
  <c r="AK44" i="12" s="1"/>
  <c r="AI23" i="12"/>
  <c r="AI15" i="12"/>
  <c r="AK15" i="12" s="1"/>
  <c r="AI2" i="12"/>
  <c r="AK2" i="12" s="1"/>
  <c r="AI135" i="12"/>
  <c r="AK135" i="12" s="1"/>
  <c r="AI26" i="12"/>
  <c r="AK26" i="12" s="1"/>
  <c r="C65" i="12"/>
  <c r="B66" i="12"/>
  <c r="AM51" i="12"/>
  <c r="AJ51" i="12"/>
  <c r="AH51" i="12"/>
  <c r="AM68" i="12"/>
  <c r="AJ68" i="12"/>
  <c r="AH68" i="12"/>
  <c r="AJ149" i="12"/>
  <c r="AH149" i="12"/>
  <c r="AM149" i="12"/>
  <c r="AH103" i="12"/>
  <c r="AJ103" i="12"/>
  <c r="AM103" i="12"/>
  <c r="AH41" i="12"/>
  <c r="AM41" i="12"/>
  <c r="AJ41" i="12"/>
  <c r="AH86" i="12"/>
  <c r="AJ86" i="12"/>
  <c r="AM86" i="12"/>
  <c r="AM62" i="12"/>
  <c r="AH62" i="12"/>
  <c r="AJ62" i="12"/>
  <c r="AM50" i="12"/>
  <c r="AJ50" i="12"/>
  <c r="AH50" i="12"/>
  <c r="AH171" i="12"/>
  <c r="AM171" i="12"/>
  <c r="AJ171" i="12"/>
  <c r="AM122" i="12"/>
  <c r="AH122" i="12"/>
  <c r="AJ122" i="12"/>
  <c r="AH101" i="12"/>
  <c r="AM101" i="12"/>
  <c r="AJ101" i="12"/>
  <c r="AM69" i="12"/>
  <c r="AH69" i="12"/>
  <c r="AJ69" i="12"/>
  <c r="AJ48" i="12"/>
  <c r="AM48" i="12"/>
  <c r="AH48" i="12"/>
  <c r="AJ18" i="12"/>
  <c r="AM18" i="12"/>
  <c r="AH18" i="12"/>
  <c r="AM178" i="12"/>
  <c r="AJ178" i="12"/>
  <c r="AH178" i="12"/>
  <c r="AJ113" i="12"/>
  <c r="AH113" i="12"/>
  <c r="AM113" i="12"/>
  <c r="AJ88" i="12"/>
  <c r="AM88" i="12"/>
  <c r="AH88" i="12"/>
  <c r="AM89" i="12"/>
  <c r="AJ89" i="12"/>
  <c r="AH89" i="12"/>
  <c r="AM77" i="12"/>
  <c r="AJ77" i="12"/>
  <c r="AH77" i="12"/>
  <c r="AH66" i="12"/>
  <c r="AM66" i="12"/>
  <c r="AJ66" i="12"/>
  <c r="AM127" i="12"/>
  <c r="AJ127" i="12"/>
  <c r="AH127" i="12"/>
  <c r="AM80" i="12"/>
  <c r="AJ80" i="12"/>
  <c r="AH80" i="12"/>
  <c r="AJ7" i="12"/>
  <c r="AH7" i="12"/>
  <c r="AM7" i="12"/>
  <c r="AM210" i="12"/>
  <c r="AJ210" i="12"/>
  <c r="AH210" i="12"/>
  <c r="AJ32" i="12"/>
  <c r="AM32" i="12"/>
  <c r="AH32" i="12"/>
  <c r="AH184" i="12"/>
  <c r="AM184" i="12"/>
  <c r="AJ184" i="12"/>
  <c r="AJ125" i="12"/>
  <c r="AH125" i="12"/>
  <c r="AM125" i="12"/>
  <c r="AH131" i="12"/>
  <c r="AM131" i="12"/>
  <c r="AJ131" i="12"/>
  <c r="AH97" i="12"/>
  <c r="AM97" i="12"/>
  <c r="AJ97" i="12"/>
  <c r="AJ161" i="12"/>
  <c r="AM161" i="12"/>
  <c r="AH161" i="12"/>
  <c r="AM114" i="12"/>
  <c r="AH114" i="12"/>
  <c r="AJ114" i="12"/>
  <c r="AM61" i="12"/>
  <c r="AJ61" i="12"/>
  <c r="AH61" i="12"/>
  <c r="AM30" i="12"/>
  <c r="AH30" i="12"/>
  <c r="AJ30" i="12"/>
  <c r="AH96" i="12"/>
  <c r="AM96" i="12"/>
  <c r="AJ96" i="12"/>
  <c r="AJ47" i="12"/>
  <c r="AH47" i="12"/>
  <c r="AM47" i="12"/>
  <c r="AJ159" i="12"/>
  <c r="AM159" i="12"/>
  <c r="AH159" i="12"/>
  <c r="AM192" i="12"/>
  <c r="AJ192" i="12"/>
  <c r="AH192" i="12"/>
  <c r="AH111" i="12"/>
  <c r="AM111" i="12"/>
  <c r="AJ111" i="12"/>
  <c r="AH104" i="12"/>
  <c r="AJ104" i="12"/>
  <c r="AM104" i="12"/>
  <c r="AH99" i="12"/>
  <c r="AM99" i="12"/>
  <c r="AJ99" i="12"/>
  <c r="AM186" i="12"/>
  <c r="AJ186" i="12"/>
  <c r="AH186" i="12"/>
  <c r="AJ133" i="12"/>
  <c r="AH133" i="12"/>
  <c r="AM133" i="12"/>
  <c r="AH85" i="12"/>
  <c r="AM85" i="12"/>
  <c r="AJ85" i="12"/>
  <c r="AH182" i="12"/>
  <c r="AM182" i="12"/>
  <c r="AJ182" i="12"/>
  <c r="AJ188" i="12"/>
  <c r="AH188" i="12"/>
  <c r="AM188" i="12"/>
  <c r="AM129" i="12"/>
  <c r="AH129" i="12"/>
  <c r="AJ129" i="12"/>
  <c r="AM107" i="12"/>
  <c r="AJ107" i="12"/>
  <c r="AH107" i="12"/>
  <c r="AH33" i="12"/>
  <c r="AM33" i="12"/>
  <c r="AJ33" i="12"/>
  <c r="AH10" i="12"/>
  <c r="AJ10" i="12"/>
  <c r="AM10" i="12"/>
  <c r="AM198" i="12"/>
  <c r="AJ198" i="12"/>
  <c r="AH198" i="12"/>
  <c r="AM196" i="12"/>
  <c r="AJ196" i="12"/>
  <c r="AH196" i="12"/>
  <c r="AM126" i="12"/>
  <c r="AJ126" i="12"/>
  <c r="AH126" i="12"/>
  <c r="AH165" i="12"/>
  <c r="AJ165" i="12"/>
  <c r="AM165" i="12"/>
  <c r="AM23" i="12"/>
  <c r="AJ23" i="12"/>
  <c r="AH23" i="12"/>
  <c r="AH176" i="12"/>
  <c r="AJ176" i="12"/>
  <c r="AM176" i="12"/>
  <c r="AM194" i="12"/>
  <c r="AJ194" i="12"/>
  <c r="AH194" i="12"/>
  <c r="AM190" i="12"/>
  <c r="AJ190" i="12"/>
  <c r="AH190" i="12"/>
  <c r="AH136" i="12"/>
  <c r="AM136" i="12"/>
  <c r="AJ136" i="12"/>
  <c r="AM110" i="12"/>
  <c r="AJ110" i="12"/>
  <c r="AH110" i="12"/>
  <c r="AM78" i="12"/>
  <c r="AH78" i="12"/>
  <c r="AJ78" i="12"/>
  <c r="AM212" i="12"/>
  <c r="AJ212" i="12"/>
  <c r="AH212" i="12"/>
  <c r="AJ72" i="12"/>
  <c r="AH72" i="12"/>
  <c r="AM72" i="12"/>
  <c r="AM208" i="12"/>
  <c r="AJ208" i="12"/>
  <c r="AH208" i="12"/>
  <c r="AM134" i="12"/>
  <c r="AJ134" i="12"/>
  <c r="AH134" i="12"/>
  <c r="AM202" i="12"/>
  <c r="AJ202" i="12"/>
  <c r="AH202" i="12"/>
  <c r="AM200" i="12"/>
  <c r="AJ200" i="12"/>
  <c r="AH200" i="12"/>
  <c r="AJ183" i="12"/>
  <c r="AH183" i="12"/>
  <c r="AM183" i="12"/>
  <c r="AH154" i="12"/>
  <c r="AJ154" i="12"/>
  <c r="AM154" i="12"/>
  <c r="AJ163" i="12"/>
  <c r="AH163" i="12"/>
  <c r="AM163" i="12"/>
  <c r="AJ160" i="12"/>
  <c r="AM160" i="12"/>
  <c r="AH160" i="12"/>
  <c r="AJ119" i="12"/>
  <c r="AH119" i="12"/>
  <c r="AM119" i="12"/>
  <c r="AM147" i="12"/>
  <c r="AH147" i="12"/>
  <c r="AJ147" i="12"/>
  <c r="AM49" i="12"/>
  <c r="AJ49" i="12"/>
  <c r="AH49" i="12"/>
  <c r="AJ115" i="12"/>
  <c r="AM115" i="12"/>
  <c r="AH115" i="12"/>
  <c r="AJ54" i="12"/>
  <c r="AM54" i="12"/>
  <c r="AH54" i="12"/>
  <c r="AM206" i="12"/>
  <c r="AJ206" i="12"/>
  <c r="AH206" i="12"/>
  <c r="AM144" i="12"/>
  <c r="AJ144" i="12"/>
  <c r="AH144" i="12"/>
  <c r="AM204" i="12"/>
  <c r="AJ204" i="12"/>
  <c r="AH204" i="12"/>
  <c r="AJ175" i="12"/>
  <c r="AM175" i="12"/>
  <c r="AH175" i="12"/>
  <c r="AK118" i="12"/>
  <c r="AJ71" i="12"/>
  <c r="AM71" i="12"/>
  <c r="AH71" i="12"/>
  <c r="AK190" i="12" l="1"/>
  <c r="AK127" i="12"/>
  <c r="AK154" i="12"/>
  <c r="AK111" i="12"/>
  <c r="AK114" i="12"/>
  <c r="AK194" i="12"/>
  <c r="AK85" i="12"/>
  <c r="AK41" i="12"/>
  <c r="AK78" i="12"/>
  <c r="AK161" i="12"/>
  <c r="AK48" i="12"/>
  <c r="AK51" i="12"/>
  <c r="AK110" i="12"/>
  <c r="AK208" i="12"/>
  <c r="AK122" i="12"/>
  <c r="AK159" i="12"/>
  <c r="AK96" i="12"/>
  <c r="AK163" i="12"/>
  <c r="AK33" i="12"/>
  <c r="AK30" i="12"/>
  <c r="AK71" i="12"/>
  <c r="AK176" i="12"/>
  <c r="AK119" i="12"/>
  <c r="AK144" i="12"/>
  <c r="AK136" i="12"/>
  <c r="AK107" i="12"/>
  <c r="AK68" i="12"/>
  <c r="AK160" i="12"/>
  <c r="AK66" i="12"/>
  <c r="AK54" i="12"/>
  <c r="AK47" i="12"/>
  <c r="AK101" i="12"/>
  <c r="AK77" i="12"/>
  <c r="AK10" i="12"/>
  <c r="AK206" i="12"/>
  <c r="AK89" i="12"/>
  <c r="AK149" i="12"/>
  <c r="AK202" i="12"/>
  <c r="AK104" i="12"/>
  <c r="AK183" i="12"/>
  <c r="AK212" i="12"/>
  <c r="AK210" i="12"/>
  <c r="AK62" i="12"/>
  <c r="AK115" i="12"/>
  <c r="AK204" i="12"/>
  <c r="AK192" i="12"/>
  <c r="AK184" i="12"/>
  <c r="AK113" i="12"/>
  <c r="AK133" i="12"/>
  <c r="AK131" i="12"/>
  <c r="AK134" i="12"/>
  <c r="AK188" i="12"/>
  <c r="AK32" i="12"/>
  <c r="AK50" i="12"/>
  <c r="AK196" i="12"/>
  <c r="AK125" i="12"/>
  <c r="AK88" i="12"/>
  <c r="AK147" i="12"/>
  <c r="AK175" i="12"/>
  <c r="AK97" i="12"/>
  <c r="AK69" i="12"/>
  <c r="AK49" i="12"/>
  <c r="AK72" i="12"/>
  <c r="AK23" i="12"/>
  <c r="AK165" i="12"/>
  <c r="AK129" i="12"/>
  <c r="AK200" i="12"/>
  <c r="AK186" i="12"/>
  <c r="AK99" i="12"/>
  <c r="AK80" i="12"/>
  <c r="AK126" i="12"/>
  <c r="AK7" i="12"/>
  <c r="AK178" i="12"/>
  <c r="AK171" i="12"/>
  <c r="AK86" i="12"/>
  <c r="AK103" i="12"/>
  <c r="AK198" i="12"/>
  <c r="AK182" i="12"/>
  <c r="AK61" i="12"/>
  <c r="AK18" i="12"/>
  <c r="B51" i="12" l="1"/>
  <c r="B59" i="12" l="1"/>
  <c r="B58" i="12"/>
  <c r="D36" i="7" l="1"/>
  <c r="W9" i="8" l="1"/>
  <c r="W5" i="8"/>
  <c r="W11" i="8"/>
  <c r="W7" i="8"/>
  <c r="W10" i="8"/>
  <c r="W6" i="8"/>
  <c r="W12" i="8"/>
  <c r="W13" i="8"/>
  <c r="W15" i="8"/>
  <c r="W14" i="8"/>
  <c r="W16" i="8"/>
  <c r="F38" i="7" s="1"/>
  <c r="F93" i="7" s="1"/>
  <c r="W8" i="8"/>
  <c r="W17" i="8"/>
  <c r="W3" i="8"/>
  <c r="W4" i="8"/>
  <c r="D58" i="7" l="1"/>
  <c r="D60" i="7" s="1"/>
  <c r="F51" i="7"/>
  <c r="F52" i="7"/>
  <c r="F49" i="7"/>
  <c r="F50" i="7" s="1"/>
  <c r="D108" i="7"/>
  <c r="D61" i="7"/>
  <c r="D44" i="7"/>
  <c r="C11" i="12"/>
  <c r="B11" i="12" s="1"/>
  <c r="F79" i="7"/>
  <c r="F80" i="7"/>
  <c r="G4" i="6"/>
  <c r="F94" i="7"/>
  <c r="D87" i="7"/>
  <c r="D59" i="7" l="1"/>
  <c r="G66" i="12"/>
  <c r="E11" i="12"/>
  <c r="H109" i="12"/>
  <c r="H37" i="12"/>
  <c r="H181" i="12"/>
  <c r="H61" i="12"/>
  <c r="G154" i="12"/>
  <c r="G82" i="12"/>
  <c r="H197" i="12"/>
  <c r="H141" i="12"/>
  <c r="H6" i="12"/>
  <c r="H101" i="12"/>
  <c r="H173" i="12"/>
  <c r="H45" i="12"/>
  <c r="H13" i="12"/>
  <c r="H165" i="12"/>
  <c r="G210" i="12"/>
  <c r="G26" i="12"/>
  <c r="H62" i="12"/>
  <c r="G98" i="12"/>
  <c r="H69" i="12"/>
  <c r="G114" i="12"/>
  <c r="H2" i="12"/>
  <c r="H5" i="12"/>
  <c r="G146" i="12"/>
  <c r="G197" i="12"/>
  <c r="G34" i="12"/>
  <c r="H70" i="12"/>
  <c r="G50" i="12"/>
  <c r="H85" i="12"/>
  <c r="H53" i="12"/>
  <c r="H21" i="12"/>
  <c r="G18" i="12"/>
  <c r="H54" i="12"/>
  <c r="G90" i="12"/>
  <c r="H117" i="12"/>
  <c r="G162" i="12"/>
  <c r="H133" i="12"/>
  <c r="H77" i="12"/>
  <c r="G138" i="12"/>
  <c r="B56" i="12"/>
  <c r="B64" i="12" s="1"/>
  <c r="H93" i="12"/>
  <c r="H157" i="12"/>
  <c r="G10" i="12"/>
  <c r="H46" i="12"/>
  <c r="F81" i="7"/>
  <c r="F82" i="7" s="1"/>
  <c r="G74" i="12"/>
  <c r="H29" i="12"/>
  <c r="G42" i="12"/>
  <c r="G194" i="12"/>
  <c r="H102" i="12"/>
  <c r="H166" i="12"/>
  <c r="G19" i="12"/>
  <c r="G83" i="12"/>
  <c r="G147" i="12"/>
  <c r="G211" i="12"/>
  <c r="H63" i="12"/>
  <c r="H127" i="12"/>
  <c r="H191" i="12"/>
  <c r="G44" i="12"/>
  <c r="G108" i="12"/>
  <c r="G172" i="12"/>
  <c r="G208" i="12"/>
  <c r="H64" i="12"/>
  <c r="H128" i="12"/>
  <c r="H192" i="12"/>
  <c r="G45" i="12"/>
  <c r="G109" i="12"/>
  <c r="G173" i="12"/>
  <c r="H49" i="12"/>
  <c r="H113" i="12"/>
  <c r="H177" i="12"/>
  <c r="G30" i="12"/>
  <c r="G94" i="12"/>
  <c r="G158" i="12"/>
  <c r="G183" i="12"/>
  <c r="H58" i="12"/>
  <c r="H122" i="12"/>
  <c r="H186" i="12"/>
  <c r="G39" i="12"/>
  <c r="G103" i="12"/>
  <c r="G175" i="12"/>
  <c r="H35" i="12"/>
  <c r="H99" i="12"/>
  <c r="H163" i="12"/>
  <c r="G16" i="12"/>
  <c r="G80" i="12"/>
  <c r="G144" i="12"/>
  <c r="H4" i="12"/>
  <c r="H68" i="12"/>
  <c r="H132" i="12"/>
  <c r="H196" i="12"/>
  <c r="G49" i="12"/>
  <c r="G113" i="12"/>
  <c r="G177" i="12"/>
  <c r="B63" i="12"/>
  <c r="G102" i="12"/>
  <c r="H130" i="12"/>
  <c r="G47" i="12"/>
  <c r="H43" i="12"/>
  <c r="G24" i="12"/>
  <c r="H12" i="12"/>
  <c r="H204" i="12"/>
  <c r="G185" i="12"/>
  <c r="H74" i="12"/>
  <c r="G55" i="12"/>
  <c r="H115" i="12"/>
  <c r="G160" i="12"/>
  <c r="H212" i="12"/>
  <c r="H28" i="12"/>
  <c r="G201" i="12"/>
  <c r="H125" i="12"/>
  <c r="G187" i="12"/>
  <c r="H168" i="12"/>
  <c r="G6" i="12"/>
  <c r="H162" i="12"/>
  <c r="H139" i="12"/>
  <c r="H172" i="12"/>
  <c r="G58" i="12"/>
  <c r="H14" i="12"/>
  <c r="H110" i="12"/>
  <c r="H174" i="12"/>
  <c r="G27" i="12"/>
  <c r="G91" i="12"/>
  <c r="G155" i="12"/>
  <c r="H7" i="12"/>
  <c r="H71" i="12"/>
  <c r="H135" i="12"/>
  <c r="H199" i="12"/>
  <c r="G52" i="12"/>
  <c r="G116" i="12"/>
  <c r="G180" i="12"/>
  <c r="H8" i="12"/>
  <c r="H72" i="12"/>
  <c r="H136" i="12"/>
  <c r="H200" i="12"/>
  <c r="G53" i="12"/>
  <c r="G117" i="12"/>
  <c r="G189" i="12"/>
  <c r="H57" i="12"/>
  <c r="H121" i="12"/>
  <c r="G38" i="12"/>
  <c r="G166" i="12"/>
  <c r="G199" i="12"/>
  <c r="H194" i="12"/>
  <c r="G191" i="12"/>
  <c r="H171" i="12"/>
  <c r="G152" i="12"/>
  <c r="H140" i="12"/>
  <c r="G121" i="12"/>
  <c r="H10" i="12"/>
  <c r="G119" i="12"/>
  <c r="H179" i="12"/>
  <c r="H148" i="12"/>
  <c r="G168" i="12"/>
  <c r="G73" i="12"/>
  <c r="B80" i="12"/>
  <c r="G59" i="12"/>
  <c r="H103" i="12"/>
  <c r="G212" i="12"/>
  <c r="H25" i="12"/>
  <c r="H34" i="12"/>
  <c r="G56" i="12"/>
  <c r="B88" i="12"/>
  <c r="B91" i="12" s="1"/>
  <c r="G106" i="12"/>
  <c r="H22" i="12"/>
  <c r="H118" i="12"/>
  <c r="H182" i="12"/>
  <c r="G35" i="12"/>
  <c r="G99" i="12"/>
  <c r="G163" i="12"/>
  <c r="H15" i="12"/>
  <c r="H79" i="12"/>
  <c r="H143" i="12"/>
  <c r="H207" i="12"/>
  <c r="G60" i="12"/>
  <c r="G124" i="12"/>
  <c r="G188" i="12"/>
  <c r="H16" i="12"/>
  <c r="H80" i="12"/>
  <c r="H144" i="12"/>
  <c r="H208" i="12"/>
  <c r="G61" i="12"/>
  <c r="G125" i="12"/>
  <c r="G2" i="12"/>
  <c r="H65" i="12"/>
  <c r="H129" i="12"/>
  <c r="H193" i="12"/>
  <c r="G46" i="12"/>
  <c r="G110" i="12"/>
  <c r="G174" i="12"/>
  <c r="H202" i="12"/>
  <c r="G207" i="12"/>
  <c r="G96" i="12"/>
  <c r="G65" i="12"/>
  <c r="G137" i="12"/>
  <c r="G145" i="12"/>
  <c r="G170" i="12"/>
  <c r="H40" i="12"/>
  <c r="G134" i="12"/>
  <c r="H11" i="12"/>
  <c r="H108" i="12"/>
  <c r="G122" i="12"/>
  <c r="H30" i="12"/>
  <c r="H126" i="12"/>
  <c r="H190" i="12"/>
  <c r="G43" i="12"/>
  <c r="G107" i="12"/>
  <c r="G171" i="12"/>
  <c r="H23" i="12"/>
  <c r="H87" i="12"/>
  <c r="H151" i="12"/>
  <c r="G4" i="12"/>
  <c r="G68" i="12"/>
  <c r="G132" i="12"/>
  <c r="G196" i="12"/>
  <c r="H24" i="12"/>
  <c r="H88" i="12"/>
  <c r="H152" i="12"/>
  <c r="G5" i="12"/>
  <c r="G69" i="12"/>
  <c r="G133" i="12"/>
  <c r="H9" i="12"/>
  <c r="H73" i="12"/>
  <c r="H137" i="12"/>
  <c r="H201" i="12"/>
  <c r="G54" i="12"/>
  <c r="G118" i="12"/>
  <c r="G182" i="12"/>
  <c r="H18" i="12"/>
  <c r="H82" i="12"/>
  <c r="H146" i="12"/>
  <c r="H210" i="12"/>
  <c r="G63" i="12"/>
  <c r="G127" i="12"/>
  <c r="G209" i="12"/>
  <c r="H59" i="12"/>
  <c r="H123" i="12"/>
  <c r="H187" i="12"/>
  <c r="G40" i="12"/>
  <c r="G104" i="12"/>
  <c r="H156" i="12"/>
  <c r="G81" i="12"/>
  <c r="H78" i="12"/>
  <c r="G84" i="12"/>
  <c r="G85" i="12"/>
  <c r="G70" i="12"/>
  <c r="G79" i="12"/>
  <c r="G120" i="12"/>
  <c r="G89" i="12"/>
  <c r="G130" i="12"/>
  <c r="H38" i="12"/>
  <c r="H134" i="12"/>
  <c r="H198" i="12"/>
  <c r="G51" i="12"/>
  <c r="G115" i="12"/>
  <c r="G179" i="12"/>
  <c r="H31" i="12"/>
  <c r="H95" i="12"/>
  <c r="H159" i="12"/>
  <c r="G12" i="12"/>
  <c r="G76" i="12"/>
  <c r="G140" i="12"/>
  <c r="G204" i="12"/>
  <c r="H32" i="12"/>
  <c r="H96" i="12"/>
  <c r="H160" i="12"/>
  <c r="G13" i="12"/>
  <c r="G77" i="12"/>
  <c r="G141" i="12"/>
  <c r="H17" i="12"/>
  <c r="H81" i="12"/>
  <c r="H145" i="12"/>
  <c r="H209" i="12"/>
  <c r="G62" i="12"/>
  <c r="G126" i="12"/>
  <c r="G190" i="12"/>
  <c r="H26" i="12"/>
  <c r="H90" i="12"/>
  <c r="H154" i="12"/>
  <c r="G7" i="12"/>
  <c r="G71" i="12"/>
  <c r="G135" i="12"/>
  <c r="H3" i="12"/>
  <c r="H67" i="12"/>
  <c r="H131" i="12"/>
  <c r="H195" i="12"/>
  <c r="G48" i="12"/>
  <c r="G112" i="12"/>
  <c r="G176" i="12"/>
  <c r="H36" i="12"/>
  <c r="G17" i="12"/>
  <c r="G123" i="12"/>
  <c r="H39" i="12"/>
  <c r="G148" i="12"/>
  <c r="G149" i="12"/>
  <c r="G198" i="12"/>
  <c r="G143" i="12"/>
  <c r="G184" i="12"/>
  <c r="G153" i="12"/>
  <c r="H189" i="12"/>
  <c r="G178" i="12"/>
  <c r="H86" i="12"/>
  <c r="H150" i="12"/>
  <c r="G3" i="12"/>
  <c r="G67" i="12"/>
  <c r="G131" i="12"/>
  <c r="G195" i="12"/>
  <c r="H47" i="12"/>
  <c r="H111" i="12"/>
  <c r="H175" i="12"/>
  <c r="G28" i="12"/>
  <c r="G92" i="12"/>
  <c r="G156" i="12"/>
  <c r="G181" i="12"/>
  <c r="H48" i="12"/>
  <c r="H112" i="12"/>
  <c r="H176" i="12"/>
  <c r="G29" i="12"/>
  <c r="G93" i="12"/>
  <c r="G157" i="12"/>
  <c r="H33" i="12"/>
  <c r="H97" i="12"/>
  <c r="H161" i="12"/>
  <c r="G14" i="12"/>
  <c r="G78" i="12"/>
  <c r="G142" i="12"/>
  <c r="G206" i="12"/>
  <c r="H42" i="12"/>
  <c r="H106" i="12"/>
  <c r="H170" i="12"/>
  <c r="G23" i="12"/>
  <c r="G87" i="12"/>
  <c r="G151" i="12"/>
  <c r="H19" i="12"/>
  <c r="H83" i="12"/>
  <c r="H147" i="12"/>
  <c r="H211" i="12"/>
  <c r="G64" i="12"/>
  <c r="G128" i="12"/>
  <c r="G192" i="12"/>
  <c r="H52" i="12"/>
  <c r="H116" i="12"/>
  <c r="H180" i="12"/>
  <c r="G33" i="12"/>
  <c r="G97" i="12"/>
  <c r="G161" i="12"/>
  <c r="B70" i="12"/>
  <c r="H20" i="12"/>
  <c r="G193" i="12"/>
  <c r="G9" i="12"/>
  <c r="H100" i="12"/>
  <c r="H142" i="12"/>
  <c r="G20" i="12"/>
  <c r="G21" i="12"/>
  <c r="H153" i="12"/>
  <c r="G15" i="12"/>
  <c r="H203" i="12"/>
  <c r="G25" i="12"/>
  <c r="H205" i="12"/>
  <c r="G186" i="12"/>
  <c r="H94" i="12"/>
  <c r="H158" i="12"/>
  <c r="G11" i="12"/>
  <c r="G75" i="12"/>
  <c r="G139" i="12"/>
  <c r="G203" i="12"/>
  <c r="H55" i="12"/>
  <c r="H119" i="12"/>
  <c r="H183" i="12"/>
  <c r="G36" i="12"/>
  <c r="G100" i="12"/>
  <c r="G164" i="12"/>
  <c r="G205" i="12"/>
  <c r="H56" i="12"/>
  <c r="H120" i="12"/>
  <c r="H184" i="12"/>
  <c r="G37" i="12"/>
  <c r="G101" i="12"/>
  <c r="G165" i="12"/>
  <c r="H41" i="12"/>
  <c r="H105" i="12"/>
  <c r="H169" i="12"/>
  <c r="G22" i="12"/>
  <c r="G86" i="12"/>
  <c r="G150" i="12"/>
  <c r="G167" i="12"/>
  <c r="H50" i="12"/>
  <c r="H114" i="12"/>
  <c r="H178" i="12"/>
  <c r="G31" i="12"/>
  <c r="G95" i="12"/>
  <c r="G159" i="12"/>
  <c r="H27" i="12"/>
  <c r="H91" i="12"/>
  <c r="H155" i="12"/>
  <c r="G8" i="12"/>
  <c r="G72" i="12"/>
  <c r="G136" i="12"/>
  <c r="G200" i="12"/>
  <c r="H60" i="12"/>
  <c r="H124" i="12"/>
  <c r="H188" i="12"/>
  <c r="G41" i="12"/>
  <c r="G105" i="12"/>
  <c r="G169" i="12"/>
  <c r="B46" i="12"/>
  <c r="H185" i="12"/>
  <c r="H66" i="12"/>
  <c r="G111" i="12"/>
  <c r="H107" i="12"/>
  <c r="G88" i="12"/>
  <c r="H76" i="12"/>
  <c r="G57" i="12"/>
  <c r="H138" i="12"/>
  <c r="H51" i="12"/>
  <c r="G32" i="12"/>
  <c r="H84" i="12"/>
  <c r="G129" i="12"/>
  <c r="H92" i="12"/>
  <c r="H164" i="12"/>
  <c r="H206" i="12"/>
  <c r="H167" i="12"/>
  <c r="H104" i="12"/>
  <c r="H89" i="12"/>
  <c r="H98" i="12"/>
  <c r="H75" i="12"/>
  <c r="H44" i="12"/>
  <c r="H149" i="12"/>
  <c r="G202" i="12"/>
  <c r="C88" i="7"/>
  <c r="D89" i="7" s="1"/>
  <c r="D43" i="7"/>
  <c r="D42" i="7"/>
  <c r="D99" i="7"/>
  <c r="D100" i="7" s="1"/>
  <c r="F102" i="7" s="1"/>
  <c r="F4" i="6"/>
  <c r="D45" i="7" l="1"/>
  <c r="C87" i="12"/>
  <c r="C90" i="12" s="1"/>
  <c r="B67" i="12"/>
  <c r="B82" i="12"/>
  <c r="B83" i="12" s="1"/>
  <c r="B87" i="12"/>
  <c r="B84" i="12" s="1"/>
  <c r="B85" i="12" s="1"/>
  <c r="B71" i="12"/>
  <c r="B76" i="12" s="1"/>
  <c r="C5" i="12"/>
  <c r="B5" i="12" s="1"/>
  <c r="E5" i="12" s="1"/>
  <c r="D126" i="7"/>
  <c r="D127" i="7" s="1"/>
  <c r="D62" i="7"/>
  <c r="D64" i="7"/>
  <c r="D65" i="7" s="1"/>
  <c r="AR118" i="12" l="1"/>
  <c r="AS118" i="12" s="1"/>
  <c r="AU118" i="12" s="1"/>
  <c r="AR116" i="12"/>
  <c r="AS116" i="12" s="1"/>
  <c r="AU116" i="12" s="1"/>
  <c r="AR9" i="12"/>
  <c r="AS9" i="12" s="1"/>
  <c r="AT9" i="12" s="1"/>
  <c r="AR187" i="12"/>
  <c r="AS187" i="12" s="1"/>
  <c r="AU187" i="12" s="1"/>
  <c r="AR12" i="12"/>
  <c r="AS12" i="12" s="1"/>
  <c r="AT12" i="12" s="1"/>
  <c r="AR89" i="12"/>
  <c r="AS89" i="12" s="1"/>
  <c r="AT89" i="12" s="1"/>
  <c r="AR24" i="12"/>
  <c r="AS24" i="12" s="1"/>
  <c r="AR162" i="12"/>
  <c r="AS162" i="12" s="1"/>
  <c r="AT162" i="12" s="1"/>
  <c r="AR119" i="12"/>
  <c r="AS119" i="12" s="1"/>
  <c r="AT119" i="12" s="1"/>
  <c r="AR183" i="12"/>
  <c r="AS183" i="12" s="1"/>
  <c r="AT183" i="12" s="1"/>
  <c r="AR75" i="12"/>
  <c r="AS75" i="12" s="1"/>
  <c r="AU75" i="12" s="1"/>
  <c r="AR38" i="12"/>
  <c r="AS38" i="12" s="1"/>
  <c r="AT38" i="12" s="1"/>
  <c r="AR73" i="12"/>
  <c r="AS73" i="12" s="1"/>
  <c r="AT73" i="12" s="1"/>
  <c r="AR19" i="12"/>
  <c r="AS19" i="12" s="1"/>
  <c r="AU19" i="12" s="1"/>
  <c r="AR59" i="12"/>
  <c r="AS59" i="12" s="1"/>
  <c r="AU59" i="12" s="1"/>
  <c r="AR64" i="12"/>
  <c r="AS64" i="12" s="1"/>
  <c r="AR85" i="12"/>
  <c r="AS85" i="12" s="1"/>
  <c r="AT85" i="12" s="1"/>
  <c r="AR70" i="12"/>
  <c r="AS70" i="12" s="1"/>
  <c r="AR42" i="12"/>
  <c r="AS42" i="12" s="1"/>
  <c r="AR163" i="12"/>
  <c r="AS163" i="12" s="1"/>
  <c r="AR165" i="12"/>
  <c r="AS165" i="12" s="1"/>
  <c r="AT165" i="12" s="1"/>
  <c r="AR56" i="12"/>
  <c r="AS56" i="12" s="1"/>
  <c r="AT56" i="12" s="1"/>
  <c r="AR172" i="12"/>
  <c r="AS172" i="12" s="1"/>
  <c r="AU172" i="12" s="1"/>
  <c r="AR155" i="12"/>
  <c r="AS155" i="12" s="1"/>
  <c r="AT155" i="12" s="1"/>
  <c r="B90" i="12"/>
  <c r="AR20" i="12"/>
  <c r="AS20" i="12" s="1"/>
  <c r="AU20" i="12" s="1"/>
  <c r="AR186" i="12"/>
  <c r="AS186" i="12" s="1"/>
  <c r="AT186" i="12" s="1"/>
  <c r="AR104" i="12"/>
  <c r="AS104" i="12" s="1"/>
  <c r="AT104" i="12" s="1"/>
  <c r="AR206" i="12"/>
  <c r="AS206" i="12" s="1"/>
  <c r="AR86" i="12"/>
  <c r="AS86" i="12" s="1"/>
  <c r="AT86" i="12" s="1"/>
  <c r="AR8" i="12"/>
  <c r="AS8" i="12" s="1"/>
  <c r="AU8" i="12" s="1"/>
  <c r="AR18" i="12"/>
  <c r="AS18" i="12" s="1"/>
  <c r="AU18" i="12" s="1"/>
  <c r="AR141" i="12"/>
  <c r="AS141" i="12" s="1"/>
  <c r="AU141" i="12" s="1"/>
  <c r="AR180" i="12"/>
  <c r="AS180" i="12" s="1"/>
  <c r="AU180" i="12" s="1"/>
  <c r="AR65" i="12"/>
  <c r="AS65" i="12" s="1"/>
  <c r="AU65" i="12" s="1"/>
  <c r="AR94" i="12"/>
  <c r="AS94" i="12" s="1"/>
  <c r="AT94" i="12" s="1"/>
  <c r="AR45" i="12"/>
  <c r="AS45" i="12" s="1"/>
  <c r="AR210" i="12"/>
  <c r="AS210" i="12" s="1"/>
  <c r="AT210" i="12" s="1"/>
  <c r="AR140" i="12"/>
  <c r="AS140" i="12" s="1"/>
  <c r="AR67" i="12"/>
  <c r="AS67" i="12" s="1"/>
  <c r="AR58" i="12"/>
  <c r="AS58" i="12" s="1"/>
  <c r="AR199" i="12"/>
  <c r="AS199" i="12" s="1"/>
  <c r="AR169" i="12"/>
  <c r="AS169" i="12" s="1"/>
  <c r="AR16" i="12"/>
  <c r="AS16" i="12" s="1"/>
  <c r="AR179" i="12"/>
  <c r="AS179" i="12" s="1"/>
  <c r="AR182" i="12"/>
  <c r="AS182" i="12" s="1"/>
  <c r="AR77" i="12"/>
  <c r="AS77" i="12" s="1"/>
  <c r="AR124" i="12"/>
  <c r="AS124" i="12" s="1"/>
  <c r="AR106" i="12"/>
  <c r="AS106" i="12" s="1"/>
  <c r="AR126" i="12"/>
  <c r="AS126" i="12" s="1"/>
  <c r="AT126" i="12" s="1"/>
  <c r="AR50" i="12"/>
  <c r="AS50" i="12" s="1"/>
  <c r="AR107" i="12"/>
  <c r="AS107" i="12" s="1"/>
  <c r="AR72" i="12"/>
  <c r="AS72" i="12" s="1"/>
  <c r="AR113" i="12"/>
  <c r="AS113" i="12" s="1"/>
  <c r="AR170" i="12"/>
  <c r="AS170" i="12" s="1"/>
  <c r="AR114" i="12"/>
  <c r="AS114" i="12" s="1"/>
  <c r="AR90" i="12"/>
  <c r="AS90" i="12" s="1"/>
  <c r="AR143" i="12"/>
  <c r="AS143" i="12" s="1"/>
  <c r="AR135" i="12"/>
  <c r="AS135" i="12" s="1"/>
  <c r="AR190" i="12"/>
  <c r="AS190" i="12" s="1"/>
  <c r="AR41" i="12"/>
  <c r="AS41" i="12" s="1"/>
  <c r="AR2" i="12"/>
  <c r="AS2" i="12" s="1"/>
  <c r="AR44" i="12"/>
  <c r="AS44" i="12" s="1"/>
  <c r="AT44" i="12" s="1"/>
  <c r="AR188" i="12"/>
  <c r="AS188" i="12" s="1"/>
  <c r="AR138" i="12"/>
  <c r="AS138" i="12" s="1"/>
  <c r="AU138" i="12" s="1"/>
  <c r="AR127" i="12"/>
  <c r="AS127" i="12" s="1"/>
  <c r="AR117" i="12"/>
  <c r="AS117" i="12" s="1"/>
  <c r="AR26" i="12"/>
  <c r="AS26" i="12" s="1"/>
  <c r="AR92" i="12"/>
  <c r="AS92" i="12" s="1"/>
  <c r="AR200" i="12"/>
  <c r="AS200" i="12" s="1"/>
  <c r="AR157" i="12"/>
  <c r="AS157" i="12" s="1"/>
  <c r="AR62" i="12"/>
  <c r="AS62" i="12" s="1"/>
  <c r="AR34" i="12"/>
  <c r="AS34" i="12" s="1"/>
  <c r="AR47" i="12"/>
  <c r="AS47" i="12" s="1"/>
  <c r="AR39" i="12"/>
  <c r="AS39" i="12" s="1"/>
  <c r="AR88" i="12"/>
  <c r="AS88" i="12" s="1"/>
  <c r="AT88" i="12" s="1"/>
  <c r="AR69" i="12"/>
  <c r="AS69" i="12" s="1"/>
  <c r="AT69" i="12" s="1"/>
  <c r="AR115" i="12"/>
  <c r="AS115" i="12" s="1"/>
  <c r="AU115" i="12" s="1"/>
  <c r="AR91" i="12"/>
  <c r="AS91" i="12" s="1"/>
  <c r="AT91" i="12" s="1"/>
  <c r="AR203" i="12"/>
  <c r="AS203" i="12" s="1"/>
  <c r="AT203" i="12" s="1"/>
  <c r="AR111" i="12"/>
  <c r="AS111" i="12" s="1"/>
  <c r="AU111" i="12" s="1"/>
  <c r="AR97" i="12"/>
  <c r="AS97" i="12" s="1"/>
  <c r="AR164" i="12"/>
  <c r="AS164" i="12" s="1"/>
  <c r="AU164" i="12" s="1"/>
  <c r="AR54" i="12"/>
  <c r="AS54" i="12" s="1"/>
  <c r="AR93" i="12"/>
  <c r="AS93" i="12" s="1"/>
  <c r="AR79" i="12"/>
  <c r="AS79" i="12" s="1"/>
  <c r="AR33" i="12"/>
  <c r="AS33" i="12" s="1"/>
  <c r="AR209" i="12"/>
  <c r="AS209" i="12" s="1"/>
  <c r="AR112" i="12"/>
  <c r="AS112" i="12" s="1"/>
  <c r="AU112" i="12" s="1"/>
  <c r="AR87" i="12"/>
  <c r="AS87" i="12" s="1"/>
  <c r="AT87" i="12" s="1"/>
  <c r="AR130" i="12"/>
  <c r="AS130" i="12" s="1"/>
  <c r="AT130" i="12" s="1"/>
  <c r="AR61" i="12"/>
  <c r="AS61" i="12" s="1"/>
  <c r="AT61" i="12" s="1"/>
  <c r="AR35" i="12"/>
  <c r="AS35" i="12" s="1"/>
  <c r="AT35" i="12" s="1"/>
  <c r="AR40" i="12"/>
  <c r="AS40" i="12" s="1"/>
  <c r="AR154" i="12"/>
  <c r="AS154" i="12" s="1"/>
  <c r="AR208" i="12"/>
  <c r="AS208" i="12" s="1"/>
  <c r="AR51" i="12"/>
  <c r="AS51" i="12" s="1"/>
  <c r="AR68" i="12"/>
  <c r="AS68" i="12" s="1"/>
  <c r="AR84" i="12"/>
  <c r="AS84" i="12" s="1"/>
  <c r="AR122" i="12"/>
  <c r="AS122" i="12" s="1"/>
  <c r="AU122" i="12" s="1"/>
  <c r="AR102" i="12"/>
  <c r="AS102" i="12" s="1"/>
  <c r="AT102" i="12" s="1"/>
  <c r="AR49" i="12"/>
  <c r="AS49" i="12" s="1"/>
  <c r="AR78" i="12"/>
  <c r="AS78" i="12" s="1"/>
  <c r="AR7" i="12"/>
  <c r="AS7" i="12" s="1"/>
  <c r="AR121" i="12"/>
  <c r="AS121" i="12" s="1"/>
  <c r="AR149" i="12"/>
  <c r="AS149" i="12" s="1"/>
  <c r="AU149" i="12" s="1"/>
  <c r="AR29" i="12"/>
  <c r="AS29" i="12" s="1"/>
  <c r="AR191" i="12"/>
  <c r="AS191" i="12" s="1"/>
  <c r="AR22" i="12"/>
  <c r="AS22" i="12" s="1"/>
  <c r="AR158" i="12"/>
  <c r="AS158" i="12" s="1"/>
  <c r="AR139" i="12"/>
  <c r="AS139" i="12" s="1"/>
  <c r="AR11" i="12"/>
  <c r="AS11" i="12" s="1"/>
  <c r="AR109" i="12"/>
  <c r="AS109" i="12" s="1"/>
  <c r="AR196" i="12"/>
  <c r="AS196" i="12" s="1"/>
  <c r="AR211" i="12"/>
  <c r="AS211" i="12" s="1"/>
  <c r="AR57" i="12"/>
  <c r="AS57" i="12" s="1"/>
  <c r="AR4" i="12"/>
  <c r="AS4" i="12" s="1"/>
  <c r="AR144" i="12"/>
  <c r="AS144" i="12" s="1"/>
  <c r="AR161" i="12"/>
  <c r="AS161" i="12" s="1"/>
  <c r="AR146" i="12"/>
  <c r="AS146" i="12" s="1"/>
  <c r="AR174" i="12"/>
  <c r="AS174" i="12" s="1"/>
  <c r="AR207" i="12"/>
  <c r="AS207" i="12" s="1"/>
  <c r="AR23" i="12"/>
  <c r="AS23" i="12" s="1"/>
  <c r="AR63" i="12"/>
  <c r="AS63" i="12" s="1"/>
  <c r="AR152" i="12"/>
  <c r="AS152" i="12" s="1"/>
  <c r="AR159" i="12"/>
  <c r="AS159" i="12" s="1"/>
  <c r="AR14" i="12"/>
  <c r="AS14" i="12" s="1"/>
  <c r="AR81" i="12"/>
  <c r="AS81" i="12" s="1"/>
  <c r="AR204" i="12"/>
  <c r="AS204" i="12" s="1"/>
  <c r="AR123" i="12"/>
  <c r="AS123" i="12" s="1"/>
  <c r="AR74" i="12"/>
  <c r="AS74" i="12" s="1"/>
  <c r="AR147" i="12"/>
  <c r="AS147" i="12" s="1"/>
  <c r="AR60" i="12"/>
  <c r="AS60" i="12" s="1"/>
  <c r="AR32" i="12"/>
  <c r="AS32" i="12" s="1"/>
  <c r="AR181" i="12"/>
  <c r="AS181" i="12" s="1"/>
  <c r="AR205" i="12"/>
  <c r="AS205" i="12" s="1"/>
  <c r="AR202" i="12"/>
  <c r="AS202" i="12" s="1"/>
  <c r="AR99" i="12"/>
  <c r="AS99" i="12" s="1"/>
  <c r="AR100" i="12"/>
  <c r="AS100" i="12" s="1"/>
  <c r="AR150" i="12"/>
  <c r="AS150" i="12" s="1"/>
  <c r="AR185" i="12"/>
  <c r="AS185" i="12" s="1"/>
  <c r="AR82" i="12"/>
  <c r="AS82" i="12" s="1"/>
  <c r="AR30" i="12"/>
  <c r="AS30" i="12" s="1"/>
  <c r="AR37" i="12"/>
  <c r="AS37" i="12" s="1"/>
  <c r="AR98" i="12"/>
  <c r="AS98" i="12" s="1"/>
  <c r="AR134" i="12"/>
  <c r="AS134" i="12" s="1"/>
  <c r="AR173" i="12"/>
  <c r="AS173" i="12" s="1"/>
  <c r="AR193" i="12"/>
  <c r="AS193" i="12" s="1"/>
  <c r="AR96" i="12"/>
  <c r="AS96" i="12" s="1"/>
  <c r="AR192" i="12"/>
  <c r="AS192" i="12" s="1"/>
  <c r="AR160" i="12"/>
  <c r="AS160" i="12" s="1"/>
  <c r="AR53" i="12"/>
  <c r="AS53" i="12" s="1"/>
  <c r="AR10" i="12"/>
  <c r="AS10" i="12" s="1"/>
  <c r="AR105" i="12"/>
  <c r="AS105" i="12" s="1"/>
  <c r="AR108" i="12"/>
  <c r="AS108" i="12" s="1"/>
  <c r="AR52" i="12"/>
  <c r="AS52" i="12" s="1"/>
  <c r="AR83" i="12"/>
  <c r="AS83" i="12" s="1"/>
  <c r="AR168" i="12"/>
  <c r="AS168" i="12" s="1"/>
  <c r="AR194" i="12"/>
  <c r="AS194" i="12" s="1"/>
  <c r="AR136" i="12"/>
  <c r="AS136" i="12" s="1"/>
  <c r="AR201" i="12"/>
  <c r="AS201" i="12" s="1"/>
  <c r="AR13" i="12"/>
  <c r="AS13" i="12" s="1"/>
  <c r="AR177" i="12"/>
  <c r="AS177" i="12" s="1"/>
  <c r="AR145" i="12"/>
  <c r="AS145" i="12" s="1"/>
  <c r="AR66" i="12"/>
  <c r="AS66" i="12" s="1"/>
  <c r="AR195" i="12"/>
  <c r="AS195" i="12" s="1"/>
  <c r="AR103" i="12"/>
  <c r="AS103" i="12" s="1"/>
  <c r="AR137" i="12"/>
  <c r="AS137" i="12" s="1"/>
  <c r="AR76" i="12"/>
  <c r="AS76" i="12" s="1"/>
  <c r="AR15" i="12"/>
  <c r="AS15" i="12" s="1"/>
  <c r="AR95" i="12"/>
  <c r="AS95" i="12" s="1"/>
  <c r="AR6" i="12"/>
  <c r="AS6" i="12" s="1"/>
  <c r="AR27" i="12"/>
  <c r="AS27" i="12" s="1"/>
  <c r="AR131" i="12"/>
  <c r="AS131" i="12" s="1"/>
  <c r="AR156" i="12"/>
  <c r="AS156" i="12" s="1"/>
  <c r="AR36" i="12"/>
  <c r="AS36" i="12" s="1"/>
  <c r="AR176" i="12"/>
  <c r="AS176" i="12" s="1"/>
  <c r="AR128" i="12"/>
  <c r="AS128" i="12" s="1"/>
  <c r="AR197" i="12"/>
  <c r="AS197" i="12" s="1"/>
  <c r="AR25" i="12"/>
  <c r="AS25" i="12" s="1"/>
  <c r="AR120" i="12"/>
  <c r="AS120" i="12" s="1"/>
  <c r="AR153" i="12"/>
  <c r="AS153" i="12" s="1"/>
  <c r="AR133" i="12"/>
  <c r="AS133" i="12" s="1"/>
  <c r="AR21" i="12"/>
  <c r="AS21" i="12" s="1"/>
  <c r="AR212" i="12"/>
  <c r="AS212" i="12" s="1"/>
  <c r="AR166" i="12"/>
  <c r="AS166" i="12" s="1"/>
  <c r="AR43" i="12"/>
  <c r="AS43" i="12" s="1"/>
  <c r="AR110" i="12"/>
  <c r="AS110" i="12" s="1"/>
  <c r="AR167" i="12"/>
  <c r="AS167" i="12" s="1"/>
  <c r="AR148" i="12"/>
  <c r="AS148" i="12" s="1"/>
  <c r="AR71" i="12"/>
  <c r="AS71" i="12" s="1"/>
  <c r="AR142" i="12"/>
  <c r="AS142" i="12" s="1"/>
  <c r="AR28" i="12"/>
  <c r="AS28" i="12" s="1"/>
  <c r="AR178" i="12"/>
  <c r="AS178" i="12" s="1"/>
  <c r="AR198" i="12"/>
  <c r="AS198" i="12" s="1"/>
  <c r="AR129" i="12"/>
  <c r="AS129" i="12" s="1"/>
  <c r="AR101" i="12"/>
  <c r="AS101" i="12" s="1"/>
  <c r="AR55" i="12"/>
  <c r="AS55" i="12" s="1"/>
  <c r="AR171" i="12"/>
  <c r="AS171" i="12" s="1"/>
  <c r="AR48" i="12"/>
  <c r="AS48" i="12" s="1"/>
  <c r="AR132" i="12"/>
  <c r="AS132" i="12" s="1"/>
  <c r="AR31" i="12"/>
  <c r="AS31" i="12" s="1"/>
  <c r="AR125" i="12"/>
  <c r="AS125" i="12" s="1"/>
  <c r="AR189" i="12"/>
  <c r="AS189" i="12" s="1"/>
  <c r="AR3" i="12"/>
  <c r="AS3" i="12" s="1"/>
  <c r="AR184" i="12"/>
  <c r="AS184" i="12" s="1"/>
  <c r="AR175" i="12"/>
  <c r="AS175" i="12" s="1"/>
  <c r="AR17" i="12"/>
  <c r="AS17" i="12" s="1"/>
  <c r="AR80" i="12"/>
  <c r="AS80" i="12" s="1"/>
  <c r="AR5" i="12"/>
  <c r="AS5" i="12" s="1"/>
  <c r="AR151" i="12"/>
  <c r="AS151" i="12" s="1"/>
  <c r="AR46" i="12"/>
  <c r="AS46" i="12" s="1"/>
  <c r="AU119" i="12"/>
  <c r="B79" i="12"/>
  <c r="B77" i="12"/>
  <c r="B78" i="12"/>
  <c r="F130" i="7"/>
  <c r="AT20" i="12" l="1"/>
  <c r="AU183" i="12"/>
  <c r="AT112" i="12"/>
  <c r="AT111" i="12"/>
  <c r="AT118" i="12"/>
  <c r="AU85" i="12"/>
  <c r="AU203" i="12"/>
  <c r="AT141" i="12"/>
  <c r="AT116" i="12"/>
  <c r="AU56" i="12"/>
  <c r="AT19" i="12"/>
  <c r="AU89" i="12"/>
  <c r="AT138" i="12"/>
  <c r="AU9" i="12"/>
  <c r="AU73" i="12"/>
  <c r="AU104" i="12"/>
  <c r="AU94" i="12"/>
  <c r="AU12" i="12"/>
  <c r="AU165" i="12"/>
  <c r="AU35" i="12"/>
  <c r="AU69" i="12"/>
  <c r="AU162" i="12"/>
  <c r="AT59" i="12"/>
  <c r="AT75" i="12"/>
  <c r="AT115" i="12"/>
  <c r="AU102" i="12"/>
  <c r="AU38" i="12"/>
  <c r="AU87" i="12"/>
  <c r="AT65" i="12"/>
  <c r="AU86" i="12"/>
  <c r="AT180" i="12"/>
  <c r="AT8" i="12"/>
  <c r="AU44" i="12"/>
  <c r="AU210" i="12"/>
  <c r="AT172" i="12"/>
  <c r="AU155" i="12"/>
  <c r="AU91" i="12"/>
  <c r="AU186" i="12"/>
  <c r="AU126" i="12"/>
  <c r="AT187" i="12"/>
  <c r="AT122" i="12"/>
  <c r="AT163" i="12"/>
  <c r="AU163" i="12"/>
  <c r="AU64" i="12"/>
  <c r="AT64" i="12"/>
  <c r="AT42" i="12"/>
  <c r="AU42" i="12"/>
  <c r="AT24" i="12"/>
  <c r="AU24" i="12"/>
  <c r="AT70" i="12"/>
  <c r="AU70" i="12"/>
  <c r="AL2" i="12"/>
  <c r="AN2" i="12" s="1"/>
  <c r="AL169" i="12"/>
  <c r="AN169" i="12" s="1"/>
  <c r="AL48" i="12"/>
  <c r="AN48" i="12" s="1"/>
  <c r="AL20" i="12"/>
  <c r="AN20" i="12" s="1"/>
  <c r="AL154" i="12"/>
  <c r="AN154" i="12" s="1"/>
  <c r="AL100" i="12"/>
  <c r="AN100" i="12" s="1"/>
  <c r="AL168" i="12"/>
  <c r="AN168" i="12" s="1"/>
  <c r="AL23" i="12"/>
  <c r="AN23" i="12" s="1"/>
  <c r="AL108" i="12"/>
  <c r="AN108" i="12" s="1"/>
  <c r="AL92" i="12"/>
  <c r="AN92" i="12" s="1"/>
  <c r="AL126" i="12"/>
  <c r="AN126" i="12" s="1"/>
  <c r="AL47" i="12"/>
  <c r="AN47" i="12" s="1"/>
  <c r="AL43" i="12"/>
  <c r="AN43" i="12" s="1"/>
  <c r="AL184" i="12"/>
  <c r="AN184" i="12" s="1"/>
  <c r="AL133" i="12"/>
  <c r="AN133" i="12" s="1"/>
  <c r="AL188" i="12"/>
  <c r="AN188" i="12" s="1"/>
  <c r="AL18" i="12"/>
  <c r="AN18" i="12" s="1"/>
  <c r="AL55" i="12"/>
  <c r="AN55" i="12" s="1"/>
  <c r="AL197" i="12"/>
  <c r="AN197" i="12" s="1"/>
  <c r="AL4" i="12"/>
  <c r="AN4" i="12" s="1"/>
  <c r="AL131" i="12"/>
  <c r="AN131" i="12" s="1"/>
  <c r="AL132" i="12"/>
  <c r="AN132" i="12" s="1"/>
  <c r="AL27" i="12"/>
  <c r="AN27" i="12" s="1"/>
  <c r="AL36" i="12"/>
  <c r="AN36" i="12" s="1"/>
  <c r="AL144" i="12"/>
  <c r="AN144" i="12" s="1"/>
  <c r="AL60" i="12"/>
  <c r="AN60" i="12" s="1"/>
  <c r="AL59" i="12"/>
  <c r="AN59" i="12" s="1"/>
  <c r="AL157" i="12"/>
  <c r="AN157" i="12" s="1"/>
  <c r="AL25" i="12"/>
  <c r="AN25" i="12" s="1"/>
  <c r="AL151" i="12"/>
  <c r="AN151" i="12" s="1"/>
  <c r="AL42" i="12"/>
  <c r="AN42" i="12" s="1"/>
  <c r="AL38" i="12"/>
  <c r="AN38" i="12" s="1"/>
  <c r="AL30" i="12"/>
  <c r="AN30" i="12" s="1"/>
  <c r="AL90" i="12"/>
  <c r="AN90" i="12" s="1"/>
  <c r="AL103" i="12"/>
  <c r="AN103" i="12" s="1"/>
  <c r="AL58" i="12"/>
  <c r="AN58" i="12" s="1"/>
  <c r="AL124" i="12"/>
  <c r="AN124" i="12" s="1"/>
  <c r="AL146" i="12"/>
  <c r="AN146" i="12" s="1"/>
  <c r="AL76" i="12"/>
  <c r="AN76" i="12" s="1"/>
  <c r="AL68" i="12"/>
  <c r="AN68" i="12" s="1"/>
  <c r="AL57" i="12"/>
  <c r="AN57" i="12" s="1"/>
  <c r="AL195" i="12"/>
  <c r="AN195" i="12" s="1"/>
  <c r="AL138" i="12"/>
  <c r="AN138" i="12" s="1"/>
  <c r="AL130" i="12"/>
  <c r="AN130" i="12" s="1"/>
  <c r="AL148" i="12"/>
  <c r="AN148" i="12" s="1"/>
  <c r="AL99" i="12"/>
  <c r="AN99" i="12" s="1"/>
  <c r="AL134" i="12"/>
  <c r="AN134" i="12" s="1"/>
  <c r="AL183" i="12"/>
  <c r="AN183" i="12" s="1"/>
  <c r="AL83" i="12"/>
  <c r="AN83" i="12" s="1"/>
  <c r="AL160" i="12"/>
  <c r="AN160" i="12" s="1"/>
  <c r="AL115" i="12"/>
  <c r="AN115" i="12" s="1"/>
  <c r="AL8" i="12"/>
  <c r="AN8" i="12" s="1"/>
  <c r="AL11" i="12"/>
  <c r="AN11" i="12" s="1"/>
  <c r="AL142" i="12"/>
  <c r="AN142" i="12" s="1"/>
  <c r="AL105" i="12"/>
  <c r="AN105" i="12" s="1"/>
  <c r="AL125" i="12"/>
  <c r="AN125" i="12" s="1"/>
  <c r="AL10" i="12"/>
  <c r="AN10" i="12" s="1"/>
  <c r="AL7" i="12"/>
  <c r="AN7" i="12" s="1"/>
  <c r="AL80" i="12"/>
  <c r="AN80" i="12" s="1"/>
  <c r="AL98" i="12"/>
  <c r="AN98" i="12" s="1"/>
  <c r="AL143" i="12"/>
  <c r="AN143" i="12" s="1"/>
  <c r="AL149" i="12"/>
  <c r="AN149" i="12" s="1"/>
  <c r="AL31" i="12"/>
  <c r="AN31" i="12" s="1"/>
  <c r="AL66" i="12"/>
  <c r="AN66" i="12" s="1"/>
  <c r="AL186" i="12"/>
  <c r="AN186" i="12" s="1"/>
  <c r="AL180" i="12"/>
  <c r="AN180" i="12" s="1"/>
  <c r="AL135" i="12"/>
  <c r="AN135" i="12" s="1"/>
  <c r="AL198" i="12"/>
  <c r="AN198" i="12" s="1"/>
  <c r="AL6" i="12"/>
  <c r="AN6" i="12" s="1"/>
  <c r="AL163" i="12"/>
  <c r="AN163" i="12" s="1"/>
  <c r="AL16" i="12"/>
  <c r="AN16" i="12" s="1"/>
  <c r="AL165" i="12"/>
  <c r="AN165" i="12" s="1"/>
  <c r="AL116" i="12"/>
  <c r="AN116" i="12" s="1"/>
  <c r="AL141" i="12"/>
  <c r="AN141" i="12" s="1"/>
  <c r="AL101" i="12"/>
  <c r="AN101" i="12" s="1"/>
  <c r="AL71" i="12"/>
  <c r="AN71" i="12" s="1"/>
  <c r="AL33" i="12"/>
  <c r="AN33" i="12" s="1"/>
  <c r="AL208" i="12"/>
  <c r="AN208" i="12" s="1"/>
  <c r="AL29" i="12"/>
  <c r="AN29" i="12" s="1"/>
  <c r="AL118" i="12"/>
  <c r="AN118" i="12" s="1"/>
  <c r="AL67" i="12"/>
  <c r="AN67" i="12" s="1"/>
  <c r="AL202" i="12"/>
  <c r="AN202" i="12" s="1"/>
  <c r="AL40" i="12"/>
  <c r="AN40" i="12" s="1"/>
  <c r="AL201" i="12"/>
  <c r="AN201" i="12" s="1"/>
  <c r="AL94" i="12"/>
  <c r="AN94" i="12" s="1"/>
  <c r="AL70" i="12"/>
  <c r="AN70" i="12" s="1"/>
  <c r="AL79" i="12"/>
  <c r="AN79" i="12" s="1"/>
  <c r="AL121" i="12"/>
  <c r="AN121" i="12" s="1"/>
  <c r="AL187" i="12"/>
  <c r="AN187" i="12" s="1"/>
  <c r="AL185" i="12"/>
  <c r="AN185" i="12" s="1"/>
  <c r="AL122" i="12"/>
  <c r="AN122" i="12" s="1"/>
  <c r="AL207" i="12"/>
  <c r="AN207" i="12" s="1"/>
  <c r="AL89" i="12"/>
  <c r="AN89" i="12" s="1"/>
  <c r="AL117" i="12"/>
  <c r="AN117" i="12" s="1"/>
  <c r="AL3" i="12"/>
  <c r="AN3" i="12" s="1"/>
  <c r="AL172" i="12"/>
  <c r="AN172" i="12" s="1"/>
  <c r="AL41" i="12"/>
  <c r="AN41" i="12" s="1"/>
  <c r="AL91" i="12"/>
  <c r="AN91" i="12" s="1"/>
  <c r="AL72" i="12"/>
  <c r="AN72" i="12" s="1"/>
  <c r="AL136" i="12"/>
  <c r="AN136" i="12" s="1"/>
  <c r="AL182" i="12"/>
  <c r="AN182" i="12" s="1"/>
  <c r="AL35" i="12"/>
  <c r="AN35" i="12" s="1"/>
  <c r="AL150" i="12"/>
  <c r="AN150" i="12" s="1"/>
  <c r="AL61" i="12"/>
  <c r="AN61" i="12" s="1"/>
  <c r="AL166" i="12"/>
  <c r="AN166" i="12" s="1"/>
  <c r="AL145" i="12"/>
  <c r="AN145" i="12" s="1"/>
  <c r="AL129" i="12"/>
  <c r="AN129" i="12" s="1"/>
  <c r="AL84" i="12"/>
  <c r="AN84" i="12" s="1"/>
  <c r="AL9" i="12"/>
  <c r="AN9" i="12" s="1"/>
  <c r="AL204" i="12"/>
  <c r="AN204" i="12" s="1"/>
  <c r="AL45" i="12"/>
  <c r="AN45" i="12" s="1"/>
  <c r="AL175" i="12"/>
  <c r="AN175" i="12" s="1"/>
  <c r="AL12" i="12"/>
  <c r="AN12" i="12" s="1"/>
  <c r="AL203" i="12"/>
  <c r="AN203" i="12" s="1"/>
  <c r="AL50" i="12"/>
  <c r="AN50" i="12" s="1"/>
  <c r="AL109" i="12"/>
  <c r="AN109" i="12" s="1"/>
  <c r="AL209" i="12"/>
  <c r="AN209" i="12" s="1"/>
  <c r="AL190" i="12"/>
  <c r="AN190" i="12" s="1"/>
  <c r="AL53" i="12"/>
  <c r="AN53" i="12" s="1"/>
  <c r="AL156" i="12"/>
  <c r="AN156" i="12" s="1"/>
  <c r="AL110" i="12"/>
  <c r="AN110" i="12" s="1"/>
  <c r="AL102" i="12"/>
  <c r="AN102" i="12" s="1"/>
  <c r="AL196" i="12"/>
  <c r="AN196" i="12" s="1"/>
  <c r="AL137" i="12"/>
  <c r="AN137" i="12" s="1"/>
  <c r="AL179" i="12"/>
  <c r="AN179" i="12" s="1"/>
  <c r="AL87" i="12"/>
  <c r="AN87" i="12" s="1"/>
  <c r="AL88" i="12"/>
  <c r="AN88" i="12" s="1"/>
  <c r="AL113" i="12"/>
  <c r="AN113" i="12" s="1"/>
  <c r="AL64" i="12"/>
  <c r="AN64" i="12" s="1"/>
  <c r="AL95" i="12"/>
  <c r="AN95" i="12" s="1"/>
  <c r="AL192" i="12"/>
  <c r="AN192" i="12" s="1"/>
  <c r="AL164" i="12"/>
  <c r="AN164" i="12" s="1"/>
  <c r="AL56" i="12"/>
  <c r="AN56" i="12" s="1"/>
  <c r="AL114" i="12"/>
  <c r="AN114" i="12" s="1"/>
  <c r="AL140" i="12"/>
  <c r="AN140" i="12" s="1"/>
  <c r="AL5" i="12"/>
  <c r="AN5" i="12" s="1"/>
  <c r="AL158" i="12"/>
  <c r="AN158" i="12" s="1"/>
  <c r="AL111" i="12"/>
  <c r="AN111" i="12" s="1"/>
  <c r="AL167" i="12"/>
  <c r="AN167" i="12" s="1"/>
  <c r="AL81" i="12"/>
  <c r="AN81" i="12" s="1"/>
  <c r="AL75" i="12"/>
  <c r="AN75" i="12" s="1"/>
  <c r="AL51" i="12"/>
  <c r="AN51" i="12" s="1"/>
  <c r="AL153" i="12"/>
  <c r="AN153" i="12" s="1"/>
  <c r="AL78" i="12"/>
  <c r="AN78" i="12" s="1"/>
  <c r="AL65" i="12"/>
  <c r="AN65" i="12" s="1"/>
  <c r="AL82" i="12"/>
  <c r="AN82" i="12" s="1"/>
  <c r="AL86" i="12"/>
  <c r="AN86" i="12" s="1"/>
  <c r="AL155" i="12"/>
  <c r="AN155" i="12" s="1"/>
  <c r="AL112" i="12"/>
  <c r="AN112" i="12" s="1"/>
  <c r="AL37" i="12"/>
  <c r="AN37" i="12" s="1"/>
  <c r="AL170" i="12"/>
  <c r="AN170" i="12" s="1"/>
  <c r="AL206" i="12"/>
  <c r="AN206" i="12" s="1"/>
  <c r="AL139" i="12"/>
  <c r="AN139" i="12" s="1"/>
  <c r="AL194" i="12"/>
  <c r="AN194" i="12" s="1"/>
  <c r="AL62" i="12"/>
  <c r="AN62" i="12" s="1"/>
  <c r="AL14" i="12"/>
  <c r="AN14" i="12" s="1"/>
  <c r="AL74" i="12"/>
  <c r="AN74" i="12" s="1"/>
  <c r="AL107" i="12"/>
  <c r="AN107" i="12" s="1"/>
  <c r="AL93" i="12"/>
  <c r="AN93" i="12" s="1"/>
  <c r="AL49" i="12"/>
  <c r="AN49" i="12" s="1"/>
  <c r="AL128" i="12"/>
  <c r="AN128" i="12" s="1"/>
  <c r="AL15" i="12"/>
  <c r="AN15" i="12" s="1"/>
  <c r="AL162" i="12"/>
  <c r="AN162" i="12" s="1"/>
  <c r="AL46" i="12"/>
  <c r="AN46" i="12" s="1"/>
  <c r="AL212" i="12"/>
  <c r="AN212" i="12" s="1"/>
  <c r="AL96" i="12"/>
  <c r="AN96" i="12" s="1"/>
  <c r="AL106" i="12"/>
  <c r="AN106" i="12" s="1"/>
  <c r="AL127" i="12"/>
  <c r="AN127" i="12" s="1"/>
  <c r="AL189" i="12"/>
  <c r="AN189" i="12" s="1"/>
  <c r="AL104" i="12"/>
  <c r="AN104" i="12" s="1"/>
  <c r="AL39" i="12"/>
  <c r="AN39" i="12" s="1"/>
  <c r="AL174" i="12"/>
  <c r="AN174" i="12" s="1"/>
  <c r="AL123" i="12"/>
  <c r="AN123" i="12" s="1"/>
  <c r="AL21" i="12"/>
  <c r="AN21" i="12" s="1"/>
  <c r="AL63" i="12"/>
  <c r="AN63" i="12" s="1"/>
  <c r="AL44" i="12"/>
  <c r="AN44" i="12" s="1"/>
  <c r="AL161" i="12"/>
  <c r="AN161" i="12" s="1"/>
  <c r="AL200" i="12"/>
  <c r="AN200" i="12" s="1"/>
  <c r="AL34" i="12"/>
  <c r="AN34" i="12" s="1"/>
  <c r="AL173" i="12"/>
  <c r="AN173" i="12" s="1"/>
  <c r="AL181" i="12"/>
  <c r="AN181" i="12" s="1"/>
  <c r="AL24" i="12"/>
  <c r="AN24" i="12" s="1"/>
  <c r="AL17" i="12"/>
  <c r="AN17" i="12" s="1"/>
  <c r="AL22" i="12"/>
  <c r="AN22" i="12" s="1"/>
  <c r="AL152" i="12"/>
  <c r="AN152" i="12" s="1"/>
  <c r="AL52" i="12"/>
  <c r="AN52" i="12" s="1"/>
  <c r="AL159" i="12"/>
  <c r="AN159" i="12" s="1"/>
  <c r="AL178" i="12"/>
  <c r="AN178" i="12" s="1"/>
  <c r="AL210" i="12"/>
  <c r="AN210" i="12" s="1"/>
  <c r="AL205" i="12"/>
  <c r="AN205" i="12" s="1"/>
  <c r="AL54" i="12"/>
  <c r="AN54" i="12" s="1"/>
  <c r="AL211" i="12"/>
  <c r="AN211" i="12" s="1"/>
  <c r="AL193" i="12"/>
  <c r="AN193" i="12" s="1"/>
  <c r="AL77" i="12"/>
  <c r="AN77" i="12" s="1"/>
  <c r="AL69" i="12"/>
  <c r="AN69" i="12" s="1"/>
  <c r="AL171" i="12"/>
  <c r="AN171" i="12" s="1"/>
  <c r="AL147" i="12"/>
  <c r="AN147" i="12" s="1"/>
  <c r="AL120" i="12"/>
  <c r="AN120" i="12" s="1"/>
  <c r="AL119" i="12"/>
  <c r="AN119" i="12" s="1"/>
  <c r="AL73" i="12"/>
  <c r="AN73" i="12" s="1"/>
  <c r="AL177" i="12"/>
  <c r="AN177" i="12" s="1"/>
  <c r="AL28" i="12"/>
  <c r="AN28" i="12" s="1"/>
  <c r="AL32" i="12"/>
  <c r="AN32" i="12" s="1"/>
  <c r="AL85" i="12"/>
  <c r="AN85" i="12" s="1"/>
  <c r="AL19" i="12"/>
  <c r="AN19" i="12" s="1"/>
  <c r="AL26" i="12"/>
  <c r="AN26" i="12" s="1"/>
  <c r="AL199" i="12"/>
  <c r="AN199" i="12" s="1"/>
  <c r="AL191" i="12"/>
  <c r="AN191" i="12" s="1"/>
  <c r="AL13" i="12"/>
  <c r="AN13" i="12" s="1"/>
  <c r="AL97" i="12"/>
  <c r="AN97" i="12" s="1"/>
  <c r="AL176" i="12"/>
  <c r="AN176" i="12" s="1"/>
  <c r="AU130" i="12"/>
  <c r="AT164" i="12"/>
  <c r="AT54" i="12"/>
  <c r="AU54" i="12"/>
  <c r="AU2" i="12"/>
  <c r="AT2" i="12"/>
  <c r="AT84" i="12"/>
  <c r="AU84" i="12"/>
  <c r="AU26" i="12"/>
  <c r="AT26" i="12"/>
  <c r="AU41" i="12"/>
  <c r="AT41" i="12"/>
  <c r="AT72" i="12"/>
  <c r="AU72" i="12"/>
  <c r="AT182" i="12"/>
  <c r="AU182" i="12"/>
  <c r="AT77" i="12"/>
  <c r="AU77" i="12"/>
  <c r="AU68" i="12"/>
  <c r="AT68" i="12"/>
  <c r="AU97" i="12"/>
  <c r="AT97" i="12"/>
  <c r="AT39" i="12"/>
  <c r="AU39" i="12"/>
  <c r="AT117" i="12"/>
  <c r="AU117" i="12"/>
  <c r="AT190" i="12"/>
  <c r="AU190" i="12"/>
  <c r="AT107" i="12"/>
  <c r="AU107" i="12"/>
  <c r="AU179" i="12"/>
  <c r="AT179" i="12"/>
  <c r="AU61" i="12"/>
  <c r="AT18" i="12"/>
  <c r="AU51" i="12"/>
  <c r="AT51" i="12"/>
  <c r="AT47" i="12"/>
  <c r="AU47" i="12"/>
  <c r="AU127" i="12"/>
  <c r="AT127" i="12"/>
  <c r="AT135" i="12"/>
  <c r="AU135" i="12"/>
  <c r="AT50" i="12"/>
  <c r="AU50" i="12"/>
  <c r="AT16" i="12"/>
  <c r="AU16" i="12"/>
  <c r="AU45" i="12"/>
  <c r="AT45" i="12"/>
  <c r="AU206" i="12"/>
  <c r="AT206" i="12"/>
  <c r="AU92" i="12"/>
  <c r="AT92" i="12"/>
  <c r="AU208" i="12"/>
  <c r="AT208" i="12"/>
  <c r="AU209" i="12"/>
  <c r="AT209" i="12"/>
  <c r="AU34" i="12"/>
  <c r="AT34" i="12"/>
  <c r="AU143" i="12"/>
  <c r="AT143" i="12"/>
  <c r="AU169" i="12"/>
  <c r="AT169" i="12"/>
  <c r="AT113" i="12"/>
  <c r="AU113" i="12"/>
  <c r="AU88" i="12"/>
  <c r="AU154" i="12"/>
  <c r="AT154" i="12"/>
  <c r="AU33" i="12"/>
  <c r="AT33" i="12"/>
  <c r="AU62" i="12"/>
  <c r="AT62" i="12"/>
  <c r="AU188" i="12"/>
  <c r="AT188" i="12"/>
  <c r="AU90" i="12"/>
  <c r="AT90" i="12"/>
  <c r="AU199" i="12"/>
  <c r="AT199" i="12"/>
  <c r="AT140" i="12"/>
  <c r="AU140" i="12"/>
  <c r="AU40" i="12"/>
  <c r="AT40" i="12"/>
  <c r="AU79" i="12"/>
  <c r="AT79" i="12"/>
  <c r="AU157" i="12"/>
  <c r="AT157" i="12"/>
  <c r="AT114" i="12"/>
  <c r="AU114" i="12"/>
  <c r="AU106" i="12"/>
  <c r="AT106" i="12"/>
  <c r="AT58" i="12"/>
  <c r="AU58" i="12"/>
  <c r="AU93" i="12"/>
  <c r="AT93" i="12"/>
  <c r="AU200" i="12"/>
  <c r="AT200" i="12"/>
  <c r="AU170" i="12"/>
  <c r="AT170" i="12"/>
  <c r="AT124" i="12"/>
  <c r="AU124" i="12"/>
  <c r="AU67" i="12"/>
  <c r="AT67" i="12"/>
  <c r="AU121" i="12"/>
  <c r="AT121" i="12"/>
  <c r="AT7" i="12"/>
  <c r="AU7" i="12"/>
  <c r="AT78" i="12"/>
  <c r="AU78" i="12"/>
  <c r="AT49" i="12"/>
  <c r="AU49" i="12"/>
  <c r="AU29" i="12"/>
  <c r="AT29" i="12"/>
  <c r="AT149" i="12"/>
  <c r="AU48" i="12"/>
  <c r="AT48" i="12"/>
  <c r="AT108" i="12"/>
  <c r="AU108" i="12"/>
  <c r="AU139" i="12"/>
  <c r="AT139" i="12"/>
  <c r="AU175" i="12"/>
  <c r="AT175" i="12"/>
  <c r="AU171" i="12"/>
  <c r="AT171" i="12"/>
  <c r="AU71" i="12"/>
  <c r="AT71" i="12"/>
  <c r="AU166" i="12"/>
  <c r="AT166" i="12"/>
  <c r="AU128" i="12"/>
  <c r="AT128" i="12"/>
  <c r="AT15" i="12"/>
  <c r="AU15" i="12"/>
  <c r="AU13" i="12"/>
  <c r="AT13" i="12"/>
  <c r="AU105" i="12"/>
  <c r="AT105" i="12"/>
  <c r="AU193" i="12"/>
  <c r="AT193" i="12"/>
  <c r="AT150" i="12"/>
  <c r="AU150" i="12"/>
  <c r="AT159" i="12"/>
  <c r="AU159" i="12"/>
  <c r="AT144" i="12"/>
  <c r="AU144" i="12"/>
  <c r="AU158" i="12"/>
  <c r="AT158" i="12"/>
  <c r="AU95" i="12"/>
  <c r="AT95" i="12"/>
  <c r="AU60" i="12"/>
  <c r="AT60" i="12"/>
  <c r="AT184" i="12"/>
  <c r="AU184" i="12"/>
  <c r="AT55" i="12"/>
  <c r="AU55" i="12"/>
  <c r="AU148" i="12"/>
  <c r="AT148" i="12"/>
  <c r="AU212" i="12"/>
  <c r="AT212" i="12"/>
  <c r="AU176" i="12"/>
  <c r="AT176" i="12"/>
  <c r="AU76" i="12"/>
  <c r="AT76" i="12"/>
  <c r="AU201" i="12"/>
  <c r="AT201" i="12"/>
  <c r="AU10" i="12"/>
  <c r="AT10" i="12"/>
  <c r="AT173" i="12"/>
  <c r="AU173" i="12"/>
  <c r="AU100" i="12"/>
  <c r="AT100" i="12"/>
  <c r="AT152" i="12"/>
  <c r="AU152" i="12"/>
  <c r="AT4" i="12"/>
  <c r="AU4" i="12"/>
  <c r="AT22" i="12"/>
  <c r="AU22" i="12"/>
  <c r="AU142" i="12"/>
  <c r="AT142" i="12"/>
  <c r="AT161" i="12"/>
  <c r="AU161" i="12"/>
  <c r="AU3" i="12"/>
  <c r="AT3" i="12"/>
  <c r="AT101" i="12"/>
  <c r="AU101" i="12"/>
  <c r="AU167" i="12"/>
  <c r="AT167" i="12"/>
  <c r="AU21" i="12"/>
  <c r="AT21" i="12"/>
  <c r="AU36" i="12"/>
  <c r="AT36" i="12"/>
  <c r="AU137" i="12"/>
  <c r="AT137" i="12"/>
  <c r="AU136" i="12"/>
  <c r="AT136" i="12"/>
  <c r="AT134" i="12"/>
  <c r="AU134" i="12"/>
  <c r="AT99" i="12"/>
  <c r="AU99" i="12"/>
  <c r="AU147" i="12"/>
  <c r="AT147" i="12"/>
  <c r="AT63" i="12"/>
  <c r="AU63" i="12"/>
  <c r="AU57" i="12"/>
  <c r="AT57" i="12"/>
  <c r="AU191" i="12"/>
  <c r="AT191" i="12"/>
  <c r="AU197" i="12"/>
  <c r="AT197" i="12"/>
  <c r="AU14" i="12"/>
  <c r="AT14" i="12"/>
  <c r="AU46" i="12"/>
  <c r="AT46" i="12"/>
  <c r="AU189" i="12"/>
  <c r="AT189" i="12"/>
  <c r="AU129" i="12"/>
  <c r="AT129" i="12"/>
  <c r="AT110" i="12"/>
  <c r="AU110" i="12"/>
  <c r="AU133" i="12"/>
  <c r="AT133" i="12"/>
  <c r="AT156" i="12"/>
  <c r="AU156" i="12"/>
  <c r="AU103" i="12"/>
  <c r="AT103" i="12"/>
  <c r="AT194" i="12"/>
  <c r="AU194" i="12"/>
  <c r="AT98" i="12"/>
  <c r="AU98" i="12"/>
  <c r="AU202" i="12"/>
  <c r="AT202" i="12"/>
  <c r="AU74" i="12"/>
  <c r="AT74" i="12"/>
  <c r="AT23" i="12"/>
  <c r="AU23" i="12"/>
  <c r="AT211" i="12"/>
  <c r="AU211" i="12"/>
  <c r="AU177" i="12"/>
  <c r="AT177" i="12"/>
  <c r="AU151" i="12"/>
  <c r="AT151" i="12"/>
  <c r="AU125" i="12"/>
  <c r="AT125" i="12"/>
  <c r="AU198" i="12"/>
  <c r="AT198" i="12"/>
  <c r="AU43" i="12"/>
  <c r="AT43" i="12"/>
  <c r="AT153" i="12"/>
  <c r="AU153" i="12"/>
  <c r="AU131" i="12"/>
  <c r="AT131" i="12"/>
  <c r="AT195" i="12"/>
  <c r="AU195" i="12"/>
  <c r="AU168" i="12"/>
  <c r="AT168" i="12"/>
  <c r="AU53" i="12"/>
  <c r="AT53" i="12"/>
  <c r="AU37" i="12"/>
  <c r="AT37" i="12"/>
  <c r="AU205" i="12"/>
  <c r="AT205" i="12"/>
  <c r="AT123" i="12"/>
  <c r="AU123" i="12"/>
  <c r="AT207" i="12"/>
  <c r="AU207" i="12"/>
  <c r="AU196" i="12"/>
  <c r="AT196" i="12"/>
  <c r="AU185" i="12"/>
  <c r="AT185" i="12"/>
  <c r="AU5" i="12"/>
  <c r="AT5" i="12"/>
  <c r="AU31" i="12"/>
  <c r="AT31" i="12"/>
  <c r="AU178" i="12"/>
  <c r="AT178" i="12"/>
  <c r="AT120" i="12"/>
  <c r="AU120" i="12"/>
  <c r="AU27" i="12"/>
  <c r="AT27" i="12"/>
  <c r="AT66" i="12"/>
  <c r="AU66" i="12"/>
  <c r="AT83" i="12"/>
  <c r="AU83" i="12"/>
  <c r="AU160" i="12"/>
  <c r="AT160" i="12"/>
  <c r="AU30" i="12"/>
  <c r="AT30" i="12"/>
  <c r="AU181" i="12"/>
  <c r="AT181" i="12"/>
  <c r="AT204" i="12"/>
  <c r="AU204" i="12"/>
  <c r="AT174" i="12"/>
  <c r="AU174" i="12"/>
  <c r="AU109" i="12"/>
  <c r="AT109" i="12"/>
  <c r="AT17" i="12"/>
  <c r="AU17" i="12"/>
  <c r="AT96" i="12"/>
  <c r="AU96" i="12"/>
  <c r="AU80" i="12"/>
  <c r="AT80" i="12"/>
  <c r="AU132" i="12"/>
  <c r="AT132" i="12"/>
  <c r="AU28" i="12"/>
  <c r="AT28" i="12"/>
  <c r="AU25" i="12"/>
  <c r="AT25" i="12"/>
  <c r="AT6" i="12"/>
  <c r="AU6" i="12"/>
  <c r="AU145" i="12"/>
  <c r="AT145" i="12"/>
  <c r="AT52" i="12"/>
  <c r="AU52" i="12"/>
  <c r="AT192" i="12"/>
  <c r="AU192" i="12"/>
  <c r="AU82" i="12"/>
  <c r="AT82" i="12"/>
  <c r="AT32" i="12"/>
  <c r="AU32" i="12"/>
  <c r="AU81" i="12"/>
  <c r="AT81" i="12"/>
  <c r="AT146" i="12"/>
  <c r="AU146" i="12"/>
  <c r="AU11" i="12"/>
  <c r="AT11" i="12"/>
  <c r="T83" i="12"/>
  <c r="T12" i="12"/>
  <c r="T163" i="12"/>
  <c r="T168" i="12"/>
  <c r="T157" i="12"/>
  <c r="T186" i="12"/>
  <c r="T212" i="12"/>
  <c r="T39" i="12"/>
  <c r="T209" i="12"/>
  <c r="T155" i="12"/>
  <c r="T164" i="12"/>
  <c r="T18" i="12"/>
  <c r="T187" i="12"/>
  <c r="T106" i="12"/>
  <c r="T5" i="12"/>
  <c r="T86" i="12"/>
  <c r="T50" i="12"/>
  <c r="T202" i="12"/>
  <c r="T49" i="12"/>
  <c r="T105" i="12"/>
  <c r="T107" i="12"/>
  <c r="T104" i="12"/>
  <c r="T113" i="12"/>
  <c r="T101" i="12"/>
  <c r="T28" i="12"/>
  <c r="T61" i="12"/>
  <c r="T160" i="12"/>
  <c r="T119" i="12"/>
  <c r="T121" i="12"/>
  <c r="T37" i="12"/>
  <c r="T116" i="12"/>
  <c r="T125" i="12"/>
  <c r="T161" i="12"/>
  <c r="T9" i="12"/>
  <c r="T99" i="12"/>
  <c r="T143" i="12"/>
  <c r="T7" i="12"/>
  <c r="T33" i="12"/>
  <c r="T62" i="12"/>
  <c r="T81" i="12"/>
  <c r="T166" i="12"/>
  <c r="T122" i="12"/>
  <c r="T13" i="12"/>
  <c r="T199" i="12"/>
  <c r="T80" i="12"/>
  <c r="T103" i="12"/>
  <c r="T158" i="12"/>
  <c r="T91" i="12"/>
  <c r="T156" i="12"/>
  <c r="T20" i="12"/>
  <c r="T59" i="12"/>
  <c r="T201" i="12"/>
  <c r="T179" i="12"/>
  <c r="T144" i="12"/>
  <c r="T70" i="12"/>
  <c r="T43" i="12"/>
  <c r="T19" i="12"/>
  <c r="T174" i="12"/>
  <c r="T98" i="12"/>
  <c r="T97" i="12"/>
  <c r="T165" i="12"/>
  <c r="T77" i="12"/>
  <c r="T22" i="12"/>
  <c r="T87" i="12"/>
  <c r="T136" i="12"/>
  <c r="T90" i="12"/>
  <c r="T74" i="12"/>
  <c r="T29" i="12"/>
  <c r="T118" i="12"/>
  <c r="T31" i="12"/>
  <c r="T211" i="12"/>
  <c r="T127" i="12"/>
  <c r="T177" i="12"/>
  <c r="T14" i="12"/>
  <c r="T176" i="12"/>
  <c r="T34" i="12"/>
  <c r="T21" i="12"/>
  <c r="T123" i="12"/>
  <c r="T142" i="12"/>
  <c r="T162" i="12"/>
  <c r="T48" i="12"/>
  <c r="T185" i="12"/>
  <c r="T183" i="12"/>
  <c r="T112" i="12"/>
  <c r="T129" i="12"/>
  <c r="T196" i="12"/>
  <c r="T92" i="12"/>
  <c r="T109" i="12"/>
  <c r="T72" i="12"/>
  <c r="T4" i="12"/>
  <c r="T2" i="12"/>
  <c r="T191" i="12"/>
  <c r="T84" i="12"/>
  <c r="T134" i="12"/>
  <c r="T110" i="12"/>
  <c r="T198" i="12"/>
  <c r="T200" i="12"/>
  <c r="T85" i="12"/>
  <c r="T38" i="12"/>
  <c r="T114" i="12"/>
  <c r="T24" i="12"/>
  <c r="T53" i="12"/>
  <c r="T44" i="12"/>
  <c r="T167" i="12"/>
  <c r="T203" i="12"/>
  <c r="T8" i="12"/>
  <c r="T137" i="12"/>
  <c r="T45" i="12"/>
  <c r="T147" i="12"/>
  <c r="T145" i="12"/>
  <c r="T208" i="12"/>
  <c r="T173" i="12"/>
  <c r="T153" i="12"/>
  <c r="T130" i="12"/>
  <c r="T94" i="12"/>
  <c r="T93" i="12"/>
  <c r="T210" i="12"/>
  <c r="T193" i="12"/>
  <c r="T15" i="12"/>
  <c r="T175" i="12"/>
  <c r="T27" i="12"/>
  <c r="T152" i="12"/>
  <c r="T188" i="12"/>
  <c r="T159" i="12"/>
  <c r="T132" i="12"/>
  <c r="T169" i="12"/>
  <c r="T189" i="12"/>
  <c r="T124" i="12"/>
  <c r="T146" i="12"/>
  <c r="T75" i="12"/>
  <c r="T76" i="12"/>
  <c r="T182" i="12"/>
  <c r="T82" i="12"/>
  <c r="T42" i="12"/>
  <c r="T60" i="12"/>
  <c r="T56" i="12"/>
  <c r="T148" i="12"/>
  <c r="T17" i="12"/>
  <c r="T64" i="12"/>
  <c r="T151" i="12"/>
  <c r="T184" i="12"/>
  <c r="T115" i="12"/>
  <c r="T78" i="12"/>
  <c r="T207" i="12"/>
  <c r="T197" i="12"/>
  <c r="T51" i="12"/>
  <c r="T79" i="12"/>
  <c r="T47" i="12"/>
  <c r="T192" i="12"/>
  <c r="T73" i="12"/>
  <c r="T32" i="12"/>
  <c r="T46" i="12"/>
  <c r="T190" i="12"/>
  <c r="T89" i="12"/>
  <c r="T25" i="12"/>
  <c r="T138" i="12"/>
  <c r="T67" i="12"/>
  <c r="T150" i="12"/>
  <c r="T149" i="12"/>
  <c r="T111" i="12"/>
  <c r="T96" i="12"/>
  <c r="T69" i="12"/>
  <c r="T35" i="12"/>
  <c r="T88" i="12"/>
  <c r="T108" i="12"/>
  <c r="T52" i="12"/>
  <c r="T180" i="12"/>
  <c r="T3" i="12"/>
  <c r="T139" i="12"/>
  <c r="T65" i="12"/>
  <c r="T55" i="12"/>
  <c r="T171" i="12"/>
  <c r="T71" i="12"/>
  <c r="T140" i="12"/>
  <c r="T204" i="12"/>
  <c r="T66" i="12"/>
  <c r="T100" i="12"/>
  <c r="T206" i="12"/>
  <c r="T58" i="12"/>
  <c r="T23" i="12"/>
  <c r="T10" i="12"/>
  <c r="T16" i="12"/>
  <c r="T68" i="12"/>
  <c r="T57" i="12"/>
  <c r="T41" i="12"/>
  <c r="T181" i="12"/>
  <c r="T30" i="12"/>
  <c r="T154" i="12"/>
  <c r="T178" i="12"/>
  <c r="T95" i="12"/>
  <c r="T6" i="12"/>
  <c r="T120" i="12"/>
  <c r="T170" i="12"/>
  <c r="T36" i="12"/>
  <c r="T133" i="12"/>
  <c r="T63" i="12"/>
  <c r="T102" i="12"/>
  <c r="T128" i="12"/>
  <c r="T172" i="12"/>
  <c r="T135" i="12"/>
  <c r="T131" i="12"/>
  <c r="T194" i="12"/>
  <c r="T54" i="12"/>
  <c r="T117" i="12"/>
  <c r="T40" i="12"/>
  <c r="T141" i="12"/>
  <c r="T11" i="12"/>
  <c r="T195" i="12"/>
  <c r="T205" i="12"/>
  <c r="T26" i="12"/>
  <c r="T126" i="12"/>
  <c r="C10" i="12"/>
  <c r="B10" i="12" s="1"/>
  <c r="F129" i="7"/>
  <c r="C29" i="12" l="1"/>
  <c r="I46" i="12" s="1"/>
  <c r="E10" i="12"/>
  <c r="AP191" i="12"/>
  <c r="S191" i="12" s="1"/>
  <c r="O191" i="12" s="1"/>
  <c r="AO191" i="12"/>
  <c r="R191" i="12" s="1"/>
  <c r="N191" i="12" s="1"/>
  <c r="AP85" i="12"/>
  <c r="S85" i="12" s="1"/>
  <c r="O85" i="12" s="1"/>
  <c r="AO85" i="12"/>
  <c r="R85" i="12" s="1"/>
  <c r="N85" i="12" s="1"/>
  <c r="AP73" i="12"/>
  <c r="S73" i="12" s="1"/>
  <c r="O73" i="12" s="1"/>
  <c r="AO73" i="12"/>
  <c r="R73" i="12" s="1"/>
  <c r="N73" i="12" s="1"/>
  <c r="AP171" i="12"/>
  <c r="S171" i="12" s="1"/>
  <c r="O171" i="12" s="1"/>
  <c r="AO171" i="12"/>
  <c r="R171" i="12" s="1"/>
  <c r="N171" i="12" s="1"/>
  <c r="AP211" i="12"/>
  <c r="S211" i="12" s="1"/>
  <c r="O211" i="12" s="1"/>
  <c r="AO211" i="12"/>
  <c r="R211" i="12" s="1"/>
  <c r="N211" i="12" s="1"/>
  <c r="AO178" i="12"/>
  <c r="R178" i="12" s="1"/>
  <c r="N178" i="12" s="1"/>
  <c r="AP178" i="12"/>
  <c r="S178" i="12" s="1"/>
  <c r="O178" i="12" s="1"/>
  <c r="AP22" i="12"/>
  <c r="S22" i="12" s="1"/>
  <c r="O22" i="12" s="1"/>
  <c r="AO22" i="12"/>
  <c r="R22" i="12" s="1"/>
  <c r="N22" i="12" s="1"/>
  <c r="AO173" i="12"/>
  <c r="R173" i="12" s="1"/>
  <c r="N173" i="12" s="1"/>
  <c r="AP173" i="12"/>
  <c r="S173" i="12" s="1"/>
  <c r="O173" i="12" s="1"/>
  <c r="AO44" i="12"/>
  <c r="R44" i="12" s="1"/>
  <c r="N44" i="12" s="1"/>
  <c r="AP44" i="12"/>
  <c r="S44" i="12" s="1"/>
  <c r="O44" i="12" s="1"/>
  <c r="AO174" i="12"/>
  <c r="R174" i="12" s="1"/>
  <c r="N174" i="12" s="1"/>
  <c r="AP174" i="12"/>
  <c r="S174" i="12" s="1"/>
  <c r="O174" i="12" s="1"/>
  <c r="AO127" i="12"/>
  <c r="R127" i="12" s="1"/>
  <c r="N127" i="12" s="1"/>
  <c r="AP127" i="12"/>
  <c r="S127" i="12" s="1"/>
  <c r="O127" i="12" s="1"/>
  <c r="AP46" i="12"/>
  <c r="S46" i="12" s="1"/>
  <c r="O46" i="12" s="1"/>
  <c r="AO46" i="12"/>
  <c r="R46" i="12" s="1"/>
  <c r="N46" i="12" s="1"/>
  <c r="AP49" i="12"/>
  <c r="S49" i="12" s="1"/>
  <c r="O49" i="12" s="1"/>
  <c r="AO49" i="12"/>
  <c r="R49" i="12" s="1"/>
  <c r="N49" i="12" s="1"/>
  <c r="AP14" i="12"/>
  <c r="S14" i="12" s="1"/>
  <c r="O14" i="12" s="1"/>
  <c r="AO14" i="12"/>
  <c r="R14" i="12" s="1"/>
  <c r="N14" i="12" s="1"/>
  <c r="AO206" i="12"/>
  <c r="R206" i="12" s="1"/>
  <c r="N206" i="12" s="1"/>
  <c r="AP206" i="12"/>
  <c r="S206" i="12" s="1"/>
  <c r="O206" i="12" s="1"/>
  <c r="AO155" i="12"/>
  <c r="R155" i="12" s="1"/>
  <c r="N155" i="12" s="1"/>
  <c r="AP155" i="12"/>
  <c r="S155" i="12" s="1"/>
  <c r="O155" i="12" s="1"/>
  <c r="AO78" i="12"/>
  <c r="R78" i="12" s="1"/>
  <c r="N78" i="12" s="1"/>
  <c r="AP78" i="12"/>
  <c r="S78" i="12" s="1"/>
  <c r="O78" i="12" s="1"/>
  <c r="AP81" i="12"/>
  <c r="S81" i="12" s="1"/>
  <c r="O81" i="12" s="1"/>
  <c r="AO81" i="12"/>
  <c r="R81" i="12" s="1"/>
  <c r="N81" i="12" s="1"/>
  <c r="AP5" i="12"/>
  <c r="S5" i="12" s="1"/>
  <c r="O5" i="12" s="1"/>
  <c r="AO5" i="12"/>
  <c r="R5" i="12" s="1"/>
  <c r="N5" i="12" s="1"/>
  <c r="AP164" i="12"/>
  <c r="S164" i="12" s="1"/>
  <c r="O164" i="12" s="1"/>
  <c r="AO164" i="12"/>
  <c r="R164" i="12" s="1"/>
  <c r="N164" i="12" s="1"/>
  <c r="AO113" i="12"/>
  <c r="R113" i="12" s="1"/>
  <c r="N113" i="12" s="1"/>
  <c r="AP113" i="12"/>
  <c r="S113" i="12" s="1"/>
  <c r="O113" i="12" s="1"/>
  <c r="AO137" i="12"/>
  <c r="R137" i="12" s="1"/>
  <c r="N137" i="12" s="1"/>
  <c r="AP137" i="12"/>
  <c r="S137" i="12" s="1"/>
  <c r="O137" i="12" s="1"/>
  <c r="AP156" i="12"/>
  <c r="S156" i="12" s="1"/>
  <c r="O156" i="12" s="1"/>
  <c r="AO156" i="12"/>
  <c r="R156" i="12" s="1"/>
  <c r="N156" i="12" s="1"/>
  <c r="AP109" i="12"/>
  <c r="S109" i="12" s="1"/>
  <c r="O109" i="12" s="1"/>
  <c r="AO109" i="12"/>
  <c r="R109" i="12" s="1"/>
  <c r="N109" i="12" s="1"/>
  <c r="AO175" i="12"/>
  <c r="R175" i="12" s="1"/>
  <c r="N175" i="12" s="1"/>
  <c r="AP175" i="12"/>
  <c r="S175" i="12" s="1"/>
  <c r="O175" i="12" s="1"/>
  <c r="AO84" i="12"/>
  <c r="R84" i="12" s="1"/>
  <c r="N84" i="12" s="1"/>
  <c r="AP84" i="12"/>
  <c r="S84" i="12" s="1"/>
  <c r="O84" i="12" s="1"/>
  <c r="AP61" i="12"/>
  <c r="S61" i="12" s="1"/>
  <c r="O61" i="12" s="1"/>
  <c r="AO61" i="12"/>
  <c r="R61" i="12" s="1"/>
  <c r="N61" i="12" s="1"/>
  <c r="AP136" i="12"/>
  <c r="S136" i="12" s="1"/>
  <c r="O136" i="12" s="1"/>
  <c r="AO136" i="12"/>
  <c r="R136" i="12" s="1"/>
  <c r="N136" i="12" s="1"/>
  <c r="AP172" i="12"/>
  <c r="S172" i="12" s="1"/>
  <c r="O172" i="12" s="1"/>
  <c r="AO172" i="12"/>
  <c r="R172" i="12" s="1"/>
  <c r="N172" i="12" s="1"/>
  <c r="AP207" i="12"/>
  <c r="S207" i="12" s="1"/>
  <c r="O207" i="12" s="1"/>
  <c r="AO207" i="12"/>
  <c r="R207" i="12" s="1"/>
  <c r="N207" i="12" s="1"/>
  <c r="AO121" i="12"/>
  <c r="R121" i="12" s="1"/>
  <c r="N121" i="12" s="1"/>
  <c r="AP121" i="12"/>
  <c r="S121" i="12" s="1"/>
  <c r="O121" i="12" s="1"/>
  <c r="AP201" i="12"/>
  <c r="S201" i="12" s="1"/>
  <c r="O201" i="12" s="1"/>
  <c r="AO201" i="12"/>
  <c r="R201" i="12" s="1"/>
  <c r="N201" i="12" s="1"/>
  <c r="AO118" i="12"/>
  <c r="R118" i="12" s="1"/>
  <c r="N118" i="12" s="1"/>
  <c r="AP118" i="12"/>
  <c r="S118" i="12" s="1"/>
  <c r="O118" i="12" s="1"/>
  <c r="AO71" i="12"/>
  <c r="R71" i="12" s="1"/>
  <c r="N71" i="12" s="1"/>
  <c r="AP71" i="12"/>
  <c r="S71" i="12" s="1"/>
  <c r="O71" i="12" s="1"/>
  <c r="AO165" i="12"/>
  <c r="R165" i="12" s="1"/>
  <c r="N165" i="12" s="1"/>
  <c r="AP165" i="12"/>
  <c r="S165" i="12" s="1"/>
  <c r="O165" i="12" s="1"/>
  <c r="AO198" i="12"/>
  <c r="R198" i="12" s="1"/>
  <c r="N198" i="12" s="1"/>
  <c r="AP198" i="12"/>
  <c r="S198" i="12" s="1"/>
  <c r="O198" i="12" s="1"/>
  <c r="AP66" i="12"/>
  <c r="S66" i="12" s="1"/>
  <c r="O66" i="12" s="1"/>
  <c r="AO66" i="12"/>
  <c r="R66" i="12" s="1"/>
  <c r="N66" i="12" s="1"/>
  <c r="AO98" i="12"/>
  <c r="R98" i="12" s="1"/>
  <c r="N98" i="12" s="1"/>
  <c r="AP98" i="12"/>
  <c r="S98" i="12" s="1"/>
  <c r="O98" i="12" s="1"/>
  <c r="AO125" i="12"/>
  <c r="R125" i="12" s="1"/>
  <c r="N125" i="12" s="1"/>
  <c r="AP125" i="12"/>
  <c r="S125" i="12" s="1"/>
  <c r="O125" i="12" s="1"/>
  <c r="AP8" i="12"/>
  <c r="S8" i="12" s="1"/>
  <c r="O8" i="12" s="1"/>
  <c r="AO8" i="12"/>
  <c r="R8" i="12" s="1"/>
  <c r="N8" i="12" s="1"/>
  <c r="AP183" i="12"/>
  <c r="S183" i="12" s="1"/>
  <c r="O183" i="12" s="1"/>
  <c r="AO183" i="12"/>
  <c r="R183" i="12" s="1"/>
  <c r="N183" i="12" s="1"/>
  <c r="AP130" i="12"/>
  <c r="S130" i="12" s="1"/>
  <c r="O130" i="12" s="1"/>
  <c r="AO130" i="12"/>
  <c r="R130" i="12" s="1"/>
  <c r="N130" i="12" s="1"/>
  <c r="AP68" i="12"/>
  <c r="S68" i="12" s="1"/>
  <c r="O68" i="12" s="1"/>
  <c r="AO68" i="12"/>
  <c r="R68" i="12" s="1"/>
  <c r="N68" i="12" s="1"/>
  <c r="AO58" i="12"/>
  <c r="R58" i="12" s="1"/>
  <c r="N58" i="12" s="1"/>
  <c r="AP58" i="12"/>
  <c r="S58" i="12" s="1"/>
  <c r="O58" i="12" s="1"/>
  <c r="AO38" i="12"/>
  <c r="R38" i="12" s="1"/>
  <c r="N38" i="12" s="1"/>
  <c r="AP38" i="12"/>
  <c r="S38" i="12" s="1"/>
  <c r="O38" i="12" s="1"/>
  <c r="AP157" i="12"/>
  <c r="S157" i="12" s="1"/>
  <c r="O157" i="12" s="1"/>
  <c r="AO157" i="12"/>
  <c r="R157" i="12" s="1"/>
  <c r="N157" i="12" s="1"/>
  <c r="AP36" i="12"/>
  <c r="S36" i="12" s="1"/>
  <c r="O36" i="12" s="1"/>
  <c r="AO36" i="12"/>
  <c r="R36" i="12" s="1"/>
  <c r="N36" i="12" s="1"/>
  <c r="AO4" i="12"/>
  <c r="R4" i="12" s="1"/>
  <c r="N4" i="12" s="1"/>
  <c r="AP4" i="12"/>
  <c r="S4" i="12" s="1"/>
  <c r="O4" i="12" s="1"/>
  <c r="AP188" i="12"/>
  <c r="S188" i="12" s="1"/>
  <c r="O188" i="12" s="1"/>
  <c r="AO188" i="12"/>
  <c r="R188" i="12" s="1"/>
  <c r="N188" i="12" s="1"/>
  <c r="AO47" i="12"/>
  <c r="R47" i="12" s="1"/>
  <c r="N47" i="12" s="1"/>
  <c r="AP47" i="12"/>
  <c r="S47" i="12" s="1"/>
  <c r="O47" i="12" s="1"/>
  <c r="AP23" i="12"/>
  <c r="S23" i="12" s="1"/>
  <c r="O23" i="12" s="1"/>
  <c r="AO23" i="12"/>
  <c r="R23" i="12" s="1"/>
  <c r="N23" i="12" s="1"/>
  <c r="AP20" i="12"/>
  <c r="S20" i="12" s="1"/>
  <c r="O20" i="12" s="1"/>
  <c r="AO20" i="12"/>
  <c r="R20" i="12" s="1"/>
  <c r="N20" i="12" s="1"/>
  <c r="AO176" i="12"/>
  <c r="R176" i="12" s="1"/>
  <c r="N176" i="12" s="1"/>
  <c r="AP176" i="12"/>
  <c r="S176" i="12" s="1"/>
  <c r="O176" i="12" s="1"/>
  <c r="AP199" i="12"/>
  <c r="S199" i="12" s="1"/>
  <c r="O199" i="12" s="1"/>
  <c r="AO199" i="12"/>
  <c r="R199" i="12" s="1"/>
  <c r="N199" i="12" s="1"/>
  <c r="AO32" i="12"/>
  <c r="R32" i="12" s="1"/>
  <c r="N32" i="12" s="1"/>
  <c r="AP32" i="12"/>
  <c r="S32" i="12" s="1"/>
  <c r="O32" i="12" s="1"/>
  <c r="AP119" i="12"/>
  <c r="S119" i="12" s="1"/>
  <c r="O119" i="12" s="1"/>
  <c r="AO119" i="12"/>
  <c r="R119" i="12" s="1"/>
  <c r="N119" i="12" s="1"/>
  <c r="AO69" i="12"/>
  <c r="R69" i="12" s="1"/>
  <c r="N69" i="12" s="1"/>
  <c r="AP69" i="12"/>
  <c r="S69" i="12" s="1"/>
  <c r="O69" i="12" s="1"/>
  <c r="AP54" i="12"/>
  <c r="S54" i="12" s="1"/>
  <c r="O54" i="12" s="1"/>
  <c r="AO54" i="12"/>
  <c r="R54" i="12" s="1"/>
  <c r="N54" i="12" s="1"/>
  <c r="AO159" i="12"/>
  <c r="R159" i="12" s="1"/>
  <c r="N159" i="12" s="1"/>
  <c r="AP159" i="12"/>
  <c r="S159" i="12" s="1"/>
  <c r="O159" i="12" s="1"/>
  <c r="AO17" i="12"/>
  <c r="R17" i="12" s="1"/>
  <c r="N17" i="12" s="1"/>
  <c r="AP17" i="12"/>
  <c r="S17" i="12" s="1"/>
  <c r="O17" i="12" s="1"/>
  <c r="AO34" i="12"/>
  <c r="R34" i="12" s="1"/>
  <c r="N34" i="12" s="1"/>
  <c r="AP34" i="12"/>
  <c r="S34" i="12" s="1"/>
  <c r="O34" i="12" s="1"/>
  <c r="AO63" i="12"/>
  <c r="R63" i="12" s="1"/>
  <c r="N63" i="12" s="1"/>
  <c r="AP63" i="12"/>
  <c r="S63" i="12" s="1"/>
  <c r="O63" i="12" s="1"/>
  <c r="AP39" i="12"/>
  <c r="S39" i="12" s="1"/>
  <c r="O39" i="12" s="1"/>
  <c r="AO39" i="12"/>
  <c r="R39" i="12" s="1"/>
  <c r="N39" i="12" s="1"/>
  <c r="AP106" i="12"/>
  <c r="S106" i="12" s="1"/>
  <c r="O106" i="12" s="1"/>
  <c r="AO106" i="12"/>
  <c r="R106" i="12" s="1"/>
  <c r="N106" i="12" s="1"/>
  <c r="AO162" i="12"/>
  <c r="R162" i="12" s="1"/>
  <c r="N162" i="12" s="1"/>
  <c r="AP162" i="12"/>
  <c r="S162" i="12" s="1"/>
  <c r="O162" i="12" s="1"/>
  <c r="AP93" i="12"/>
  <c r="S93" i="12" s="1"/>
  <c r="O93" i="12" s="1"/>
  <c r="AO93" i="12"/>
  <c r="R93" i="12" s="1"/>
  <c r="N93" i="12" s="1"/>
  <c r="AO62" i="12"/>
  <c r="R62" i="12" s="1"/>
  <c r="N62" i="12" s="1"/>
  <c r="AP62" i="12"/>
  <c r="S62" i="12" s="1"/>
  <c r="O62" i="12" s="1"/>
  <c r="AP170" i="12"/>
  <c r="S170" i="12" s="1"/>
  <c r="O170" i="12" s="1"/>
  <c r="AO170" i="12"/>
  <c r="R170" i="12" s="1"/>
  <c r="N170" i="12" s="1"/>
  <c r="AO86" i="12"/>
  <c r="R86" i="12" s="1"/>
  <c r="N86" i="12" s="1"/>
  <c r="AP86" i="12"/>
  <c r="S86" i="12" s="1"/>
  <c r="O86" i="12" s="1"/>
  <c r="AO153" i="12"/>
  <c r="R153" i="12" s="1"/>
  <c r="N153" i="12" s="1"/>
  <c r="AP153" i="12"/>
  <c r="S153" i="12" s="1"/>
  <c r="O153" i="12" s="1"/>
  <c r="AO167" i="12"/>
  <c r="R167" i="12" s="1"/>
  <c r="N167" i="12" s="1"/>
  <c r="AP167" i="12"/>
  <c r="S167" i="12" s="1"/>
  <c r="O167" i="12" s="1"/>
  <c r="AP140" i="12"/>
  <c r="S140" i="12" s="1"/>
  <c r="O140" i="12" s="1"/>
  <c r="AO140" i="12"/>
  <c r="R140" i="12" s="1"/>
  <c r="N140" i="12" s="1"/>
  <c r="AP192" i="12"/>
  <c r="S192" i="12" s="1"/>
  <c r="O192" i="12" s="1"/>
  <c r="AO192" i="12"/>
  <c r="R192" i="12" s="1"/>
  <c r="N192" i="12" s="1"/>
  <c r="AP88" i="12"/>
  <c r="S88" i="12" s="1"/>
  <c r="O88" i="12" s="1"/>
  <c r="AO88" i="12"/>
  <c r="R88" i="12" s="1"/>
  <c r="N88" i="12" s="1"/>
  <c r="AP196" i="12"/>
  <c r="S196" i="12" s="1"/>
  <c r="O196" i="12" s="1"/>
  <c r="AO196" i="12"/>
  <c r="R196" i="12" s="1"/>
  <c r="N196" i="12" s="1"/>
  <c r="AP53" i="12"/>
  <c r="S53" i="12" s="1"/>
  <c r="O53" i="12" s="1"/>
  <c r="AO53" i="12"/>
  <c r="R53" i="12" s="1"/>
  <c r="N53" i="12" s="1"/>
  <c r="AO50" i="12"/>
  <c r="R50" i="12" s="1"/>
  <c r="N50" i="12" s="1"/>
  <c r="AP50" i="12"/>
  <c r="S50" i="12" s="1"/>
  <c r="O50" i="12" s="1"/>
  <c r="AO45" i="12"/>
  <c r="R45" i="12" s="1"/>
  <c r="N45" i="12" s="1"/>
  <c r="AP45" i="12"/>
  <c r="S45" i="12" s="1"/>
  <c r="O45" i="12" s="1"/>
  <c r="AO129" i="12"/>
  <c r="R129" i="12" s="1"/>
  <c r="N129" i="12" s="1"/>
  <c r="AP129" i="12"/>
  <c r="S129" i="12" s="1"/>
  <c r="O129" i="12" s="1"/>
  <c r="AO150" i="12"/>
  <c r="R150" i="12" s="1"/>
  <c r="N150" i="12" s="1"/>
  <c r="AP150" i="12"/>
  <c r="S150" i="12" s="1"/>
  <c r="O150" i="12" s="1"/>
  <c r="AP72" i="12"/>
  <c r="S72" i="12" s="1"/>
  <c r="O72" i="12" s="1"/>
  <c r="AO72" i="12"/>
  <c r="R72" i="12" s="1"/>
  <c r="N72" i="12" s="1"/>
  <c r="AP3" i="12"/>
  <c r="S3" i="12" s="1"/>
  <c r="O3" i="12" s="1"/>
  <c r="AO3" i="12"/>
  <c r="R3" i="12" s="1"/>
  <c r="N3" i="12" s="1"/>
  <c r="AO122" i="12"/>
  <c r="R122" i="12" s="1"/>
  <c r="N122" i="12" s="1"/>
  <c r="AP122" i="12"/>
  <c r="S122" i="12" s="1"/>
  <c r="O122" i="12" s="1"/>
  <c r="AP79" i="12"/>
  <c r="S79" i="12" s="1"/>
  <c r="O79" i="12" s="1"/>
  <c r="AO79" i="12"/>
  <c r="R79" i="12" s="1"/>
  <c r="N79" i="12" s="1"/>
  <c r="AP40" i="12"/>
  <c r="S40" i="12" s="1"/>
  <c r="O40" i="12" s="1"/>
  <c r="AO40" i="12"/>
  <c r="R40" i="12" s="1"/>
  <c r="N40" i="12" s="1"/>
  <c r="AO29" i="12"/>
  <c r="R29" i="12" s="1"/>
  <c r="N29" i="12" s="1"/>
  <c r="AP29" i="12"/>
  <c r="S29" i="12" s="1"/>
  <c r="O29" i="12" s="1"/>
  <c r="AO101" i="12"/>
  <c r="R101" i="12" s="1"/>
  <c r="N101" i="12" s="1"/>
  <c r="AP101" i="12"/>
  <c r="S101" i="12" s="1"/>
  <c r="O101" i="12" s="1"/>
  <c r="AP16" i="12"/>
  <c r="S16" i="12" s="1"/>
  <c r="O16" i="12" s="1"/>
  <c r="AO16" i="12"/>
  <c r="R16" i="12" s="1"/>
  <c r="N16" i="12" s="1"/>
  <c r="AO135" i="12"/>
  <c r="R135" i="12" s="1"/>
  <c r="N135" i="12" s="1"/>
  <c r="AP135" i="12"/>
  <c r="S135" i="12" s="1"/>
  <c r="O135" i="12" s="1"/>
  <c r="AO31" i="12"/>
  <c r="R31" i="12" s="1"/>
  <c r="N31" i="12" s="1"/>
  <c r="AP31" i="12"/>
  <c r="S31" i="12" s="1"/>
  <c r="O31" i="12" s="1"/>
  <c r="AO80" i="12"/>
  <c r="R80" i="12" s="1"/>
  <c r="N80" i="12" s="1"/>
  <c r="AP80" i="12"/>
  <c r="S80" i="12" s="1"/>
  <c r="O80" i="12" s="1"/>
  <c r="AP105" i="12"/>
  <c r="S105" i="12" s="1"/>
  <c r="O105" i="12" s="1"/>
  <c r="AO105" i="12"/>
  <c r="R105" i="12" s="1"/>
  <c r="N105" i="12" s="1"/>
  <c r="AO115" i="12"/>
  <c r="R115" i="12" s="1"/>
  <c r="N115" i="12" s="1"/>
  <c r="AP115" i="12"/>
  <c r="S115" i="12" s="1"/>
  <c r="O115" i="12" s="1"/>
  <c r="AO134" i="12"/>
  <c r="R134" i="12" s="1"/>
  <c r="N134" i="12" s="1"/>
  <c r="AP134" i="12"/>
  <c r="S134" i="12" s="1"/>
  <c r="O134" i="12" s="1"/>
  <c r="AP138" i="12"/>
  <c r="S138" i="12" s="1"/>
  <c r="O138" i="12" s="1"/>
  <c r="AO138" i="12"/>
  <c r="R138" i="12" s="1"/>
  <c r="N138" i="12" s="1"/>
  <c r="AO76" i="12"/>
  <c r="R76" i="12" s="1"/>
  <c r="N76" i="12" s="1"/>
  <c r="AP76" i="12"/>
  <c r="S76" i="12" s="1"/>
  <c r="O76" i="12" s="1"/>
  <c r="AP103" i="12"/>
  <c r="S103" i="12" s="1"/>
  <c r="O103" i="12" s="1"/>
  <c r="AO103" i="12"/>
  <c r="R103" i="12" s="1"/>
  <c r="N103" i="12" s="1"/>
  <c r="AP42" i="12"/>
  <c r="S42" i="12" s="1"/>
  <c r="O42" i="12" s="1"/>
  <c r="AO42" i="12"/>
  <c r="R42" i="12" s="1"/>
  <c r="N42" i="12" s="1"/>
  <c r="AO59" i="12"/>
  <c r="R59" i="12" s="1"/>
  <c r="N59" i="12" s="1"/>
  <c r="AP59" i="12"/>
  <c r="S59" i="12" s="1"/>
  <c r="O59" i="12" s="1"/>
  <c r="AP27" i="12"/>
  <c r="S27" i="12" s="1"/>
  <c r="O27" i="12" s="1"/>
  <c r="AO27" i="12"/>
  <c r="R27" i="12" s="1"/>
  <c r="N27" i="12" s="1"/>
  <c r="AO197" i="12"/>
  <c r="R197" i="12" s="1"/>
  <c r="N197" i="12" s="1"/>
  <c r="AP197" i="12"/>
  <c r="S197" i="12" s="1"/>
  <c r="O197" i="12" s="1"/>
  <c r="AO133" i="12"/>
  <c r="R133" i="12" s="1"/>
  <c r="N133" i="12" s="1"/>
  <c r="AP133" i="12"/>
  <c r="S133" i="12" s="1"/>
  <c r="O133" i="12" s="1"/>
  <c r="AO126" i="12"/>
  <c r="R126" i="12" s="1"/>
  <c r="N126" i="12" s="1"/>
  <c r="AP126" i="12"/>
  <c r="S126" i="12" s="1"/>
  <c r="O126" i="12" s="1"/>
  <c r="AO168" i="12"/>
  <c r="R168" i="12" s="1"/>
  <c r="N168" i="12" s="1"/>
  <c r="AP168" i="12"/>
  <c r="S168" i="12" s="1"/>
  <c r="O168" i="12" s="1"/>
  <c r="AO48" i="12"/>
  <c r="R48" i="12" s="1"/>
  <c r="N48" i="12" s="1"/>
  <c r="AP48" i="12"/>
  <c r="S48" i="12" s="1"/>
  <c r="O48" i="12" s="1"/>
  <c r="AO97" i="12"/>
  <c r="R97" i="12" s="1"/>
  <c r="N97" i="12" s="1"/>
  <c r="AP97" i="12"/>
  <c r="S97" i="12" s="1"/>
  <c r="O97" i="12" s="1"/>
  <c r="AO26" i="12"/>
  <c r="R26" i="12" s="1"/>
  <c r="N26" i="12" s="1"/>
  <c r="AP26" i="12"/>
  <c r="S26" i="12" s="1"/>
  <c r="O26" i="12" s="1"/>
  <c r="AP28" i="12"/>
  <c r="S28" i="12" s="1"/>
  <c r="O28" i="12" s="1"/>
  <c r="AO28" i="12"/>
  <c r="R28" i="12" s="1"/>
  <c r="N28" i="12" s="1"/>
  <c r="AO120" i="12"/>
  <c r="R120" i="12" s="1"/>
  <c r="N120" i="12" s="1"/>
  <c r="AP120" i="12"/>
  <c r="S120" i="12" s="1"/>
  <c r="O120" i="12" s="1"/>
  <c r="AP77" i="12"/>
  <c r="S77" i="12" s="1"/>
  <c r="O77" i="12" s="1"/>
  <c r="AO77" i="12"/>
  <c r="R77" i="12" s="1"/>
  <c r="N77" i="12" s="1"/>
  <c r="AP205" i="12"/>
  <c r="S205" i="12" s="1"/>
  <c r="O205" i="12" s="1"/>
  <c r="AO205" i="12"/>
  <c r="R205" i="12" s="1"/>
  <c r="N205" i="12" s="1"/>
  <c r="AP52" i="12"/>
  <c r="S52" i="12" s="1"/>
  <c r="O52" i="12" s="1"/>
  <c r="AO52" i="12"/>
  <c r="R52" i="12" s="1"/>
  <c r="N52" i="12" s="1"/>
  <c r="AO24" i="12"/>
  <c r="R24" i="12" s="1"/>
  <c r="N24" i="12" s="1"/>
  <c r="AP24" i="12"/>
  <c r="S24" i="12" s="1"/>
  <c r="O24" i="12" s="1"/>
  <c r="AO200" i="12"/>
  <c r="R200" i="12" s="1"/>
  <c r="N200" i="12" s="1"/>
  <c r="AP200" i="12"/>
  <c r="S200" i="12" s="1"/>
  <c r="O200" i="12" s="1"/>
  <c r="AO21" i="12"/>
  <c r="R21" i="12" s="1"/>
  <c r="N21" i="12" s="1"/>
  <c r="AP21" i="12"/>
  <c r="S21" i="12" s="1"/>
  <c r="O21" i="12" s="1"/>
  <c r="AP104" i="12"/>
  <c r="S104" i="12" s="1"/>
  <c r="O104" i="12" s="1"/>
  <c r="AO104" i="12"/>
  <c r="R104" i="12" s="1"/>
  <c r="N104" i="12" s="1"/>
  <c r="AP96" i="12"/>
  <c r="S96" i="12" s="1"/>
  <c r="O96" i="12" s="1"/>
  <c r="AO96" i="12"/>
  <c r="R96" i="12" s="1"/>
  <c r="N96" i="12" s="1"/>
  <c r="AO15" i="12"/>
  <c r="R15" i="12" s="1"/>
  <c r="N15" i="12" s="1"/>
  <c r="AP15" i="12"/>
  <c r="S15" i="12" s="1"/>
  <c r="O15" i="12" s="1"/>
  <c r="AP107" i="12"/>
  <c r="S107" i="12" s="1"/>
  <c r="O107" i="12" s="1"/>
  <c r="AO107" i="12"/>
  <c r="R107" i="12" s="1"/>
  <c r="N107" i="12" s="1"/>
  <c r="AP194" i="12"/>
  <c r="S194" i="12" s="1"/>
  <c r="O194" i="12" s="1"/>
  <c r="AO194" i="12"/>
  <c r="R194" i="12" s="1"/>
  <c r="N194" i="12" s="1"/>
  <c r="AO37" i="12"/>
  <c r="R37" i="12" s="1"/>
  <c r="N37" i="12" s="1"/>
  <c r="AP37" i="12"/>
  <c r="S37" i="12" s="1"/>
  <c r="O37" i="12" s="1"/>
  <c r="AP82" i="12"/>
  <c r="S82" i="12" s="1"/>
  <c r="O82" i="12" s="1"/>
  <c r="AO82" i="12"/>
  <c r="R82" i="12" s="1"/>
  <c r="N82" i="12" s="1"/>
  <c r="AO51" i="12"/>
  <c r="R51" i="12" s="1"/>
  <c r="N51" i="12" s="1"/>
  <c r="AP51" i="12"/>
  <c r="S51" i="12" s="1"/>
  <c r="O51" i="12" s="1"/>
  <c r="AO111" i="12"/>
  <c r="R111" i="12" s="1"/>
  <c r="N111" i="12" s="1"/>
  <c r="AP111" i="12"/>
  <c r="S111" i="12" s="1"/>
  <c r="O111" i="12" s="1"/>
  <c r="AP114" i="12"/>
  <c r="S114" i="12" s="1"/>
  <c r="O114" i="12" s="1"/>
  <c r="AO114" i="12"/>
  <c r="R114" i="12" s="1"/>
  <c r="N114" i="12" s="1"/>
  <c r="AP95" i="12"/>
  <c r="S95" i="12" s="1"/>
  <c r="O95" i="12" s="1"/>
  <c r="AO95" i="12"/>
  <c r="R95" i="12" s="1"/>
  <c r="N95" i="12" s="1"/>
  <c r="AP87" i="12"/>
  <c r="S87" i="12" s="1"/>
  <c r="O87" i="12" s="1"/>
  <c r="AO87" i="12"/>
  <c r="R87" i="12" s="1"/>
  <c r="N87" i="12" s="1"/>
  <c r="AP102" i="12"/>
  <c r="S102" i="12" s="1"/>
  <c r="O102" i="12" s="1"/>
  <c r="AO102" i="12"/>
  <c r="R102" i="12" s="1"/>
  <c r="N102" i="12" s="1"/>
  <c r="AP190" i="12"/>
  <c r="S190" i="12" s="1"/>
  <c r="O190" i="12" s="1"/>
  <c r="AO190" i="12"/>
  <c r="R190" i="12" s="1"/>
  <c r="N190" i="12" s="1"/>
  <c r="AP203" i="12"/>
  <c r="S203" i="12" s="1"/>
  <c r="O203" i="12" s="1"/>
  <c r="AO203" i="12"/>
  <c r="R203" i="12" s="1"/>
  <c r="N203" i="12" s="1"/>
  <c r="AP204" i="12"/>
  <c r="S204" i="12" s="1"/>
  <c r="O204" i="12" s="1"/>
  <c r="AO204" i="12"/>
  <c r="R204" i="12" s="1"/>
  <c r="N204" i="12" s="1"/>
  <c r="AP145" i="12"/>
  <c r="S145" i="12" s="1"/>
  <c r="O145" i="12" s="1"/>
  <c r="AO145" i="12"/>
  <c r="R145" i="12" s="1"/>
  <c r="N145" i="12" s="1"/>
  <c r="AP35" i="12"/>
  <c r="S35" i="12" s="1"/>
  <c r="O35" i="12" s="1"/>
  <c r="AO35" i="12"/>
  <c r="R35" i="12" s="1"/>
  <c r="N35" i="12" s="1"/>
  <c r="AO91" i="12"/>
  <c r="R91" i="12" s="1"/>
  <c r="N91" i="12" s="1"/>
  <c r="AP91" i="12"/>
  <c r="S91" i="12" s="1"/>
  <c r="O91" i="12" s="1"/>
  <c r="AP117" i="12"/>
  <c r="S117" i="12" s="1"/>
  <c r="O117" i="12" s="1"/>
  <c r="AO117" i="12"/>
  <c r="R117" i="12" s="1"/>
  <c r="N117" i="12" s="1"/>
  <c r="AP185" i="12"/>
  <c r="S185" i="12" s="1"/>
  <c r="O185" i="12" s="1"/>
  <c r="AO185" i="12"/>
  <c r="R185" i="12" s="1"/>
  <c r="N185" i="12" s="1"/>
  <c r="AP70" i="12"/>
  <c r="S70" i="12" s="1"/>
  <c r="O70" i="12" s="1"/>
  <c r="AO70" i="12"/>
  <c r="R70" i="12" s="1"/>
  <c r="N70" i="12" s="1"/>
  <c r="AO202" i="12"/>
  <c r="R202" i="12" s="1"/>
  <c r="N202" i="12" s="1"/>
  <c r="AP202" i="12"/>
  <c r="S202" i="12" s="1"/>
  <c r="O202" i="12" s="1"/>
  <c r="AP208" i="12"/>
  <c r="S208" i="12" s="1"/>
  <c r="O208" i="12" s="1"/>
  <c r="AO208" i="12"/>
  <c r="R208" i="12" s="1"/>
  <c r="N208" i="12" s="1"/>
  <c r="AO141" i="12"/>
  <c r="R141" i="12" s="1"/>
  <c r="N141" i="12" s="1"/>
  <c r="AP141" i="12"/>
  <c r="S141" i="12" s="1"/>
  <c r="O141" i="12" s="1"/>
  <c r="AO163" i="12"/>
  <c r="R163" i="12" s="1"/>
  <c r="N163" i="12" s="1"/>
  <c r="AP163" i="12"/>
  <c r="S163" i="12" s="1"/>
  <c r="O163" i="12" s="1"/>
  <c r="AP180" i="12"/>
  <c r="S180" i="12" s="1"/>
  <c r="O180" i="12" s="1"/>
  <c r="AO180" i="12"/>
  <c r="R180" i="12" s="1"/>
  <c r="N180" i="12" s="1"/>
  <c r="AP149" i="12"/>
  <c r="S149" i="12" s="1"/>
  <c r="O149" i="12" s="1"/>
  <c r="AO149" i="12"/>
  <c r="R149" i="12" s="1"/>
  <c r="N149" i="12" s="1"/>
  <c r="AO7" i="12"/>
  <c r="R7" i="12" s="1"/>
  <c r="N7" i="12" s="1"/>
  <c r="AP7" i="12"/>
  <c r="S7" i="12" s="1"/>
  <c r="O7" i="12" s="1"/>
  <c r="AP142" i="12"/>
  <c r="S142" i="12" s="1"/>
  <c r="O142" i="12" s="1"/>
  <c r="AO142" i="12"/>
  <c r="R142" i="12" s="1"/>
  <c r="N142" i="12" s="1"/>
  <c r="AO160" i="12"/>
  <c r="R160" i="12" s="1"/>
  <c r="N160" i="12" s="1"/>
  <c r="AP160" i="12"/>
  <c r="S160" i="12" s="1"/>
  <c r="O160" i="12" s="1"/>
  <c r="AP99" i="12"/>
  <c r="S99" i="12" s="1"/>
  <c r="O99" i="12" s="1"/>
  <c r="AO99" i="12"/>
  <c r="R99" i="12" s="1"/>
  <c r="N99" i="12" s="1"/>
  <c r="AP195" i="12"/>
  <c r="S195" i="12" s="1"/>
  <c r="O195" i="12" s="1"/>
  <c r="AO195" i="12"/>
  <c r="R195" i="12" s="1"/>
  <c r="N195" i="12" s="1"/>
  <c r="AP146" i="12"/>
  <c r="S146" i="12" s="1"/>
  <c r="O146" i="12" s="1"/>
  <c r="AO146" i="12"/>
  <c r="R146" i="12" s="1"/>
  <c r="N146" i="12" s="1"/>
  <c r="AP90" i="12"/>
  <c r="S90" i="12" s="1"/>
  <c r="O90" i="12" s="1"/>
  <c r="AO90" i="12"/>
  <c r="R90" i="12" s="1"/>
  <c r="N90" i="12" s="1"/>
  <c r="AO151" i="12"/>
  <c r="R151" i="12" s="1"/>
  <c r="N151" i="12" s="1"/>
  <c r="AP151" i="12"/>
  <c r="S151" i="12" s="1"/>
  <c r="O151" i="12" s="1"/>
  <c r="AO60" i="12"/>
  <c r="R60" i="12" s="1"/>
  <c r="N60" i="12" s="1"/>
  <c r="AP60" i="12"/>
  <c r="S60" i="12" s="1"/>
  <c r="O60" i="12" s="1"/>
  <c r="AO132" i="12"/>
  <c r="R132" i="12" s="1"/>
  <c r="N132" i="12" s="1"/>
  <c r="AP132" i="12"/>
  <c r="S132" i="12" s="1"/>
  <c r="O132" i="12" s="1"/>
  <c r="AP55" i="12"/>
  <c r="S55" i="12" s="1"/>
  <c r="O55" i="12" s="1"/>
  <c r="AO55" i="12"/>
  <c r="R55" i="12" s="1"/>
  <c r="N55" i="12" s="1"/>
  <c r="AO184" i="12"/>
  <c r="R184" i="12" s="1"/>
  <c r="N184" i="12" s="1"/>
  <c r="AP184" i="12"/>
  <c r="S184" i="12" s="1"/>
  <c r="O184" i="12" s="1"/>
  <c r="AO92" i="12"/>
  <c r="R92" i="12" s="1"/>
  <c r="N92" i="12" s="1"/>
  <c r="AP92" i="12"/>
  <c r="S92" i="12" s="1"/>
  <c r="O92" i="12" s="1"/>
  <c r="AP100" i="12"/>
  <c r="S100" i="12" s="1"/>
  <c r="O100" i="12" s="1"/>
  <c r="AO100" i="12"/>
  <c r="R100" i="12" s="1"/>
  <c r="N100" i="12" s="1"/>
  <c r="AO169" i="12"/>
  <c r="R169" i="12" s="1"/>
  <c r="N169" i="12" s="1"/>
  <c r="AP169" i="12"/>
  <c r="S169" i="12" s="1"/>
  <c r="O169" i="12" s="1"/>
  <c r="AO13" i="12"/>
  <c r="R13" i="12" s="1"/>
  <c r="N13" i="12" s="1"/>
  <c r="AP13" i="12"/>
  <c r="S13" i="12" s="1"/>
  <c r="O13" i="12" s="1"/>
  <c r="AP19" i="12"/>
  <c r="S19" i="12" s="1"/>
  <c r="O19" i="12" s="1"/>
  <c r="AO19" i="12"/>
  <c r="R19" i="12" s="1"/>
  <c r="N19" i="12" s="1"/>
  <c r="AO177" i="12"/>
  <c r="R177" i="12" s="1"/>
  <c r="N177" i="12" s="1"/>
  <c r="AP177" i="12"/>
  <c r="S177" i="12" s="1"/>
  <c r="O177" i="12" s="1"/>
  <c r="AO147" i="12"/>
  <c r="R147" i="12" s="1"/>
  <c r="N147" i="12" s="1"/>
  <c r="AP147" i="12"/>
  <c r="S147" i="12" s="1"/>
  <c r="O147" i="12" s="1"/>
  <c r="AP193" i="12"/>
  <c r="S193" i="12" s="1"/>
  <c r="O193" i="12" s="1"/>
  <c r="AO193" i="12"/>
  <c r="R193" i="12" s="1"/>
  <c r="N193" i="12" s="1"/>
  <c r="AO210" i="12"/>
  <c r="R210" i="12" s="1"/>
  <c r="N210" i="12" s="1"/>
  <c r="AP210" i="12"/>
  <c r="S210" i="12" s="1"/>
  <c r="O210" i="12" s="1"/>
  <c r="AP152" i="12"/>
  <c r="S152" i="12" s="1"/>
  <c r="O152" i="12" s="1"/>
  <c r="AO152" i="12"/>
  <c r="R152" i="12" s="1"/>
  <c r="N152" i="12" s="1"/>
  <c r="AP181" i="12"/>
  <c r="S181" i="12" s="1"/>
  <c r="O181" i="12" s="1"/>
  <c r="AO181" i="12"/>
  <c r="R181" i="12" s="1"/>
  <c r="N181" i="12" s="1"/>
  <c r="AO161" i="12"/>
  <c r="R161" i="12" s="1"/>
  <c r="N161" i="12" s="1"/>
  <c r="AP161" i="12"/>
  <c r="S161" i="12" s="1"/>
  <c r="O161" i="12" s="1"/>
  <c r="AP123" i="12"/>
  <c r="S123" i="12" s="1"/>
  <c r="O123" i="12" s="1"/>
  <c r="AO123" i="12"/>
  <c r="R123" i="12" s="1"/>
  <c r="N123" i="12" s="1"/>
  <c r="AP189" i="12"/>
  <c r="S189" i="12" s="1"/>
  <c r="O189" i="12" s="1"/>
  <c r="AO189" i="12"/>
  <c r="R189" i="12" s="1"/>
  <c r="N189" i="12" s="1"/>
  <c r="AP212" i="12"/>
  <c r="S212" i="12" s="1"/>
  <c r="O212" i="12" s="1"/>
  <c r="AO212" i="12"/>
  <c r="R212" i="12" s="1"/>
  <c r="N212" i="12" s="1"/>
  <c r="AP128" i="12"/>
  <c r="S128" i="12" s="1"/>
  <c r="O128" i="12" s="1"/>
  <c r="AO128" i="12"/>
  <c r="R128" i="12" s="1"/>
  <c r="N128" i="12" s="1"/>
  <c r="AO74" i="12"/>
  <c r="R74" i="12" s="1"/>
  <c r="N74" i="12" s="1"/>
  <c r="AP74" i="12"/>
  <c r="S74" i="12" s="1"/>
  <c r="O74" i="12" s="1"/>
  <c r="AP139" i="12"/>
  <c r="S139" i="12" s="1"/>
  <c r="O139" i="12" s="1"/>
  <c r="AO139" i="12"/>
  <c r="R139" i="12" s="1"/>
  <c r="N139" i="12" s="1"/>
  <c r="AP112" i="12"/>
  <c r="S112" i="12" s="1"/>
  <c r="O112" i="12" s="1"/>
  <c r="AO112" i="12"/>
  <c r="R112" i="12" s="1"/>
  <c r="N112" i="12" s="1"/>
  <c r="AO65" i="12"/>
  <c r="R65" i="12" s="1"/>
  <c r="N65" i="12" s="1"/>
  <c r="AP65" i="12"/>
  <c r="S65" i="12" s="1"/>
  <c r="O65" i="12" s="1"/>
  <c r="AP75" i="12"/>
  <c r="S75" i="12" s="1"/>
  <c r="O75" i="12" s="1"/>
  <c r="AO75" i="12"/>
  <c r="R75" i="12" s="1"/>
  <c r="N75" i="12" s="1"/>
  <c r="AP158" i="12"/>
  <c r="S158" i="12" s="1"/>
  <c r="O158" i="12" s="1"/>
  <c r="AO158" i="12"/>
  <c r="R158" i="12" s="1"/>
  <c r="N158" i="12" s="1"/>
  <c r="AO56" i="12"/>
  <c r="R56" i="12" s="1"/>
  <c r="N56" i="12" s="1"/>
  <c r="AP56" i="12"/>
  <c r="S56" i="12" s="1"/>
  <c r="O56" i="12" s="1"/>
  <c r="AO64" i="12"/>
  <c r="R64" i="12" s="1"/>
  <c r="N64" i="12" s="1"/>
  <c r="AP64" i="12"/>
  <c r="S64" i="12" s="1"/>
  <c r="O64" i="12" s="1"/>
  <c r="AP179" i="12"/>
  <c r="S179" i="12" s="1"/>
  <c r="O179" i="12" s="1"/>
  <c r="AO179" i="12"/>
  <c r="R179" i="12" s="1"/>
  <c r="N179" i="12" s="1"/>
  <c r="AP110" i="12"/>
  <c r="S110" i="12" s="1"/>
  <c r="O110" i="12" s="1"/>
  <c r="AO110" i="12"/>
  <c r="R110" i="12" s="1"/>
  <c r="N110" i="12" s="1"/>
  <c r="AP209" i="12"/>
  <c r="S209" i="12" s="1"/>
  <c r="O209" i="12" s="1"/>
  <c r="AO209" i="12"/>
  <c r="R209" i="12" s="1"/>
  <c r="N209" i="12" s="1"/>
  <c r="AP12" i="12"/>
  <c r="S12" i="12" s="1"/>
  <c r="O12" i="12" s="1"/>
  <c r="AO12" i="12"/>
  <c r="R12" i="12" s="1"/>
  <c r="N12" i="12" s="1"/>
  <c r="AP9" i="12"/>
  <c r="S9" i="12" s="1"/>
  <c r="O9" i="12" s="1"/>
  <c r="AO9" i="12"/>
  <c r="R9" i="12" s="1"/>
  <c r="N9" i="12" s="1"/>
  <c r="AP166" i="12"/>
  <c r="S166" i="12" s="1"/>
  <c r="O166" i="12" s="1"/>
  <c r="AO166" i="12"/>
  <c r="R166" i="12" s="1"/>
  <c r="N166" i="12" s="1"/>
  <c r="AP182" i="12"/>
  <c r="S182" i="12" s="1"/>
  <c r="O182" i="12" s="1"/>
  <c r="AO182" i="12"/>
  <c r="R182" i="12" s="1"/>
  <c r="N182" i="12" s="1"/>
  <c r="AP41" i="12"/>
  <c r="S41" i="12" s="1"/>
  <c r="O41" i="12" s="1"/>
  <c r="AO41" i="12"/>
  <c r="R41" i="12" s="1"/>
  <c r="N41" i="12" s="1"/>
  <c r="AP89" i="12"/>
  <c r="S89" i="12" s="1"/>
  <c r="O89" i="12" s="1"/>
  <c r="AO89" i="12"/>
  <c r="R89" i="12" s="1"/>
  <c r="N89" i="12" s="1"/>
  <c r="AP187" i="12"/>
  <c r="S187" i="12" s="1"/>
  <c r="O187" i="12" s="1"/>
  <c r="AO187" i="12"/>
  <c r="R187" i="12" s="1"/>
  <c r="N187" i="12" s="1"/>
  <c r="AO94" i="12"/>
  <c r="R94" i="12" s="1"/>
  <c r="N94" i="12" s="1"/>
  <c r="AP94" i="12"/>
  <c r="S94" i="12" s="1"/>
  <c r="O94" i="12" s="1"/>
  <c r="AP67" i="12"/>
  <c r="S67" i="12" s="1"/>
  <c r="O67" i="12" s="1"/>
  <c r="AO67" i="12"/>
  <c r="R67" i="12" s="1"/>
  <c r="N67" i="12" s="1"/>
  <c r="AP33" i="12"/>
  <c r="S33" i="12" s="1"/>
  <c r="O33" i="12" s="1"/>
  <c r="AO33" i="12"/>
  <c r="R33" i="12" s="1"/>
  <c r="N33" i="12" s="1"/>
  <c r="AP116" i="12"/>
  <c r="S116" i="12" s="1"/>
  <c r="O116" i="12" s="1"/>
  <c r="AO116" i="12"/>
  <c r="R116" i="12" s="1"/>
  <c r="N116" i="12" s="1"/>
  <c r="AP6" i="12"/>
  <c r="S6" i="12" s="1"/>
  <c r="O6" i="12" s="1"/>
  <c r="AO6" i="12"/>
  <c r="R6" i="12" s="1"/>
  <c r="N6" i="12" s="1"/>
  <c r="AO186" i="12"/>
  <c r="R186" i="12" s="1"/>
  <c r="N186" i="12" s="1"/>
  <c r="AP186" i="12"/>
  <c r="S186" i="12" s="1"/>
  <c r="O186" i="12" s="1"/>
  <c r="AO143" i="12"/>
  <c r="R143" i="12" s="1"/>
  <c r="N143" i="12" s="1"/>
  <c r="AP143" i="12"/>
  <c r="S143" i="12" s="1"/>
  <c r="O143" i="12" s="1"/>
  <c r="AO10" i="12"/>
  <c r="R10" i="12" s="1"/>
  <c r="N10" i="12" s="1"/>
  <c r="AP10" i="12"/>
  <c r="S10" i="12" s="1"/>
  <c r="O10" i="12" s="1"/>
  <c r="AP11" i="12"/>
  <c r="S11" i="12" s="1"/>
  <c r="O11" i="12" s="1"/>
  <c r="AO11" i="12"/>
  <c r="R11" i="12" s="1"/>
  <c r="N11" i="12" s="1"/>
  <c r="AO83" i="12"/>
  <c r="R83" i="12" s="1"/>
  <c r="N83" i="12" s="1"/>
  <c r="AP83" i="12"/>
  <c r="S83" i="12" s="1"/>
  <c r="O83" i="12" s="1"/>
  <c r="AO148" i="12"/>
  <c r="R148" i="12" s="1"/>
  <c r="N148" i="12" s="1"/>
  <c r="AP148" i="12"/>
  <c r="S148" i="12" s="1"/>
  <c r="O148" i="12" s="1"/>
  <c r="AP57" i="12"/>
  <c r="S57" i="12" s="1"/>
  <c r="O57" i="12" s="1"/>
  <c r="AO57" i="12"/>
  <c r="R57" i="12" s="1"/>
  <c r="N57" i="12" s="1"/>
  <c r="AO124" i="12"/>
  <c r="R124" i="12" s="1"/>
  <c r="N124" i="12" s="1"/>
  <c r="AP124" i="12"/>
  <c r="S124" i="12" s="1"/>
  <c r="O124" i="12" s="1"/>
  <c r="AP30" i="12"/>
  <c r="S30" i="12" s="1"/>
  <c r="O30" i="12" s="1"/>
  <c r="AO30" i="12"/>
  <c r="R30" i="12" s="1"/>
  <c r="N30" i="12" s="1"/>
  <c r="AO25" i="12"/>
  <c r="R25" i="12" s="1"/>
  <c r="N25" i="12" s="1"/>
  <c r="AP25" i="12"/>
  <c r="S25" i="12" s="1"/>
  <c r="O25" i="12" s="1"/>
  <c r="AP144" i="12"/>
  <c r="S144" i="12" s="1"/>
  <c r="O144" i="12" s="1"/>
  <c r="AO144" i="12"/>
  <c r="R144" i="12" s="1"/>
  <c r="N144" i="12" s="1"/>
  <c r="AO131" i="12"/>
  <c r="R131" i="12" s="1"/>
  <c r="N131" i="12" s="1"/>
  <c r="AP131" i="12"/>
  <c r="S131" i="12" s="1"/>
  <c r="O131" i="12" s="1"/>
  <c r="AP18" i="12"/>
  <c r="S18" i="12" s="1"/>
  <c r="O18" i="12" s="1"/>
  <c r="AO18" i="12"/>
  <c r="R18" i="12" s="1"/>
  <c r="N18" i="12" s="1"/>
  <c r="AP43" i="12"/>
  <c r="S43" i="12" s="1"/>
  <c r="O43" i="12" s="1"/>
  <c r="AO43" i="12"/>
  <c r="R43" i="12" s="1"/>
  <c r="N43" i="12" s="1"/>
  <c r="AP108" i="12"/>
  <c r="S108" i="12" s="1"/>
  <c r="O108" i="12" s="1"/>
  <c r="AO108" i="12"/>
  <c r="R108" i="12" s="1"/>
  <c r="N108" i="12" s="1"/>
  <c r="AO154" i="12"/>
  <c r="R154" i="12" s="1"/>
  <c r="N154" i="12" s="1"/>
  <c r="AP154" i="12"/>
  <c r="S154" i="12" s="1"/>
  <c r="O154" i="12" s="1"/>
  <c r="AO2" i="12"/>
  <c r="R2" i="12" s="1"/>
  <c r="N2" i="12" s="1"/>
  <c r="AP2" i="12"/>
  <c r="S2" i="12" s="1"/>
  <c r="O2" i="12" s="1"/>
  <c r="V68" i="12"/>
  <c r="U68" i="12"/>
  <c r="U149" i="12"/>
  <c r="V149" i="12"/>
  <c r="U208" i="12"/>
  <c r="V208" i="12"/>
  <c r="U211" i="12"/>
  <c r="V211" i="12"/>
  <c r="V116" i="12"/>
  <c r="U116" i="12"/>
  <c r="V128" i="12"/>
  <c r="U128" i="12"/>
  <c r="U150" i="12"/>
  <c r="V150" i="12"/>
  <c r="V193" i="12"/>
  <c r="U193" i="12"/>
  <c r="V31" i="12"/>
  <c r="U31" i="12"/>
  <c r="V104" i="12"/>
  <c r="U104" i="12"/>
  <c r="U26" i="12"/>
  <c r="V26" i="12"/>
  <c r="V181" i="12"/>
  <c r="U181" i="12"/>
  <c r="V69" i="12"/>
  <c r="U69" i="12"/>
  <c r="U205" i="12"/>
  <c r="V205" i="12"/>
  <c r="U170" i="12"/>
  <c r="V170" i="12"/>
  <c r="V195" i="12"/>
  <c r="U195" i="12"/>
  <c r="V135" i="12"/>
  <c r="U135" i="12"/>
  <c r="U120" i="12"/>
  <c r="V120" i="12"/>
  <c r="U57" i="12"/>
  <c r="V57" i="12"/>
  <c r="V66" i="12"/>
  <c r="U66" i="12"/>
  <c r="V3" i="12"/>
  <c r="U3" i="12"/>
  <c r="V111" i="12"/>
  <c r="U111" i="12"/>
  <c r="V46" i="12"/>
  <c r="U46" i="12"/>
  <c r="U207" i="12"/>
  <c r="V207" i="12"/>
  <c r="V56" i="12"/>
  <c r="U56" i="12"/>
  <c r="V124" i="12"/>
  <c r="U124" i="12"/>
  <c r="V175" i="12"/>
  <c r="U175" i="12"/>
  <c r="V173" i="12"/>
  <c r="U173" i="12"/>
  <c r="V167" i="12"/>
  <c r="U167" i="12"/>
  <c r="V198" i="12"/>
  <c r="U198" i="12"/>
  <c r="U109" i="12"/>
  <c r="V109" i="12"/>
  <c r="U162" i="12"/>
  <c r="V162" i="12"/>
  <c r="V127" i="12"/>
  <c r="U127" i="12"/>
  <c r="V87" i="12"/>
  <c r="U87" i="12"/>
  <c r="U43" i="12"/>
  <c r="V43" i="12"/>
  <c r="V91" i="12"/>
  <c r="U91" i="12"/>
  <c r="V81" i="12"/>
  <c r="U81" i="12"/>
  <c r="U125" i="12"/>
  <c r="V125" i="12"/>
  <c r="V101" i="12"/>
  <c r="U101" i="12"/>
  <c r="U86" i="12"/>
  <c r="V86" i="12"/>
  <c r="V39" i="12"/>
  <c r="U39" i="12"/>
  <c r="V172" i="12"/>
  <c r="U172" i="12"/>
  <c r="U78" i="12"/>
  <c r="V78" i="12"/>
  <c r="U110" i="12"/>
  <c r="V110" i="12"/>
  <c r="U70" i="12"/>
  <c r="V70" i="12"/>
  <c r="V113" i="12"/>
  <c r="U113" i="12"/>
  <c r="U16" i="12"/>
  <c r="V16" i="12"/>
  <c r="U115" i="12"/>
  <c r="V115" i="12"/>
  <c r="V134" i="12"/>
  <c r="U134" i="12"/>
  <c r="V103" i="12"/>
  <c r="U103" i="12"/>
  <c r="V186" i="12"/>
  <c r="U186" i="12"/>
  <c r="V40" i="12"/>
  <c r="U40" i="12"/>
  <c r="V102" i="12"/>
  <c r="U102" i="12"/>
  <c r="V178" i="12"/>
  <c r="U178" i="12"/>
  <c r="V10" i="12"/>
  <c r="U10" i="12"/>
  <c r="U71" i="12"/>
  <c r="V71" i="12"/>
  <c r="U108" i="12"/>
  <c r="V108" i="12"/>
  <c r="U67" i="12"/>
  <c r="V67" i="12"/>
  <c r="U192" i="12"/>
  <c r="V192" i="12"/>
  <c r="V184" i="12"/>
  <c r="U184" i="12"/>
  <c r="V82" i="12"/>
  <c r="U82" i="12"/>
  <c r="U132" i="12"/>
  <c r="V132" i="12"/>
  <c r="U210" i="12"/>
  <c r="V210" i="12"/>
  <c r="V147" i="12"/>
  <c r="U147" i="12"/>
  <c r="V24" i="12"/>
  <c r="U24" i="12"/>
  <c r="U84" i="12"/>
  <c r="V84" i="12"/>
  <c r="U129" i="12"/>
  <c r="V129" i="12"/>
  <c r="V21" i="12"/>
  <c r="U21" i="12"/>
  <c r="V118" i="12"/>
  <c r="U118" i="12"/>
  <c r="V165" i="12"/>
  <c r="U165" i="12"/>
  <c r="V179" i="12"/>
  <c r="U179" i="12"/>
  <c r="V80" i="12"/>
  <c r="U80" i="12"/>
  <c r="U7" i="12"/>
  <c r="V7" i="12"/>
  <c r="V121" i="12"/>
  <c r="U121" i="12"/>
  <c r="V107" i="12"/>
  <c r="U107" i="12"/>
  <c r="V187" i="12"/>
  <c r="U187" i="12"/>
  <c r="V157" i="12"/>
  <c r="U157" i="12"/>
  <c r="V6" i="12"/>
  <c r="U6" i="12"/>
  <c r="U32" i="12"/>
  <c r="V32" i="12"/>
  <c r="U44" i="12"/>
  <c r="V44" i="12"/>
  <c r="U22" i="12"/>
  <c r="V22" i="12"/>
  <c r="V5" i="12"/>
  <c r="U5" i="12"/>
  <c r="U140" i="12"/>
  <c r="V140" i="12"/>
  <c r="V42" i="12"/>
  <c r="U42" i="12"/>
  <c r="V196" i="12"/>
  <c r="U196" i="12"/>
  <c r="V33" i="12"/>
  <c r="U33" i="12"/>
  <c r="V106" i="12"/>
  <c r="U106" i="12"/>
  <c r="U117" i="12"/>
  <c r="V117" i="12"/>
  <c r="V63" i="12"/>
  <c r="U63" i="12"/>
  <c r="V154" i="12"/>
  <c r="U154" i="12"/>
  <c r="U23" i="12"/>
  <c r="V23" i="12"/>
  <c r="V171" i="12"/>
  <c r="U171" i="12"/>
  <c r="V88" i="12"/>
  <c r="U88" i="12"/>
  <c r="U138" i="12"/>
  <c r="V138" i="12"/>
  <c r="U47" i="12"/>
  <c r="V47" i="12"/>
  <c r="V151" i="12"/>
  <c r="U151" i="12"/>
  <c r="V182" i="12"/>
  <c r="U182" i="12"/>
  <c r="V159" i="12"/>
  <c r="U159" i="12"/>
  <c r="U93" i="12"/>
  <c r="V93" i="12"/>
  <c r="U45" i="12"/>
  <c r="V45" i="12"/>
  <c r="V114" i="12"/>
  <c r="U114" i="12"/>
  <c r="V191" i="12"/>
  <c r="U191" i="12"/>
  <c r="V112" i="12"/>
  <c r="U112" i="12"/>
  <c r="V34" i="12"/>
  <c r="U34" i="12"/>
  <c r="V29" i="12"/>
  <c r="U29" i="12"/>
  <c r="V97" i="12"/>
  <c r="U97" i="12"/>
  <c r="V201" i="12"/>
  <c r="U201" i="12"/>
  <c r="V199" i="12"/>
  <c r="U199" i="12"/>
  <c r="U143" i="12"/>
  <c r="V143" i="12"/>
  <c r="V119" i="12"/>
  <c r="U119" i="12"/>
  <c r="V105" i="12"/>
  <c r="U105" i="12"/>
  <c r="V18" i="12"/>
  <c r="U18" i="12"/>
  <c r="V168" i="12"/>
  <c r="U168" i="12"/>
  <c r="U11" i="12"/>
  <c r="V11" i="12"/>
  <c r="V60" i="12"/>
  <c r="U60" i="12"/>
  <c r="U53" i="12"/>
  <c r="V53" i="12"/>
  <c r="V144" i="12"/>
  <c r="U144" i="12"/>
  <c r="V54" i="12"/>
  <c r="U54" i="12"/>
  <c r="U30" i="12"/>
  <c r="V30" i="12"/>
  <c r="U58" i="12"/>
  <c r="V58" i="12"/>
  <c r="V55" i="12"/>
  <c r="U55" i="12"/>
  <c r="V35" i="12"/>
  <c r="U35" i="12"/>
  <c r="U25" i="12"/>
  <c r="V25" i="12"/>
  <c r="U79" i="12"/>
  <c r="V79" i="12"/>
  <c r="U64" i="12"/>
  <c r="V64" i="12"/>
  <c r="U76" i="12"/>
  <c r="V76" i="12"/>
  <c r="V188" i="12"/>
  <c r="U188" i="12"/>
  <c r="V94" i="12"/>
  <c r="U94" i="12"/>
  <c r="U137" i="12"/>
  <c r="V137" i="12"/>
  <c r="V38" i="12"/>
  <c r="U38" i="12"/>
  <c r="U2" i="12"/>
  <c r="V2" i="12"/>
  <c r="V183" i="12"/>
  <c r="U183" i="12"/>
  <c r="V176" i="12"/>
  <c r="U176" i="12"/>
  <c r="V74" i="12"/>
  <c r="U74" i="12"/>
  <c r="V98" i="12"/>
  <c r="U98" i="12"/>
  <c r="U59" i="12"/>
  <c r="V59" i="12"/>
  <c r="V13" i="12"/>
  <c r="U13" i="12"/>
  <c r="V99" i="12"/>
  <c r="U99" i="12"/>
  <c r="U160" i="12"/>
  <c r="V160" i="12"/>
  <c r="U49" i="12"/>
  <c r="V49" i="12"/>
  <c r="U164" i="12"/>
  <c r="V164" i="12"/>
  <c r="V163" i="12"/>
  <c r="U163" i="12"/>
  <c r="V204" i="12"/>
  <c r="U204" i="12"/>
  <c r="V189" i="12"/>
  <c r="U189" i="12"/>
  <c r="V92" i="12"/>
  <c r="U92" i="12"/>
  <c r="V158" i="12"/>
  <c r="U158" i="12"/>
  <c r="V212" i="12"/>
  <c r="U212" i="12"/>
  <c r="V95" i="12"/>
  <c r="U95" i="12"/>
  <c r="U73" i="12"/>
  <c r="V73" i="12"/>
  <c r="U145" i="12"/>
  <c r="V145" i="12"/>
  <c r="V77" i="12"/>
  <c r="U77" i="12"/>
  <c r="U126" i="12"/>
  <c r="V126" i="12"/>
  <c r="V194" i="12"/>
  <c r="U194" i="12"/>
  <c r="V206" i="12"/>
  <c r="U206" i="12"/>
  <c r="V89" i="12"/>
  <c r="U89" i="12"/>
  <c r="V51" i="12"/>
  <c r="U51" i="12"/>
  <c r="U17" i="12"/>
  <c r="V17" i="12"/>
  <c r="U75" i="12"/>
  <c r="V75" i="12"/>
  <c r="V152" i="12"/>
  <c r="U152" i="12"/>
  <c r="V130" i="12"/>
  <c r="U130" i="12"/>
  <c r="U8" i="12"/>
  <c r="V8" i="12"/>
  <c r="V85" i="12"/>
  <c r="U85" i="12"/>
  <c r="V4" i="12"/>
  <c r="U4" i="12"/>
  <c r="U185" i="12"/>
  <c r="V185" i="12"/>
  <c r="V14" i="12"/>
  <c r="U14" i="12"/>
  <c r="V90" i="12"/>
  <c r="U90" i="12"/>
  <c r="V174" i="12"/>
  <c r="U174" i="12"/>
  <c r="V20" i="12"/>
  <c r="U20" i="12"/>
  <c r="U122" i="12"/>
  <c r="V122" i="12"/>
  <c r="V9" i="12"/>
  <c r="U9" i="12"/>
  <c r="V61" i="12"/>
  <c r="U61" i="12"/>
  <c r="U202" i="12"/>
  <c r="V202" i="12"/>
  <c r="V155" i="12"/>
  <c r="U155" i="12"/>
  <c r="V12" i="12"/>
  <c r="U12" i="12"/>
  <c r="U180" i="12"/>
  <c r="V180" i="12"/>
  <c r="U15" i="12"/>
  <c r="V15" i="12"/>
  <c r="V142" i="12"/>
  <c r="U142" i="12"/>
  <c r="V62" i="12"/>
  <c r="U62" i="12"/>
  <c r="V141" i="12"/>
  <c r="U141" i="12"/>
  <c r="U52" i="12"/>
  <c r="V52" i="12"/>
  <c r="V169" i="12"/>
  <c r="U169" i="12"/>
  <c r="U123" i="12"/>
  <c r="V123" i="12"/>
  <c r="V37" i="12"/>
  <c r="U37" i="12"/>
  <c r="U133" i="12"/>
  <c r="V133" i="12"/>
  <c r="V36" i="12"/>
  <c r="U36" i="12"/>
  <c r="V65" i="12"/>
  <c r="U65" i="12"/>
  <c r="U131" i="12"/>
  <c r="V131" i="12"/>
  <c r="V41" i="12"/>
  <c r="U41" i="12"/>
  <c r="V100" i="12"/>
  <c r="U100" i="12"/>
  <c r="U139" i="12"/>
  <c r="V139" i="12"/>
  <c r="U96" i="12"/>
  <c r="V96" i="12"/>
  <c r="U190" i="12"/>
  <c r="V190" i="12"/>
  <c r="U197" i="12"/>
  <c r="V197" i="12"/>
  <c r="U148" i="12"/>
  <c r="V148" i="12"/>
  <c r="V146" i="12"/>
  <c r="U146" i="12"/>
  <c r="U27" i="12"/>
  <c r="V27" i="12"/>
  <c r="U153" i="12"/>
  <c r="V153" i="12"/>
  <c r="U203" i="12"/>
  <c r="V203" i="12"/>
  <c r="V200" i="12"/>
  <c r="U200" i="12"/>
  <c r="V72" i="12"/>
  <c r="U72" i="12"/>
  <c r="V48" i="12"/>
  <c r="U48" i="12"/>
  <c r="V177" i="12"/>
  <c r="U177" i="12"/>
  <c r="U136" i="12"/>
  <c r="V136" i="12"/>
  <c r="V19" i="12"/>
  <c r="U19" i="12"/>
  <c r="U156" i="12"/>
  <c r="V156" i="12"/>
  <c r="U166" i="12"/>
  <c r="V166" i="12"/>
  <c r="V161" i="12"/>
  <c r="U161" i="12"/>
  <c r="V28" i="12"/>
  <c r="U28" i="12"/>
  <c r="V50" i="12"/>
  <c r="U50" i="12"/>
  <c r="U209" i="12"/>
  <c r="V209" i="12"/>
  <c r="V83" i="12"/>
  <c r="U83" i="12"/>
  <c r="C30" i="12"/>
  <c r="I40" i="12" l="1"/>
  <c r="I123" i="12"/>
  <c r="I147" i="12"/>
  <c r="I95" i="12"/>
  <c r="I65" i="12"/>
  <c r="I135" i="12"/>
  <c r="I158" i="12"/>
  <c r="I203" i="12"/>
  <c r="I166" i="12"/>
  <c r="I3" i="12"/>
  <c r="I153" i="12"/>
  <c r="I114" i="12"/>
  <c r="I15" i="12"/>
  <c r="I157" i="12"/>
  <c r="I28" i="12"/>
  <c r="I174" i="12"/>
  <c r="I16" i="12"/>
  <c r="I44" i="12"/>
  <c r="I178" i="12"/>
  <c r="I201" i="12"/>
  <c r="I207" i="12"/>
  <c r="I13" i="12"/>
  <c r="I128" i="12"/>
  <c r="I194" i="12"/>
  <c r="I156" i="12"/>
  <c r="I49" i="12"/>
  <c r="I67" i="12"/>
  <c r="I152" i="12"/>
  <c r="I164" i="12"/>
  <c r="I168" i="12"/>
  <c r="I101" i="12"/>
  <c r="I24" i="12"/>
  <c r="I85" i="12"/>
  <c r="I155" i="12"/>
  <c r="I58" i="12"/>
  <c r="I81" i="12"/>
  <c r="I205" i="12"/>
  <c r="I113" i="12"/>
  <c r="I61" i="12"/>
  <c r="I110" i="12"/>
  <c r="I130" i="12"/>
  <c r="I98" i="12"/>
  <c r="I104" i="12"/>
  <c r="I45" i="12"/>
  <c r="I33" i="12"/>
  <c r="I165" i="12"/>
  <c r="I52" i="12"/>
  <c r="I10" i="12"/>
  <c r="I149" i="12"/>
  <c r="I35" i="12"/>
  <c r="I39" i="12"/>
  <c r="I189" i="12"/>
  <c r="I38" i="12"/>
  <c r="I126" i="12"/>
  <c r="I76" i="12"/>
  <c r="I103" i="12"/>
  <c r="I151" i="12"/>
  <c r="I184" i="12"/>
  <c r="I175" i="12"/>
  <c r="I22" i="12"/>
  <c r="I140" i="12"/>
  <c r="I82" i="12"/>
  <c r="I120" i="12"/>
  <c r="I78" i="12"/>
  <c r="I180" i="12"/>
  <c r="I183" i="12"/>
  <c r="I138" i="12"/>
  <c r="I144" i="12"/>
  <c r="I196" i="12"/>
  <c r="I145" i="12"/>
  <c r="I83" i="12"/>
  <c r="I169" i="12"/>
  <c r="Z144" i="12"/>
  <c r="I71" i="12"/>
  <c r="I117" i="12"/>
  <c r="I146" i="12"/>
  <c r="I75" i="12"/>
  <c r="I209" i="12"/>
  <c r="I134" i="12"/>
  <c r="I19" i="12"/>
  <c r="I179" i="12"/>
  <c r="I72" i="12"/>
  <c r="I41" i="12"/>
  <c r="I131" i="12"/>
  <c r="I2" i="12"/>
  <c r="I136" i="12"/>
  <c r="I27" i="12"/>
  <c r="I109" i="12"/>
  <c r="I199" i="12"/>
  <c r="I122" i="12"/>
  <c r="I204" i="12"/>
  <c r="I79" i="12"/>
  <c r="I96" i="12"/>
  <c r="I210" i="12"/>
  <c r="I77" i="12"/>
  <c r="I167" i="12"/>
  <c r="I116" i="12"/>
  <c r="I42" i="12"/>
  <c r="I206" i="12"/>
  <c r="I121" i="12"/>
  <c r="I102" i="12"/>
  <c r="I55" i="12"/>
  <c r="I69" i="12"/>
  <c r="I93" i="12"/>
  <c r="I60" i="12"/>
  <c r="I43" i="12"/>
  <c r="I51" i="12"/>
  <c r="I80" i="12"/>
  <c r="I105" i="12"/>
  <c r="I195" i="12"/>
  <c r="I62" i="12"/>
  <c r="I208" i="12"/>
  <c r="I91" i="12"/>
  <c r="I173" i="12"/>
  <c r="I56" i="12"/>
  <c r="I186" i="12"/>
  <c r="I53" i="12"/>
  <c r="I143" i="12"/>
  <c r="I176" i="12"/>
  <c r="I59" i="12"/>
  <c r="I141" i="12"/>
  <c r="I14" i="12"/>
  <c r="I29" i="12"/>
  <c r="I170" i="12"/>
  <c r="I127" i="12"/>
  <c r="I66" i="12"/>
  <c r="I23" i="12"/>
  <c r="I192" i="12"/>
  <c r="I197" i="12"/>
  <c r="I6" i="12"/>
  <c r="I188" i="12"/>
  <c r="I84" i="12"/>
  <c r="I5" i="12"/>
  <c r="I32" i="12"/>
  <c r="I26" i="12"/>
  <c r="I108" i="12"/>
  <c r="I190" i="12"/>
  <c r="I129" i="12"/>
  <c r="I4" i="12"/>
  <c r="I86" i="12"/>
  <c r="I9" i="12"/>
  <c r="I99" i="12"/>
  <c r="I181" i="12"/>
  <c r="I64" i="12"/>
  <c r="I97" i="12"/>
  <c r="I187" i="12"/>
  <c r="I54" i="12"/>
  <c r="I89" i="12"/>
  <c r="I70" i="12"/>
  <c r="I211" i="12"/>
  <c r="I171" i="12"/>
  <c r="I107" i="12"/>
  <c r="I177" i="12"/>
  <c r="I74" i="12"/>
  <c r="I31" i="12"/>
  <c r="I25" i="12"/>
  <c r="I142" i="12"/>
  <c r="I87" i="12"/>
  <c r="I92" i="12"/>
  <c r="I112" i="12"/>
  <c r="I90" i="12"/>
  <c r="I172" i="12"/>
  <c r="I47" i="12"/>
  <c r="I193" i="12"/>
  <c r="I68" i="12"/>
  <c r="I150" i="12"/>
  <c r="I73" i="12"/>
  <c r="I163" i="12"/>
  <c r="I30" i="12"/>
  <c r="I160" i="12"/>
  <c r="I161" i="12"/>
  <c r="I36" i="12"/>
  <c r="I118" i="12"/>
  <c r="I34" i="12"/>
  <c r="I198" i="12"/>
  <c r="I124" i="12"/>
  <c r="I212" i="12"/>
  <c r="I20" i="12"/>
  <c r="I11" i="12"/>
  <c r="I202" i="12"/>
  <c r="I159" i="12"/>
  <c r="I185" i="12"/>
  <c r="I63" i="12"/>
  <c r="I88" i="12"/>
  <c r="I133" i="12"/>
  <c r="I8" i="12"/>
  <c r="I48" i="12"/>
  <c r="I154" i="12"/>
  <c r="I21" i="12"/>
  <c r="I111" i="12"/>
  <c r="I50" i="12"/>
  <c r="I132" i="12"/>
  <c r="I7" i="12"/>
  <c r="I137" i="12"/>
  <c r="I12" i="12"/>
  <c r="I94" i="12"/>
  <c r="I17" i="12"/>
  <c r="I18" i="12"/>
  <c r="I100" i="12"/>
  <c r="I182" i="12"/>
  <c r="I162" i="12"/>
  <c r="I119" i="12"/>
  <c r="I37" i="12"/>
  <c r="I125" i="12"/>
  <c r="I148" i="12"/>
  <c r="I139" i="12"/>
  <c r="I115" i="12"/>
  <c r="I200" i="12"/>
  <c r="I106" i="12"/>
  <c r="I191" i="12"/>
  <c r="I57" i="12"/>
  <c r="Z212" i="12"/>
  <c r="Z51" i="12"/>
  <c r="Z130" i="12"/>
  <c r="Z95" i="12"/>
  <c r="Z174" i="12"/>
  <c r="Z157" i="12"/>
  <c r="Z83" i="12"/>
  <c r="Z14" i="12"/>
  <c r="Z181" i="12"/>
  <c r="Z101" i="12"/>
  <c r="Z61" i="12"/>
  <c r="Z63" i="12"/>
  <c r="Z209" i="12"/>
  <c r="Z23" i="12"/>
  <c r="Z142" i="12"/>
  <c r="Z104" i="12"/>
  <c r="Z91" i="12"/>
  <c r="Z46" i="12"/>
  <c r="Z116" i="12"/>
  <c r="Z204" i="12"/>
  <c r="Z76" i="12"/>
  <c r="Z78" i="12"/>
  <c r="Z119" i="12"/>
  <c r="Z149" i="12"/>
  <c r="Z34" i="12"/>
  <c r="Z191" i="12"/>
  <c r="Z107" i="12"/>
  <c r="Z189" i="12"/>
  <c r="Z179" i="12"/>
  <c r="Z28" i="12"/>
  <c r="Z182" i="12"/>
  <c r="Z71" i="12"/>
  <c r="Z103" i="12"/>
  <c r="Z43" i="12"/>
  <c r="Z206" i="12"/>
  <c r="Z160" i="12"/>
  <c r="Z36" i="12"/>
  <c r="Z3" i="12"/>
  <c r="Z77" i="12"/>
  <c r="Z211" i="12"/>
  <c r="Z199" i="12"/>
  <c r="Z47" i="12"/>
  <c r="Z59" i="12"/>
  <c r="Z20" i="12"/>
  <c r="Z147" i="12"/>
  <c r="Z136" i="12"/>
  <c r="Z62" i="12"/>
  <c r="Z210" i="12"/>
  <c r="Z155" i="12"/>
  <c r="Z45" i="12"/>
  <c r="Z68" i="12"/>
  <c r="Z133" i="12"/>
  <c r="Z125" i="12"/>
  <c r="Z35" i="12"/>
  <c r="Z140" i="12"/>
  <c r="Z150" i="12"/>
  <c r="Z88" i="12"/>
  <c r="Z109" i="12"/>
  <c r="Z146" i="12"/>
  <c r="Z145" i="12"/>
  <c r="Z192" i="12"/>
  <c r="Z207" i="12"/>
  <c r="Z18" i="12"/>
  <c r="Z27" i="12"/>
  <c r="Z121" i="12"/>
  <c r="Z57" i="12"/>
  <c r="Z117" i="12"/>
  <c r="Z193" i="12"/>
  <c r="Z84" i="12"/>
  <c r="Z124" i="12"/>
  <c r="Z183" i="12"/>
  <c r="Z143" i="12"/>
  <c r="Z159" i="12"/>
  <c r="Z177" i="12"/>
  <c r="Z105" i="12"/>
  <c r="Z85" i="12"/>
  <c r="Z7" i="12"/>
  <c r="Z186" i="12"/>
  <c r="Z197" i="12"/>
  <c r="Z205" i="12"/>
  <c r="Z58" i="12"/>
  <c r="Z70" i="12"/>
  <c r="Z52" i="12"/>
  <c r="Z80" i="12"/>
  <c r="Z90" i="12"/>
  <c r="Z139" i="12"/>
  <c r="Z13" i="12"/>
  <c r="Z162" i="12"/>
  <c r="Z5" i="12"/>
  <c r="Z171" i="12"/>
  <c r="Z167" i="12"/>
  <c r="Z31" i="12"/>
  <c r="Z99" i="12"/>
  <c r="Z129" i="12"/>
  <c r="Z65" i="12"/>
  <c r="Z111" i="12"/>
  <c r="Z19" i="12"/>
  <c r="Z128" i="12"/>
  <c r="Z166" i="12"/>
  <c r="Z6" i="12"/>
  <c r="Z118" i="12"/>
  <c r="Z185" i="12"/>
  <c r="Z112" i="12"/>
  <c r="Z194" i="12"/>
  <c r="Z208" i="12"/>
  <c r="Z67" i="12"/>
  <c r="Z55" i="12"/>
  <c r="Z132" i="12"/>
  <c r="Z60" i="12"/>
  <c r="Z72" i="12"/>
  <c r="Z17" i="12"/>
  <c r="Z165" i="12"/>
  <c r="Z49" i="12"/>
  <c r="Z39" i="12"/>
  <c r="Z122" i="12"/>
  <c r="Z184" i="12"/>
  <c r="Z123" i="12"/>
  <c r="Z8" i="12"/>
  <c r="Z69" i="12"/>
  <c r="Z127" i="12"/>
  <c r="Z113" i="12"/>
  <c r="Z131" i="12"/>
  <c r="Z173" i="12"/>
  <c r="Z138" i="12"/>
  <c r="Z108" i="12"/>
  <c r="Z56" i="12"/>
  <c r="Z22" i="12"/>
  <c r="Z29" i="12"/>
  <c r="Z152" i="12"/>
  <c r="Z161" i="12"/>
  <c r="Z135" i="12"/>
  <c r="Z66" i="12"/>
  <c r="Z2" i="12"/>
  <c r="Z33" i="12"/>
  <c r="Z115" i="12"/>
  <c r="Z30" i="12"/>
  <c r="Z169" i="12"/>
  <c r="Z172" i="12"/>
  <c r="Z74" i="12"/>
  <c r="Z73" i="12"/>
  <c r="Z98" i="12"/>
  <c r="Z50" i="12"/>
  <c r="Z41" i="12"/>
  <c r="Z200" i="12"/>
  <c r="Z153" i="12"/>
  <c r="Z156" i="12"/>
  <c r="Z26" i="12"/>
  <c r="Z134" i="12"/>
  <c r="Z188" i="12"/>
  <c r="Z176" i="12"/>
  <c r="Z201" i="12"/>
  <c r="Z93" i="12"/>
  <c r="Z48" i="12"/>
  <c r="Z16" i="12"/>
  <c r="Z92" i="12"/>
  <c r="Z32" i="12"/>
  <c r="Z114" i="12"/>
  <c r="Z15" i="12"/>
  <c r="Z187" i="12"/>
  <c r="Z38" i="12"/>
  <c r="Z53" i="12"/>
  <c r="Z79" i="12"/>
  <c r="Z164" i="12"/>
  <c r="Z24" i="12"/>
  <c r="Z25" i="12"/>
  <c r="Z141" i="12"/>
  <c r="Z75" i="12"/>
  <c r="Z96" i="12"/>
  <c r="Z37" i="12"/>
  <c r="Z10" i="12"/>
  <c r="Z180" i="12"/>
  <c r="Z21" i="12"/>
  <c r="Z175" i="12"/>
  <c r="Z195" i="12"/>
  <c r="Z154" i="12"/>
  <c r="Z163" i="12"/>
  <c r="Z54" i="12"/>
  <c r="Z97" i="12"/>
  <c r="Z89" i="12"/>
  <c r="Z158" i="12"/>
  <c r="Z196" i="12"/>
  <c r="Z87" i="12"/>
  <c r="Z86" i="12"/>
  <c r="Z168" i="12"/>
  <c r="Z151" i="12"/>
  <c r="Z202" i="12"/>
  <c r="Z42" i="12"/>
  <c r="Z106" i="12"/>
  <c r="Z11" i="12"/>
  <c r="Z94" i="12"/>
  <c r="Z4" i="12"/>
  <c r="Z137" i="12"/>
  <c r="Z82" i="12"/>
  <c r="Z64" i="12"/>
  <c r="Z110" i="12"/>
  <c r="Z12" i="12"/>
  <c r="Z178" i="12"/>
  <c r="Z148" i="12"/>
  <c r="Z203" i="12"/>
  <c r="Z81" i="12"/>
  <c r="Z126" i="12"/>
  <c r="Z40" i="12"/>
  <c r="Z9" i="12"/>
  <c r="Z190" i="12"/>
  <c r="Z44" i="12"/>
  <c r="Z198" i="12"/>
  <c r="Z170" i="12"/>
  <c r="Z120" i="12"/>
  <c r="Z102" i="12"/>
  <c r="Z100" i="12"/>
  <c r="D109" i="7" l="1"/>
  <c r="D115" i="7"/>
  <c r="D121" i="7"/>
  <c r="D120" i="7"/>
  <c r="C7" i="12"/>
  <c r="B7" i="12" s="1"/>
  <c r="E7" i="12" s="1"/>
  <c r="D116" i="7" l="1"/>
  <c r="D117" i="7" s="1"/>
  <c r="D112" i="7" l="1"/>
  <c r="D113" i="7" s="1"/>
  <c r="D122" i="7"/>
  <c r="D123" i="7" s="1"/>
  <c r="C8" i="12"/>
  <c r="B8" i="12" s="1"/>
  <c r="C9" i="12"/>
  <c r="B9" i="12" s="1"/>
  <c r="E9" i="12" s="1"/>
  <c r="F119" i="7" l="1"/>
  <c r="C27" i="12"/>
  <c r="E8" i="12"/>
  <c r="E1" i="12" s="1"/>
  <c r="F125" i="7"/>
  <c r="W39" i="12"/>
  <c r="W88" i="12"/>
  <c r="AD88" i="12" s="1"/>
  <c r="W115" i="12"/>
  <c r="AA115" i="12" s="1"/>
  <c r="W98" i="12"/>
  <c r="AA98" i="12" s="1"/>
  <c r="W126" i="12"/>
  <c r="AD126" i="12" s="1"/>
  <c r="W101" i="12"/>
  <c r="AD101" i="12" s="1"/>
  <c r="W177" i="12"/>
  <c r="AD177" i="12" s="1"/>
  <c r="W144" i="12"/>
  <c r="W82" i="12"/>
  <c r="AD82" i="12" s="1"/>
  <c r="W206" i="12"/>
  <c r="AA206" i="12" s="1"/>
  <c r="W8" i="12"/>
  <c r="AD8" i="12" s="1"/>
  <c r="W92" i="12"/>
  <c r="AD92" i="12" s="1"/>
  <c r="W70" i="12"/>
  <c r="AA70" i="12" s="1"/>
  <c r="W196" i="12"/>
  <c r="AD196" i="12" s="1"/>
  <c r="W44" i="12"/>
  <c r="AD44" i="12" s="1"/>
  <c r="W41" i="12"/>
  <c r="W195" i="12"/>
  <c r="AD195" i="12" s="1"/>
  <c r="W110" i="12"/>
  <c r="AD110" i="12" s="1"/>
  <c r="W123" i="12"/>
  <c r="AA123" i="12" s="1"/>
  <c r="W37" i="12"/>
  <c r="AD37" i="12" s="1"/>
  <c r="W160" i="12"/>
  <c r="AD160" i="12" s="1"/>
  <c r="W49" i="12"/>
  <c r="AD49" i="12" s="1"/>
  <c r="W31" i="12"/>
  <c r="AD31" i="12" s="1"/>
  <c r="W33" i="12"/>
  <c r="W64" i="12"/>
  <c r="AD64" i="12" s="1"/>
  <c r="W108" i="12"/>
  <c r="AD108" i="12" s="1"/>
  <c r="W188" i="12"/>
  <c r="AA188" i="12" s="1"/>
  <c r="W158" i="12"/>
  <c r="AD158" i="12" s="1"/>
  <c r="W99" i="12"/>
  <c r="AA99" i="12" s="1"/>
  <c r="W66" i="12"/>
  <c r="AD66" i="12" s="1"/>
  <c r="W198" i="12"/>
  <c r="AD198" i="12" s="1"/>
  <c r="W150" i="12"/>
  <c r="AA150" i="12" s="1"/>
  <c r="W187" i="12"/>
  <c r="AA187" i="12" s="1"/>
  <c r="W74" i="12"/>
  <c r="AD74" i="12" s="1"/>
  <c r="W210" i="12"/>
  <c r="AD210" i="12" s="1"/>
  <c r="W84" i="12"/>
  <c r="AD84" i="12" s="1"/>
  <c r="W203" i="12"/>
  <c r="AA203" i="12" s="1"/>
  <c r="W4" i="12"/>
  <c r="AA4" i="12" s="1"/>
  <c r="W18" i="12"/>
  <c r="AD18" i="12" s="1"/>
  <c r="W35" i="12"/>
  <c r="AD35" i="12" s="1"/>
  <c r="W105" i="12"/>
  <c r="AA105" i="12" s="1"/>
  <c r="W77" i="12"/>
  <c r="AD77" i="12" s="1"/>
  <c r="W75" i="12"/>
  <c r="AD75" i="12" s="1"/>
  <c r="W34" i="12"/>
  <c r="AA34" i="12" s="1"/>
  <c r="W129" i="12"/>
  <c r="AD129" i="12" s="1"/>
  <c r="W121" i="12"/>
  <c r="AD121" i="12" s="1"/>
  <c r="W112" i="12"/>
  <c r="AD112" i="12" s="1"/>
  <c r="W11" i="12"/>
  <c r="AD11" i="12" s="1"/>
  <c r="W16" i="12"/>
  <c r="AA16" i="12" s="1"/>
  <c r="W28" i="12"/>
  <c r="AD28" i="12" s="1"/>
  <c r="W155" i="12"/>
  <c r="AD155" i="12" s="1"/>
  <c r="W174" i="12"/>
  <c r="AD174" i="12" s="1"/>
  <c r="W95" i="12"/>
  <c r="AD95" i="12" s="1"/>
  <c r="W97" i="12"/>
  <c r="AD97" i="12" s="1"/>
  <c r="W199" i="12"/>
  <c r="AD199" i="12" s="1"/>
  <c r="W48" i="12"/>
  <c r="AD48" i="12" s="1"/>
  <c r="W128" i="12"/>
  <c r="AD128" i="12" s="1"/>
  <c r="W149" i="12"/>
  <c r="AA149" i="12" s="1"/>
  <c r="W142" i="12"/>
  <c r="AA142" i="12" s="1"/>
  <c r="W120" i="12"/>
  <c r="AD120" i="12" s="1"/>
  <c r="W23" i="12"/>
  <c r="AD23" i="12" s="1"/>
  <c r="W86" i="12"/>
  <c r="AD86" i="12" s="1"/>
  <c r="W165" i="12"/>
  <c r="AD165" i="12" s="1"/>
  <c r="W182" i="12"/>
  <c r="AD182" i="12" s="1"/>
  <c r="W26" i="12"/>
  <c r="AA26" i="12" s="1"/>
  <c r="W192" i="12"/>
  <c r="AD192" i="12" s="1"/>
  <c r="W139" i="12"/>
  <c r="AD139" i="12" s="1"/>
  <c r="W43" i="12"/>
  <c r="AD43" i="12" s="1"/>
  <c r="W15" i="12"/>
  <c r="AD15" i="12" s="1"/>
  <c r="W194" i="12"/>
  <c r="AD194" i="12" s="1"/>
  <c r="W167" i="12"/>
  <c r="AA167" i="12" s="1"/>
  <c r="W124" i="12"/>
  <c r="AD124" i="12" s="1"/>
  <c r="W154" i="12"/>
  <c r="AD154" i="12" s="1"/>
  <c r="W27" i="12"/>
  <c r="AD27" i="12" s="1"/>
  <c r="W87" i="12"/>
  <c r="AD87" i="12" s="1"/>
  <c r="W114" i="12"/>
  <c r="AD114" i="12" s="1"/>
  <c r="W36" i="12"/>
  <c r="AD36" i="12" s="1"/>
  <c r="W148" i="12"/>
  <c r="AA148" i="12" s="1"/>
  <c r="W63" i="12"/>
  <c r="AA63" i="12" s="1"/>
  <c r="W176" i="12"/>
  <c r="AD176" i="12" s="1"/>
  <c r="W151" i="12"/>
  <c r="AD151" i="12" s="1"/>
  <c r="W85" i="12"/>
  <c r="AD85" i="12" s="1"/>
  <c r="W104" i="12"/>
  <c r="AA104" i="12" s="1"/>
  <c r="W60" i="12"/>
  <c r="AD60" i="12" s="1"/>
  <c r="W180" i="12"/>
  <c r="AD180" i="12" s="1"/>
  <c r="W117" i="12"/>
  <c r="AA117" i="12" s="1"/>
  <c r="W103" i="12"/>
  <c r="AD103" i="12" s="1"/>
  <c r="W89" i="12"/>
  <c r="AD89" i="12" s="1"/>
  <c r="W45" i="12"/>
  <c r="AA45" i="12" s="1"/>
  <c r="W57" i="12"/>
  <c r="AA57" i="12" s="1"/>
  <c r="W106" i="12"/>
  <c r="AA106" i="12" s="1"/>
  <c r="W153" i="12"/>
  <c r="AD153" i="12" s="1"/>
  <c r="W134" i="12"/>
  <c r="AD134" i="12" s="1"/>
  <c r="W109" i="12"/>
  <c r="AA109" i="12" s="1"/>
  <c r="W209" i="12"/>
  <c r="AD209" i="12" s="1"/>
  <c r="W152" i="12"/>
  <c r="AD152" i="12" s="1"/>
  <c r="W20" i="12"/>
  <c r="AA20" i="12" s="1"/>
  <c r="W67" i="12"/>
  <c r="AD67" i="12" s="1"/>
  <c r="W56" i="12"/>
  <c r="AD56" i="12" s="1"/>
  <c r="W181" i="12"/>
  <c r="AA181" i="12" s="1"/>
  <c r="W53" i="12"/>
  <c r="AD53" i="12" s="1"/>
  <c r="W143" i="12"/>
  <c r="AD143" i="12" s="1"/>
  <c r="W17" i="12"/>
  <c r="AA17" i="12" s="1"/>
  <c r="W9" i="12"/>
  <c r="AD9" i="12" s="1"/>
  <c r="W137" i="12"/>
  <c r="AD137" i="12" s="1"/>
  <c r="W173" i="12"/>
  <c r="AD173" i="12" s="1"/>
  <c r="W29" i="12"/>
  <c r="AD29" i="12" s="1"/>
  <c r="W83" i="12"/>
  <c r="AD83" i="12" s="1"/>
  <c r="W94" i="12"/>
  <c r="AD94" i="12" s="1"/>
  <c r="W40" i="12"/>
  <c r="AD40" i="12" s="1"/>
  <c r="W50" i="12"/>
  <c r="AD50" i="12" s="1"/>
  <c r="W58" i="12"/>
  <c r="AD58" i="12" s="1"/>
  <c r="W156" i="12"/>
  <c r="AD156" i="12" s="1"/>
  <c r="W102" i="12"/>
  <c r="AD102" i="12" s="1"/>
  <c r="W161" i="12"/>
  <c r="AD161" i="12" s="1"/>
  <c r="W138" i="12"/>
  <c r="AD138" i="12" s="1"/>
  <c r="W125" i="12"/>
  <c r="AD125" i="12" s="1"/>
  <c r="W200" i="12"/>
  <c r="AA200" i="12" s="1"/>
  <c r="W76" i="12"/>
  <c r="AA76" i="12" s="1"/>
  <c r="W191" i="12"/>
  <c r="AD191" i="12" s="1"/>
  <c r="C28" i="12"/>
  <c r="W54" i="12"/>
  <c r="AD54" i="12" s="1"/>
  <c r="W21" i="12"/>
  <c r="AD21" i="12" s="1"/>
  <c r="W127" i="12"/>
  <c r="AA127" i="12" s="1"/>
  <c r="W202" i="12"/>
  <c r="AA202" i="12" s="1"/>
  <c r="W183" i="12"/>
  <c r="AD183" i="12" s="1"/>
  <c r="W5" i="12"/>
  <c r="AD5" i="12" s="1"/>
  <c r="W111" i="12"/>
  <c r="AA111" i="12" s="1"/>
  <c r="W186" i="12"/>
  <c r="AA186" i="12" s="1"/>
  <c r="W172" i="12"/>
  <c r="AD172" i="12" s="1"/>
  <c r="W25" i="12"/>
  <c r="AD25" i="12" s="1"/>
  <c r="W32" i="12"/>
  <c r="AA32" i="12" s="1"/>
  <c r="W10" i="12"/>
  <c r="AA10" i="12" s="1"/>
  <c r="W175" i="12"/>
  <c r="AA175" i="12" s="1"/>
  <c r="W133" i="12"/>
  <c r="AD133" i="12" s="1"/>
  <c r="W90" i="12"/>
  <c r="AA90" i="12" s="1"/>
  <c r="W55" i="12"/>
  <c r="AD55" i="12" s="1"/>
  <c r="W61" i="12"/>
  <c r="AD61" i="12" s="1"/>
  <c r="W157" i="12"/>
  <c r="AA157" i="12" s="1"/>
  <c r="W205" i="12"/>
  <c r="AA205" i="12" s="1"/>
  <c r="W163" i="12"/>
  <c r="AD163" i="12" s="1"/>
  <c r="W146" i="12"/>
  <c r="AD146" i="12" s="1"/>
  <c r="W46" i="12"/>
  <c r="AA46" i="12" s="1"/>
  <c r="W185" i="12"/>
  <c r="AA185" i="12" s="1"/>
  <c r="W72" i="12"/>
  <c r="AA72" i="12" s="1"/>
  <c r="W159" i="12"/>
  <c r="AA159" i="12" s="1"/>
  <c r="W166" i="12"/>
  <c r="AA166" i="12" s="1"/>
  <c r="W169" i="12"/>
  <c r="AA169" i="12" s="1"/>
  <c r="W30" i="12"/>
  <c r="AD30" i="12" s="1"/>
  <c r="W119" i="12"/>
  <c r="AA119" i="12" s="1"/>
  <c r="W193" i="12"/>
  <c r="AD193" i="12" s="1"/>
  <c r="W212" i="12"/>
  <c r="AA212" i="12" s="1"/>
  <c r="W136" i="12"/>
  <c r="AA136" i="12" s="1"/>
  <c r="W22" i="12"/>
  <c r="AD22" i="12" s="1"/>
  <c r="W197" i="12"/>
  <c r="AD197" i="12" s="1"/>
  <c r="W42" i="12"/>
  <c r="AA42" i="12" s="1"/>
  <c r="W69" i="12"/>
  <c r="AD69" i="12" s="1"/>
  <c r="W141" i="12"/>
  <c r="AD141" i="12" s="1"/>
  <c r="W51" i="12"/>
  <c r="AD51" i="12" s="1"/>
  <c r="W140" i="12"/>
  <c r="AA140" i="12" s="1"/>
  <c r="W184" i="12"/>
  <c r="AD184" i="12" s="1"/>
  <c r="W71" i="12"/>
  <c r="AA71" i="12" s="1"/>
  <c r="W179" i="12"/>
  <c r="AD179" i="12" s="1"/>
  <c r="W52" i="12"/>
  <c r="AA52" i="12" s="1"/>
  <c r="W164" i="12"/>
  <c r="AD164" i="12" s="1"/>
  <c r="W168" i="12"/>
  <c r="AD168" i="12" s="1"/>
  <c r="W91" i="12"/>
  <c r="AD91" i="12" s="1"/>
  <c r="W162" i="12"/>
  <c r="AA162" i="12" s="1"/>
  <c r="W96" i="12"/>
  <c r="AD96" i="12" s="1"/>
  <c r="W132" i="12"/>
  <c r="AD132" i="12" s="1"/>
  <c r="W24" i="12"/>
  <c r="AA24" i="12" s="1"/>
  <c r="W135" i="12"/>
  <c r="AD135" i="12" s="1"/>
  <c r="W19" i="12"/>
  <c r="AD19" i="12" s="1"/>
  <c r="W7" i="12"/>
  <c r="AD7" i="12" s="1"/>
  <c r="W80" i="12"/>
  <c r="AD80" i="12" s="1"/>
  <c r="W170" i="12"/>
  <c r="AA170" i="12" s="1"/>
  <c r="W13" i="12"/>
  <c r="AD13" i="12" s="1"/>
  <c r="W171" i="12"/>
  <c r="AD171" i="12" s="1"/>
  <c r="W113" i="12"/>
  <c r="AA113" i="12" s="1"/>
  <c r="W122" i="12"/>
  <c r="AD122" i="12" s="1"/>
  <c r="W190" i="12"/>
  <c r="AD190" i="12" s="1"/>
  <c r="W201" i="12"/>
  <c r="AA201" i="12" s="1"/>
  <c r="W79" i="12"/>
  <c r="AD79" i="12" s="1"/>
  <c r="W38" i="12"/>
  <c r="AA38" i="12" s="1"/>
  <c r="W207" i="12"/>
  <c r="AD207" i="12" s="1"/>
  <c r="W118" i="12"/>
  <c r="AD118" i="12" s="1"/>
  <c r="W81" i="12"/>
  <c r="AA81" i="12" s="1"/>
  <c r="W211" i="12"/>
  <c r="AA211" i="12" s="1"/>
  <c r="W131" i="12"/>
  <c r="AA131" i="12" s="1"/>
  <c r="W73" i="12"/>
  <c r="AD73" i="12" s="1"/>
  <c r="W107" i="12"/>
  <c r="AD107" i="12" s="1"/>
  <c r="W145" i="12"/>
  <c r="AD145" i="12" s="1"/>
  <c r="W59" i="12"/>
  <c r="AD59" i="12" s="1"/>
  <c r="W204" i="12"/>
  <c r="AD204" i="12" s="1"/>
  <c r="W78" i="12"/>
  <c r="AA78" i="12" s="1"/>
  <c r="W2" i="12"/>
  <c r="AD2" i="12" s="1"/>
  <c r="W62" i="12"/>
  <c r="AD62" i="12" s="1"/>
  <c r="W93" i="12"/>
  <c r="AA93" i="12" s="1"/>
  <c r="W147" i="12"/>
  <c r="AD147" i="12" s="1"/>
  <c r="W65" i="12"/>
  <c r="AA65" i="12" s="1"/>
  <c r="W6" i="12"/>
  <c r="AD6" i="12" s="1"/>
  <c r="W130" i="12"/>
  <c r="AA130" i="12" s="1"/>
  <c r="W100" i="12"/>
  <c r="AD100" i="12" s="1"/>
  <c r="W116" i="12"/>
  <c r="AA116" i="12" s="1"/>
  <c r="W47" i="12"/>
  <c r="AD47" i="12" s="1"/>
  <c r="W12" i="12"/>
  <c r="AD12" i="12" s="1"/>
  <c r="W14" i="12"/>
  <c r="AA14" i="12" s="1"/>
  <c r="W3" i="12"/>
  <c r="AD3" i="12" s="1"/>
  <c r="W178" i="12"/>
  <c r="AA178" i="12" s="1"/>
  <c r="W208" i="12"/>
  <c r="AD208" i="12" s="1"/>
  <c r="W68" i="12"/>
  <c r="AD68" i="12" s="1"/>
  <c r="W189" i="12"/>
  <c r="AA189" i="12" s="1"/>
  <c r="Y156" i="12"/>
  <c r="X156" i="12"/>
  <c r="X83" i="12"/>
  <c r="Y83" i="12"/>
  <c r="X173" i="12"/>
  <c r="Y173" i="12"/>
  <c r="X137" i="12"/>
  <c r="Y137" i="12"/>
  <c r="Y17" i="12"/>
  <c r="X17" i="12"/>
  <c r="Y53" i="12"/>
  <c r="X53" i="12"/>
  <c r="Y56" i="12"/>
  <c r="X56" i="12"/>
  <c r="X20" i="12"/>
  <c r="Y20" i="12"/>
  <c r="Y209" i="12"/>
  <c r="X209" i="12"/>
  <c r="X134" i="12"/>
  <c r="Y134" i="12"/>
  <c r="X106" i="12"/>
  <c r="Y106" i="12"/>
  <c r="Y117" i="12"/>
  <c r="X117" i="12"/>
  <c r="X180" i="12"/>
  <c r="Y180" i="12"/>
  <c r="Y60" i="12"/>
  <c r="X60" i="12"/>
  <c r="Y104" i="12"/>
  <c r="X104" i="12"/>
  <c r="X85" i="12"/>
  <c r="Y85" i="12"/>
  <c r="X151" i="12"/>
  <c r="Y151" i="12"/>
  <c r="Y176" i="12"/>
  <c r="X176" i="12"/>
  <c r="X63" i="12"/>
  <c r="Y63" i="12"/>
  <c r="Y148" i="12"/>
  <c r="X148" i="12"/>
  <c r="X36" i="12"/>
  <c r="Y36" i="12"/>
  <c r="Y114" i="12"/>
  <c r="X114" i="12"/>
  <c r="X87" i="12"/>
  <c r="Y87" i="12"/>
  <c r="X27" i="12"/>
  <c r="Y27" i="12"/>
  <c r="X154" i="12"/>
  <c r="Y154" i="12"/>
  <c r="Y124" i="12"/>
  <c r="X124" i="12"/>
  <c r="X167" i="12"/>
  <c r="Y167" i="12"/>
  <c r="Y194" i="12"/>
  <c r="X194" i="12"/>
  <c r="X15" i="12"/>
  <c r="Y15" i="12"/>
  <c r="X43" i="12"/>
  <c r="Y43" i="12"/>
  <c r="X139" i="12"/>
  <c r="Y139" i="12"/>
  <c r="Y192" i="12"/>
  <c r="X192" i="12"/>
  <c r="X26" i="12"/>
  <c r="Y26" i="12"/>
  <c r="Y182" i="12"/>
  <c r="X182" i="12"/>
  <c r="AA182" i="12"/>
  <c r="Y165" i="12"/>
  <c r="X165" i="12"/>
  <c r="X86" i="12"/>
  <c r="Y86" i="12"/>
  <c r="Y23" i="12"/>
  <c r="X23" i="12"/>
  <c r="X9" i="12"/>
  <c r="Y9" i="12"/>
  <c r="X143" i="12"/>
  <c r="Y143" i="12"/>
  <c r="X181" i="12"/>
  <c r="Y181" i="12"/>
  <c r="Y67" i="12"/>
  <c r="X67" i="12"/>
  <c r="Y152" i="12"/>
  <c r="X152" i="12"/>
  <c r="Y109" i="12"/>
  <c r="X109" i="12"/>
  <c r="Y153" i="12"/>
  <c r="X153" i="12"/>
  <c r="X48" i="12"/>
  <c r="Y48" i="12"/>
  <c r="AA48" i="12"/>
  <c r="Y199" i="12"/>
  <c r="X199" i="12"/>
  <c r="X97" i="12"/>
  <c r="Y97" i="12"/>
  <c r="Y95" i="12"/>
  <c r="X95" i="12"/>
  <c r="X174" i="12"/>
  <c r="Y174" i="12"/>
  <c r="X155" i="12"/>
  <c r="Y155" i="12"/>
  <c r="X28" i="12"/>
  <c r="Y28" i="12"/>
  <c r="Y16" i="12"/>
  <c r="X16" i="12"/>
  <c r="Y11" i="12"/>
  <c r="X11" i="12"/>
  <c r="Y112" i="12"/>
  <c r="X112" i="12"/>
  <c r="X121" i="12"/>
  <c r="Y121" i="12"/>
  <c r="X129" i="12"/>
  <c r="Y129" i="12"/>
  <c r="Y34" i="12"/>
  <c r="X34" i="12"/>
  <c r="Y75" i="12"/>
  <c r="X75" i="12"/>
  <c r="X77" i="12"/>
  <c r="Y77" i="12"/>
  <c r="Y105" i="12"/>
  <c r="X105" i="12"/>
  <c r="AD105" i="12"/>
  <c r="Y35" i="12"/>
  <c r="X35" i="12"/>
  <c r="AA35" i="12"/>
  <c r="X18" i="12"/>
  <c r="Y18" i="12"/>
  <c r="Y4" i="12"/>
  <c r="X4" i="12"/>
  <c r="AD203" i="12"/>
  <c r="Y203" i="12"/>
  <c r="X203" i="12"/>
  <c r="X84" i="12"/>
  <c r="Y84" i="12"/>
  <c r="Y210" i="12"/>
  <c r="X210" i="12"/>
  <c r="Y74" i="12"/>
  <c r="X74" i="12"/>
  <c r="X187" i="12"/>
  <c r="Y187" i="12"/>
  <c r="AD187" i="12"/>
  <c r="Y150" i="12"/>
  <c r="X150" i="12"/>
  <c r="X198" i="12"/>
  <c r="Y198" i="12"/>
  <c r="Y102" i="12"/>
  <c r="X102" i="12"/>
  <c r="Y40" i="12"/>
  <c r="X40" i="12"/>
  <c r="X108" i="12"/>
  <c r="Y108" i="12"/>
  <c r="X31" i="12"/>
  <c r="Y31" i="12"/>
  <c r="X123" i="12"/>
  <c r="Y123" i="12"/>
  <c r="Y44" i="12"/>
  <c r="X44" i="12"/>
  <c r="Y92" i="12"/>
  <c r="X92" i="12"/>
  <c r="Y144" i="12"/>
  <c r="X144" i="12"/>
  <c r="AD144" i="12"/>
  <c r="AA144" i="12"/>
  <c r="X126" i="12"/>
  <c r="Y126" i="12"/>
  <c r="X115" i="12"/>
  <c r="Y115" i="12"/>
  <c r="Y39" i="12"/>
  <c r="X39" i="12"/>
  <c r="AA39" i="12"/>
  <c r="AD39" i="12"/>
  <c r="Y120" i="12"/>
  <c r="X120" i="12"/>
  <c r="X191" i="12"/>
  <c r="Y191" i="12"/>
  <c r="Y190" i="12"/>
  <c r="X190" i="12"/>
  <c r="Y66" i="12"/>
  <c r="X66" i="12"/>
  <c r="X189" i="12"/>
  <c r="Y189" i="12"/>
  <c r="X57" i="12"/>
  <c r="Y57" i="12"/>
  <c r="X119" i="12"/>
  <c r="Y119" i="12"/>
  <c r="Y142" i="12"/>
  <c r="X142" i="12"/>
  <c r="X76" i="12"/>
  <c r="Y76" i="12"/>
  <c r="X122" i="12"/>
  <c r="Y122" i="12"/>
  <c r="Y99" i="12"/>
  <c r="X99" i="12"/>
  <c r="AD99" i="12"/>
  <c r="Y68" i="12"/>
  <c r="X68" i="12"/>
  <c r="X45" i="12"/>
  <c r="Y45" i="12"/>
  <c r="X30" i="12"/>
  <c r="Y30" i="12"/>
  <c r="X149" i="12"/>
  <c r="Y149" i="12"/>
  <c r="X113" i="12"/>
  <c r="Y113" i="12"/>
  <c r="Y200" i="12"/>
  <c r="X200" i="12"/>
  <c r="Y208" i="12"/>
  <c r="X208" i="12"/>
  <c r="X158" i="12"/>
  <c r="Y158" i="12"/>
  <c r="Y89" i="12"/>
  <c r="X89" i="12"/>
  <c r="Y128" i="12"/>
  <c r="X128" i="12"/>
  <c r="Y171" i="12"/>
  <c r="X171" i="12"/>
  <c r="Y169" i="12"/>
  <c r="X169" i="12"/>
  <c r="X125" i="12"/>
  <c r="Y125" i="12"/>
  <c r="Y178" i="12"/>
  <c r="X178" i="12"/>
  <c r="Y188" i="12"/>
  <c r="X188" i="12"/>
  <c r="X103" i="12"/>
  <c r="Y103" i="12"/>
  <c r="X138" i="12"/>
  <c r="Y138" i="12"/>
  <c r="Y58" i="12"/>
  <c r="X58" i="12"/>
  <c r="X64" i="12"/>
  <c r="Y64" i="12"/>
  <c r="AA64" i="12"/>
  <c r="X160" i="12"/>
  <c r="Y160" i="12"/>
  <c r="Y110" i="12"/>
  <c r="X110" i="12"/>
  <c r="X195" i="12"/>
  <c r="Y195" i="12"/>
  <c r="AA195" i="12"/>
  <c r="X196" i="12"/>
  <c r="Y196" i="12"/>
  <c r="Y206" i="12"/>
  <c r="X206" i="12"/>
  <c r="X101" i="12"/>
  <c r="Y101" i="12"/>
  <c r="X98" i="12"/>
  <c r="Y98" i="12"/>
  <c r="Y88" i="12"/>
  <c r="X88" i="12"/>
  <c r="Y3" i="12"/>
  <c r="X3" i="12"/>
  <c r="X14" i="12"/>
  <c r="Y14" i="12"/>
  <c r="X12" i="12"/>
  <c r="Y12" i="12"/>
  <c r="Y47" i="12"/>
  <c r="X47" i="12"/>
  <c r="Y116" i="12"/>
  <c r="X116" i="12"/>
  <c r="X100" i="12"/>
  <c r="Y100" i="12"/>
  <c r="Y130" i="12"/>
  <c r="X130" i="12"/>
  <c r="Y6" i="12"/>
  <c r="X6" i="12"/>
  <c r="X65" i="12"/>
  <c r="Y65" i="12"/>
  <c r="X147" i="12"/>
  <c r="Y147" i="12"/>
  <c r="X93" i="12"/>
  <c r="Y93" i="12"/>
  <c r="X62" i="12"/>
  <c r="Y62" i="12"/>
  <c r="Y2" i="12"/>
  <c r="X2" i="12"/>
  <c r="X78" i="12"/>
  <c r="Y78" i="12"/>
  <c r="Y204" i="12"/>
  <c r="X204" i="12"/>
  <c r="Y59" i="12"/>
  <c r="X59" i="12"/>
  <c r="Y145" i="12"/>
  <c r="X145" i="12"/>
  <c r="Y107" i="12"/>
  <c r="X107" i="12"/>
  <c r="X73" i="12"/>
  <c r="Y73" i="12"/>
  <c r="X131" i="12"/>
  <c r="Y131" i="12"/>
  <c r="Y211" i="12"/>
  <c r="X211" i="12"/>
  <c r="Y81" i="12"/>
  <c r="X81" i="12"/>
  <c r="X118" i="12"/>
  <c r="Y118" i="12"/>
  <c r="Y207" i="12"/>
  <c r="X207" i="12"/>
  <c r="X38" i="12"/>
  <c r="Y38" i="12"/>
  <c r="Y79" i="12"/>
  <c r="X79" i="12"/>
  <c r="X201" i="12"/>
  <c r="Y201" i="12"/>
  <c r="Y94" i="12"/>
  <c r="X94" i="12"/>
  <c r="X49" i="12"/>
  <c r="Y49" i="12"/>
  <c r="Y8" i="12"/>
  <c r="X8" i="12"/>
  <c r="X177" i="12"/>
  <c r="Y177" i="12"/>
  <c r="X170" i="12"/>
  <c r="Y170" i="12"/>
  <c r="X7" i="12"/>
  <c r="Y7" i="12"/>
  <c r="X135" i="12"/>
  <c r="Y135" i="12"/>
  <c r="Y24" i="12"/>
  <c r="X24" i="12"/>
  <c r="X132" i="12"/>
  <c r="Y132" i="12"/>
  <c r="X96" i="12"/>
  <c r="Y96" i="12"/>
  <c r="X162" i="12"/>
  <c r="Y162" i="12"/>
  <c r="Y91" i="12"/>
  <c r="X91" i="12"/>
  <c r="Y168" i="12"/>
  <c r="X168" i="12"/>
  <c r="X164" i="12"/>
  <c r="Y164" i="12"/>
  <c r="Y52" i="12"/>
  <c r="X52" i="12"/>
  <c r="X179" i="12"/>
  <c r="Y179" i="12"/>
  <c r="Y71" i="12"/>
  <c r="X71" i="12"/>
  <c r="Y184" i="12"/>
  <c r="X184" i="12"/>
  <c r="Y140" i="12"/>
  <c r="X140" i="12"/>
  <c r="X51" i="12"/>
  <c r="Y51" i="12"/>
  <c r="Y141" i="12"/>
  <c r="X141" i="12"/>
  <c r="Y69" i="12"/>
  <c r="X69" i="12"/>
  <c r="X42" i="12"/>
  <c r="Y42" i="12"/>
  <c r="Y197" i="12"/>
  <c r="X197" i="12"/>
  <c r="X22" i="12"/>
  <c r="Y22" i="12"/>
  <c r="X136" i="12"/>
  <c r="Y136" i="12"/>
  <c r="X212" i="12"/>
  <c r="Y212" i="12"/>
  <c r="Y193" i="12"/>
  <c r="X193" i="12"/>
  <c r="X161" i="12"/>
  <c r="Y161" i="12"/>
  <c r="X50" i="12"/>
  <c r="Y50" i="12"/>
  <c r="X29" i="12"/>
  <c r="Y29" i="12"/>
  <c r="Y33" i="12"/>
  <c r="X33" i="12"/>
  <c r="AD33" i="12"/>
  <c r="AA33" i="12"/>
  <c r="Y37" i="12"/>
  <c r="X37" i="12"/>
  <c r="AD41" i="12"/>
  <c r="Y41" i="12"/>
  <c r="X41" i="12"/>
  <c r="AA41" i="12"/>
  <c r="Y70" i="12"/>
  <c r="X70" i="12"/>
  <c r="Y82" i="12"/>
  <c r="X82" i="12"/>
  <c r="X13" i="12"/>
  <c r="Y13" i="12"/>
  <c r="X80" i="12"/>
  <c r="Y80" i="12"/>
  <c r="Y19" i="12"/>
  <c r="X19" i="12"/>
  <c r="Y166" i="12"/>
  <c r="X166" i="12"/>
  <c r="Y159" i="12"/>
  <c r="X159" i="12"/>
  <c r="Y72" i="12"/>
  <c r="X72" i="12"/>
  <c r="Y185" i="12"/>
  <c r="X185" i="12"/>
  <c r="X46" i="12"/>
  <c r="Y46" i="12"/>
  <c r="X146" i="12"/>
  <c r="Y146" i="12"/>
  <c r="Y163" i="12"/>
  <c r="X163" i="12"/>
  <c r="X205" i="12"/>
  <c r="Y205" i="12"/>
  <c r="X157" i="12"/>
  <c r="Y157" i="12"/>
  <c r="X61" i="12"/>
  <c r="Y61" i="12"/>
  <c r="Y55" i="12"/>
  <c r="X55" i="12"/>
  <c r="X90" i="12"/>
  <c r="Y90" i="12"/>
  <c r="Y133" i="12"/>
  <c r="X133" i="12"/>
  <c r="Y175" i="12"/>
  <c r="X175" i="12"/>
  <c r="Y10" i="12"/>
  <c r="X10" i="12"/>
  <c r="Y32" i="12"/>
  <c r="X32" i="12"/>
  <c r="Y25" i="12"/>
  <c r="X25" i="12"/>
  <c r="Y172" i="12"/>
  <c r="X172" i="12"/>
  <c r="X186" i="12"/>
  <c r="Y186" i="12"/>
  <c r="X111" i="12"/>
  <c r="Y111" i="12"/>
  <c r="X5" i="12"/>
  <c r="Y5" i="12"/>
  <c r="Y183" i="12"/>
  <c r="X183" i="12"/>
  <c r="X202" i="12"/>
  <c r="Y202" i="12"/>
  <c r="X127" i="12"/>
  <c r="Y127" i="12"/>
  <c r="Y21" i="12"/>
  <c r="X21" i="12"/>
  <c r="Y54" i="12"/>
  <c r="X54" i="12"/>
  <c r="AD186" i="12" l="1"/>
  <c r="AE186" i="12" s="1"/>
  <c r="AD16" i="12"/>
  <c r="AE16" i="12" s="1"/>
  <c r="AD72" i="12"/>
  <c r="AE72" i="12" s="1"/>
  <c r="AD45" i="12"/>
  <c r="AF45" i="12" s="1"/>
  <c r="AD20" i="12"/>
  <c r="AE20" i="12" s="1"/>
  <c r="AD26" i="12"/>
  <c r="AE26" i="12" s="1"/>
  <c r="AA184" i="12"/>
  <c r="AB184" i="12" s="1"/>
  <c r="P184" i="12" s="1"/>
  <c r="J184" i="12" s="1"/>
  <c r="AD136" i="12"/>
  <c r="AE136" i="12" s="1"/>
  <c r="AA13" i="12"/>
  <c r="AB13" i="12" s="1"/>
  <c r="P13" i="12" s="1"/>
  <c r="J13" i="12" s="1"/>
  <c r="AA96" i="12"/>
  <c r="AB96" i="12" s="1"/>
  <c r="P96" i="12" s="1"/>
  <c r="J96" i="12" s="1"/>
  <c r="AA55" i="12"/>
  <c r="AC55" i="12" s="1"/>
  <c r="Q55" i="12" s="1"/>
  <c r="K55" i="12" s="1"/>
  <c r="AA154" i="12"/>
  <c r="AC154" i="12" s="1"/>
  <c r="Q154" i="12" s="1"/>
  <c r="K154" i="12" s="1"/>
  <c r="AA137" i="12"/>
  <c r="AC137" i="12" s="1"/>
  <c r="Q137" i="12" s="1"/>
  <c r="K137" i="12" s="1"/>
  <c r="AA156" i="12"/>
  <c r="AC156" i="12" s="1"/>
  <c r="Q156" i="12" s="1"/>
  <c r="K156" i="12" s="1"/>
  <c r="AA82" i="12"/>
  <c r="AC82" i="12" s="1"/>
  <c r="Q82" i="12" s="1"/>
  <c r="K82" i="12" s="1"/>
  <c r="AA207" i="12"/>
  <c r="AC207" i="12" s="1"/>
  <c r="Q207" i="12" s="1"/>
  <c r="K207" i="12" s="1"/>
  <c r="AA128" i="12"/>
  <c r="AC128" i="12" s="1"/>
  <c r="Q128" i="12" s="1"/>
  <c r="K128" i="12" s="1"/>
  <c r="AA6" i="12"/>
  <c r="AC6" i="12" s="1"/>
  <c r="Q6" i="12" s="1"/>
  <c r="K6" i="12" s="1"/>
  <c r="AA151" i="12"/>
  <c r="AC151" i="12" s="1"/>
  <c r="Q151" i="12" s="1"/>
  <c r="K151" i="12" s="1"/>
  <c r="AA11" i="12"/>
  <c r="AB11" i="12" s="1"/>
  <c r="P11" i="12" s="1"/>
  <c r="J11" i="12" s="1"/>
  <c r="AA124" i="12"/>
  <c r="AB124" i="12" s="1"/>
  <c r="P124" i="12" s="1"/>
  <c r="J124" i="12" s="1"/>
  <c r="AD150" i="12"/>
  <c r="AF150" i="12" s="1"/>
  <c r="AA89" i="12"/>
  <c r="AC89" i="12" s="1"/>
  <c r="Q89" i="12" s="1"/>
  <c r="K89" i="12" s="1"/>
  <c r="AA152" i="12"/>
  <c r="AC152" i="12" s="1"/>
  <c r="Q152" i="12" s="1"/>
  <c r="K152" i="12" s="1"/>
  <c r="AD159" i="12"/>
  <c r="AE159" i="12" s="1"/>
  <c r="AA88" i="12"/>
  <c r="AC88" i="12" s="1"/>
  <c r="Q88" i="12" s="1"/>
  <c r="K88" i="12" s="1"/>
  <c r="AD206" i="12"/>
  <c r="AE206" i="12" s="1"/>
  <c r="AD57" i="12"/>
  <c r="AE57" i="12" s="1"/>
  <c r="AA108" i="12"/>
  <c r="AB108" i="12" s="1"/>
  <c r="P108" i="12" s="1"/>
  <c r="J108" i="12" s="1"/>
  <c r="AA110" i="12"/>
  <c r="AB110" i="12" s="1"/>
  <c r="P110" i="12" s="1"/>
  <c r="J110" i="12" s="1"/>
  <c r="AD149" i="12"/>
  <c r="AF149" i="12" s="1"/>
  <c r="AD71" i="12"/>
  <c r="AE71" i="12" s="1"/>
  <c r="AA27" i="12"/>
  <c r="AC27" i="12" s="1"/>
  <c r="Q27" i="12" s="1"/>
  <c r="K27" i="12" s="1"/>
  <c r="AA102" i="12"/>
  <c r="AB102" i="12" s="1"/>
  <c r="P102" i="12" s="1"/>
  <c r="J102" i="12" s="1"/>
  <c r="AA172" i="12"/>
  <c r="AC172" i="12" s="1"/>
  <c r="Q172" i="12" s="1"/>
  <c r="K172" i="12" s="1"/>
  <c r="AA28" i="12"/>
  <c r="AB28" i="12" s="1"/>
  <c r="P28" i="12" s="1"/>
  <c r="J28" i="12" s="1"/>
  <c r="AA118" i="12"/>
  <c r="AB118" i="12" s="1"/>
  <c r="P118" i="12" s="1"/>
  <c r="J118" i="12" s="1"/>
  <c r="AA204" i="12"/>
  <c r="AB204" i="12" s="1"/>
  <c r="P204" i="12" s="1"/>
  <c r="J204" i="12" s="1"/>
  <c r="AA67" i="12"/>
  <c r="AB67" i="12" s="1"/>
  <c r="P67" i="12" s="1"/>
  <c r="J67" i="12" s="1"/>
  <c r="AA192" i="12"/>
  <c r="AC192" i="12" s="1"/>
  <c r="Q192" i="12" s="1"/>
  <c r="K192" i="12" s="1"/>
  <c r="AA61" i="12"/>
  <c r="AC61" i="12" s="1"/>
  <c r="Q61" i="12" s="1"/>
  <c r="K61" i="12" s="1"/>
  <c r="AA132" i="12"/>
  <c r="AC132" i="12" s="1"/>
  <c r="Q132" i="12" s="1"/>
  <c r="K132" i="12" s="1"/>
  <c r="AA77" i="12"/>
  <c r="AC77" i="12" s="1"/>
  <c r="Q77" i="12" s="1"/>
  <c r="K77" i="12" s="1"/>
  <c r="AA54" i="12"/>
  <c r="AB54" i="12" s="1"/>
  <c r="P54" i="12" s="1"/>
  <c r="J54" i="12" s="1"/>
  <c r="AA22" i="12"/>
  <c r="AC22" i="12" s="1"/>
  <c r="Q22" i="12" s="1"/>
  <c r="K22" i="12" s="1"/>
  <c r="AA74" i="12"/>
  <c r="AC74" i="12" s="1"/>
  <c r="Q74" i="12" s="1"/>
  <c r="K74" i="12" s="1"/>
  <c r="AA85" i="12"/>
  <c r="AC85" i="12" s="1"/>
  <c r="Q85" i="12" s="1"/>
  <c r="K85" i="12" s="1"/>
  <c r="AA173" i="12"/>
  <c r="AB173" i="12" s="1"/>
  <c r="P173" i="12" s="1"/>
  <c r="J173" i="12" s="1"/>
  <c r="AA171" i="12"/>
  <c r="AB171" i="12" s="1"/>
  <c r="P171" i="12" s="1"/>
  <c r="J171" i="12" s="1"/>
  <c r="AA59" i="12"/>
  <c r="AB59" i="12" s="1"/>
  <c r="P59" i="12" s="1"/>
  <c r="J59" i="12" s="1"/>
  <c r="AA125" i="12"/>
  <c r="AC125" i="12" s="1"/>
  <c r="Q125" i="12" s="1"/>
  <c r="K125" i="12" s="1"/>
  <c r="AD34" i="12"/>
  <c r="AF34" i="12" s="1"/>
  <c r="AA164" i="12"/>
  <c r="AB164" i="12" s="1"/>
  <c r="P164" i="12" s="1"/>
  <c r="J164" i="12" s="1"/>
  <c r="AA94" i="12"/>
  <c r="AB94" i="12" s="1"/>
  <c r="P94" i="12" s="1"/>
  <c r="J94" i="12" s="1"/>
  <c r="AA126" i="12"/>
  <c r="AB126" i="12" s="1"/>
  <c r="P126" i="12" s="1"/>
  <c r="J126" i="12" s="1"/>
  <c r="AA180" i="12"/>
  <c r="AB180" i="12" s="1"/>
  <c r="P180" i="12" s="1"/>
  <c r="J180" i="12" s="1"/>
  <c r="AA134" i="12"/>
  <c r="AB134" i="12" s="1"/>
  <c r="P134" i="12" s="1"/>
  <c r="J134" i="12" s="1"/>
  <c r="AD202" i="12"/>
  <c r="AF202" i="12" s="1"/>
  <c r="AD131" i="12"/>
  <c r="AE131" i="12" s="1"/>
  <c r="AD70" i="12"/>
  <c r="AF70" i="12" s="1"/>
  <c r="AA15" i="12"/>
  <c r="AB15" i="12" s="1"/>
  <c r="P15" i="12" s="1"/>
  <c r="J15" i="12" s="1"/>
  <c r="AA36" i="12"/>
  <c r="AC36" i="12" s="1"/>
  <c r="Q36" i="12" s="1"/>
  <c r="K36" i="12" s="1"/>
  <c r="AA19" i="12"/>
  <c r="AC19" i="12" s="1"/>
  <c r="Q19" i="12" s="1"/>
  <c r="K19" i="12" s="1"/>
  <c r="AA69" i="12"/>
  <c r="AC69" i="12" s="1"/>
  <c r="Q69" i="12" s="1"/>
  <c r="K69" i="12" s="1"/>
  <c r="AA62" i="12"/>
  <c r="AC62" i="12" s="1"/>
  <c r="Q62" i="12" s="1"/>
  <c r="K62" i="12" s="1"/>
  <c r="AA190" i="12"/>
  <c r="AB190" i="12" s="1"/>
  <c r="P190" i="12" s="1"/>
  <c r="J190" i="12" s="1"/>
  <c r="AA23" i="12"/>
  <c r="AB23" i="12" s="1"/>
  <c r="P23" i="12" s="1"/>
  <c r="J23" i="12" s="1"/>
  <c r="AA163" i="12"/>
  <c r="AC163" i="12" s="1"/>
  <c r="Q163" i="12" s="1"/>
  <c r="K163" i="12" s="1"/>
  <c r="AA30" i="12"/>
  <c r="AB30" i="12" s="1"/>
  <c r="P30" i="12" s="1"/>
  <c r="J30" i="12" s="1"/>
  <c r="AA53" i="12"/>
  <c r="AB53" i="12" s="1"/>
  <c r="P53" i="12" s="1"/>
  <c r="J53" i="12" s="1"/>
  <c r="AA47" i="12"/>
  <c r="AC47" i="12" s="1"/>
  <c r="Q47" i="12" s="1"/>
  <c r="K47" i="12" s="1"/>
  <c r="AA160" i="12"/>
  <c r="AC160" i="12" s="1"/>
  <c r="Q160" i="12" s="1"/>
  <c r="K160" i="12" s="1"/>
  <c r="AA129" i="12"/>
  <c r="AB129" i="12" s="1"/>
  <c r="P129" i="12" s="1"/>
  <c r="J129" i="12" s="1"/>
  <c r="AA95" i="12"/>
  <c r="AC95" i="12" s="1"/>
  <c r="Q95" i="12" s="1"/>
  <c r="K95" i="12" s="1"/>
  <c r="AD10" i="12"/>
  <c r="AF10" i="12" s="1"/>
  <c r="AD123" i="12"/>
  <c r="AF123" i="12" s="1"/>
  <c r="AD115" i="12"/>
  <c r="AF115" i="12" s="1"/>
  <c r="AD104" i="12"/>
  <c r="AE104" i="12" s="1"/>
  <c r="AD142" i="12"/>
  <c r="AF142" i="12" s="1"/>
  <c r="AA29" i="12"/>
  <c r="AB29" i="12" s="1"/>
  <c r="P29" i="12" s="1"/>
  <c r="J29" i="12" s="1"/>
  <c r="AA8" i="12"/>
  <c r="AC8" i="12" s="1"/>
  <c r="Q8" i="12" s="1"/>
  <c r="K8" i="12" s="1"/>
  <c r="AD106" i="12"/>
  <c r="AF106" i="12" s="1"/>
  <c r="AD188" i="12"/>
  <c r="AF188" i="12" s="1"/>
  <c r="AA92" i="12"/>
  <c r="AB92" i="12" s="1"/>
  <c r="P92" i="12" s="1"/>
  <c r="J92" i="12" s="1"/>
  <c r="AA174" i="12"/>
  <c r="AB174" i="12" s="1"/>
  <c r="P174" i="12" s="1"/>
  <c r="J174" i="12" s="1"/>
  <c r="AA43" i="12"/>
  <c r="AC43" i="12" s="1"/>
  <c r="Q43" i="12" s="1"/>
  <c r="K43" i="12" s="1"/>
  <c r="AA83" i="12"/>
  <c r="AC83" i="12" s="1"/>
  <c r="Q83" i="12" s="1"/>
  <c r="K83" i="12" s="1"/>
  <c r="AD98" i="12"/>
  <c r="AE98" i="12" s="1"/>
  <c r="AA37" i="12"/>
  <c r="AC37" i="12" s="1"/>
  <c r="Q37" i="12" s="1"/>
  <c r="K37" i="12" s="1"/>
  <c r="AA158" i="12"/>
  <c r="AC158" i="12" s="1"/>
  <c r="Q158" i="12" s="1"/>
  <c r="K158" i="12" s="1"/>
  <c r="AA114" i="12"/>
  <c r="AC114" i="12" s="1"/>
  <c r="Q114" i="12" s="1"/>
  <c r="K114" i="12" s="1"/>
  <c r="AA138" i="12"/>
  <c r="AC138" i="12" s="1"/>
  <c r="Q138" i="12" s="1"/>
  <c r="K138" i="12" s="1"/>
  <c r="AD169" i="12"/>
  <c r="AE169" i="12" s="1"/>
  <c r="AD181" i="12"/>
  <c r="AF181" i="12" s="1"/>
  <c r="AA120" i="12"/>
  <c r="AB120" i="12" s="1"/>
  <c r="P120" i="12" s="1"/>
  <c r="J120" i="12" s="1"/>
  <c r="AD205" i="12"/>
  <c r="AE205" i="12" s="1"/>
  <c r="AA84" i="12"/>
  <c r="AC84" i="12" s="1"/>
  <c r="Q84" i="12" s="1"/>
  <c r="K84" i="12" s="1"/>
  <c r="AD32" i="12"/>
  <c r="AF32" i="12" s="1"/>
  <c r="AD127" i="12"/>
  <c r="AE127" i="12" s="1"/>
  <c r="AD52" i="12"/>
  <c r="AE52" i="12" s="1"/>
  <c r="AD178" i="12"/>
  <c r="AE178" i="12" s="1"/>
  <c r="AD111" i="12"/>
  <c r="AE111" i="12" s="1"/>
  <c r="AA21" i="12"/>
  <c r="AC21" i="12" s="1"/>
  <c r="Q21" i="12" s="1"/>
  <c r="K21" i="12" s="1"/>
  <c r="AA161" i="12"/>
  <c r="AC161" i="12" s="1"/>
  <c r="Q161" i="12" s="1"/>
  <c r="K161" i="12" s="1"/>
  <c r="AA210" i="12"/>
  <c r="AB210" i="12" s="1"/>
  <c r="P210" i="12" s="1"/>
  <c r="J210" i="12" s="1"/>
  <c r="AA75" i="12"/>
  <c r="AB75" i="12" s="1"/>
  <c r="P75" i="12" s="1"/>
  <c r="J75" i="12" s="1"/>
  <c r="AA155" i="12"/>
  <c r="AC155" i="12" s="1"/>
  <c r="Q155" i="12" s="1"/>
  <c r="K155" i="12" s="1"/>
  <c r="AA56" i="12"/>
  <c r="AC56" i="12" s="1"/>
  <c r="Q56" i="12" s="1"/>
  <c r="K56" i="12" s="1"/>
  <c r="AD17" i="12"/>
  <c r="AF17" i="12" s="1"/>
  <c r="AA87" i="12"/>
  <c r="AB87" i="12" s="1"/>
  <c r="P87" i="12" s="1"/>
  <c r="J87" i="12" s="1"/>
  <c r="AA25" i="12"/>
  <c r="AB25" i="12" s="1"/>
  <c r="P25" i="12" s="1"/>
  <c r="J25" i="12" s="1"/>
  <c r="AD157" i="12"/>
  <c r="AE157" i="12" s="1"/>
  <c r="AD166" i="12"/>
  <c r="AE166" i="12" s="1"/>
  <c r="AA139" i="12"/>
  <c r="AB139" i="12" s="1"/>
  <c r="P139" i="12" s="1"/>
  <c r="J139" i="12" s="1"/>
  <c r="AD130" i="12"/>
  <c r="AE130" i="12" s="1"/>
  <c r="AA197" i="12"/>
  <c r="AB197" i="12" s="1"/>
  <c r="P197" i="12" s="1"/>
  <c r="J197" i="12" s="1"/>
  <c r="AD113" i="12"/>
  <c r="AF113" i="12" s="1"/>
  <c r="AD90" i="12"/>
  <c r="AE90" i="12" s="1"/>
  <c r="AD212" i="12"/>
  <c r="AF212" i="12" s="1"/>
  <c r="AD162" i="12"/>
  <c r="AF162" i="12" s="1"/>
  <c r="AD38" i="12"/>
  <c r="AF38" i="12" s="1"/>
  <c r="AA145" i="12"/>
  <c r="AC145" i="12" s="1"/>
  <c r="Q145" i="12" s="1"/>
  <c r="K145" i="12" s="1"/>
  <c r="AA9" i="12"/>
  <c r="AB9" i="12" s="1"/>
  <c r="P9" i="12" s="1"/>
  <c r="J9" i="12" s="1"/>
  <c r="AA176" i="12"/>
  <c r="AC176" i="12" s="1"/>
  <c r="Q176" i="12" s="1"/>
  <c r="K176" i="12" s="1"/>
  <c r="AA60" i="12"/>
  <c r="AC60" i="12" s="1"/>
  <c r="Q60" i="12" s="1"/>
  <c r="K60" i="12" s="1"/>
  <c r="AD185" i="12"/>
  <c r="AF185" i="12" s="1"/>
  <c r="AD140" i="12"/>
  <c r="AF140" i="12" s="1"/>
  <c r="AA135" i="12"/>
  <c r="AB135" i="12" s="1"/>
  <c r="P135" i="12" s="1"/>
  <c r="J135" i="12" s="1"/>
  <c r="AA153" i="12"/>
  <c r="AC153" i="12" s="1"/>
  <c r="Q153" i="12" s="1"/>
  <c r="K153" i="12" s="1"/>
  <c r="AD42" i="12"/>
  <c r="AE42" i="12" s="1"/>
  <c r="AD211" i="12"/>
  <c r="AE211" i="12" s="1"/>
  <c r="AD65" i="12"/>
  <c r="AE65" i="12" s="1"/>
  <c r="AD116" i="12"/>
  <c r="AE116" i="12" s="1"/>
  <c r="AA58" i="12"/>
  <c r="AC58" i="12" s="1"/>
  <c r="Q58" i="12" s="1"/>
  <c r="K58" i="12" s="1"/>
  <c r="AA191" i="12"/>
  <c r="AC191" i="12" s="1"/>
  <c r="Q191" i="12" s="1"/>
  <c r="K191" i="12" s="1"/>
  <c r="AA179" i="12"/>
  <c r="AB179" i="12" s="1"/>
  <c r="P179" i="12" s="1"/>
  <c r="J179" i="12" s="1"/>
  <c r="AA208" i="12"/>
  <c r="AC208" i="12" s="1"/>
  <c r="Q208" i="12" s="1"/>
  <c r="K208" i="12" s="1"/>
  <c r="AD170" i="12"/>
  <c r="AF170" i="12" s="1"/>
  <c r="AA3" i="12"/>
  <c r="AC3" i="12" s="1"/>
  <c r="Q3" i="12" s="1"/>
  <c r="K3" i="12" s="1"/>
  <c r="AD189" i="12"/>
  <c r="AE189" i="12" s="1"/>
  <c r="AA2" i="12"/>
  <c r="AC2" i="12" s="1"/>
  <c r="Q2" i="12" s="1"/>
  <c r="K2" i="12" s="1"/>
  <c r="AD109" i="12"/>
  <c r="AF109" i="12" s="1"/>
  <c r="AD148" i="12"/>
  <c r="AF148" i="12" s="1"/>
  <c r="AD175" i="12"/>
  <c r="AE175" i="12" s="1"/>
  <c r="AD119" i="12"/>
  <c r="AE119" i="12" s="1"/>
  <c r="AD93" i="12"/>
  <c r="AF93" i="12" s="1"/>
  <c r="AD4" i="12"/>
  <c r="AF4" i="12" s="1"/>
  <c r="AA143" i="12"/>
  <c r="AC143" i="12" s="1"/>
  <c r="Q143" i="12" s="1"/>
  <c r="K143" i="12" s="1"/>
  <c r="AD117" i="12"/>
  <c r="AE117" i="12" s="1"/>
  <c r="AA49" i="12"/>
  <c r="AB49" i="12" s="1"/>
  <c r="P49" i="12" s="1"/>
  <c r="J49" i="12" s="1"/>
  <c r="AD201" i="12"/>
  <c r="AF201" i="12" s="1"/>
  <c r="AD200" i="12"/>
  <c r="AE200" i="12" s="1"/>
  <c r="AA97" i="12"/>
  <c r="AB97" i="12" s="1"/>
  <c r="P97" i="12" s="1"/>
  <c r="J97" i="12" s="1"/>
  <c r="AA194" i="12"/>
  <c r="AB194" i="12" s="1"/>
  <c r="P194" i="12" s="1"/>
  <c r="J194" i="12" s="1"/>
  <c r="AA183" i="12"/>
  <c r="AB183" i="12" s="1"/>
  <c r="P183" i="12" s="1"/>
  <c r="J183" i="12" s="1"/>
  <c r="AA12" i="12"/>
  <c r="AC12" i="12" s="1"/>
  <c r="Q12" i="12" s="1"/>
  <c r="K12" i="12" s="1"/>
  <c r="AA7" i="12"/>
  <c r="AB7" i="12" s="1"/>
  <c r="P7" i="12" s="1"/>
  <c r="J7" i="12" s="1"/>
  <c r="AA66" i="12"/>
  <c r="AC66" i="12" s="1"/>
  <c r="Q66" i="12" s="1"/>
  <c r="K66" i="12" s="1"/>
  <c r="AA40" i="12"/>
  <c r="AC40" i="12" s="1"/>
  <c r="Q40" i="12" s="1"/>
  <c r="K40" i="12" s="1"/>
  <c r="AA121" i="12"/>
  <c r="AC121" i="12" s="1"/>
  <c r="Q121" i="12" s="1"/>
  <c r="K121" i="12" s="1"/>
  <c r="AA86" i="12"/>
  <c r="AC86" i="12" s="1"/>
  <c r="Q86" i="12" s="1"/>
  <c r="K86" i="12" s="1"/>
  <c r="AA168" i="12"/>
  <c r="AC168" i="12" s="1"/>
  <c r="Q168" i="12" s="1"/>
  <c r="K168" i="12" s="1"/>
  <c r="AA73" i="12"/>
  <c r="AB73" i="12" s="1"/>
  <c r="P73" i="12" s="1"/>
  <c r="J73" i="12" s="1"/>
  <c r="AA101" i="12"/>
  <c r="AB101" i="12" s="1"/>
  <c r="P101" i="12" s="1"/>
  <c r="J101" i="12" s="1"/>
  <c r="AA196" i="12"/>
  <c r="AC196" i="12" s="1"/>
  <c r="Q196" i="12" s="1"/>
  <c r="K196" i="12" s="1"/>
  <c r="AA141" i="12"/>
  <c r="AB141" i="12" s="1"/>
  <c r="P141" i="12" s="1"/>
  <c r="J141" i="12" s="1"/>
  <c r="AA146" i="12"/>
  <c r="AB146" i="12" s="1"/>
  <c r="P146" i="12" s="1"/>
  <c r="J146" i="12" s="1"/>
  <c r="AD81" i="12"/>
  <c r="AE81" i="12" s="1"/>
  <c r="AA100" i="12"/>
  <c r="AB100" i="12" s="1"/>
  <c r="P100" i="12" s="1"/>
  <c r="J100" i="12" s="1"/>
  <c r="AD78" i="12"/>
  <c r="AE78" i="12" s="1"/>
  <c r="AA122" i="12"/>
  <c r="AB122" i="12" s="1"/>
  <c r="P122" i="12" s="1"/>
  <c r="J122" i="12" s="1"/>
  <c r="AD14" i="12"/>
  <c r="AF14" i="12" s="1"/>
  <c r="AA31" i="12"/>
  <c r="AC31" i="12" s="1"/>
  <c r="Q31" i="12" s="1"/>
  <c r="K31" i="12" s="1"/>
  <c r="AA44" i="12"/>
  <c r="AC44" i="12" s="1"/>
  <c r="Q44" i="12" s="1"/>
  <c r="K44" i="12" s="1"/>
  <c r="AD167" i="12"/>
  <c r="AE167" i="12" s="1"/>
  <c r="AA177" i="12"/>
  <c r="AB177" i="12" s="1"/>
  <c r="P177" i="12" s="1"/>
  <c r="J177" i="12" s="1"/>
  <c r="AA5" i="12"/>
  <c r="AB5" i="12" s="1"/>
  <c r="P5" i="12" s="1"/>
  <c r="J5" i="12" s="1"/>
  <c r="AD24" i="12"/>
  <c r="AE24" i="12" s="1"/>
  <c r="AA107" i="12"/>
  <c r="AC107" i="12" s="1"/>
  <c r="Q107" i="12" s="1"/>
  <c r="K107" i="12" s="1"/>
  <c r="AA133" i="12"/>
  <c r="AB133" i="12" s="1"/>
  <c r="P133" i="12" s="1"/>
  <c r="J133" i="12" s="1"/>
  <c r="AA79" i="12"/>
  <c r="AB79" i="12" s="1"/>
  <c r="P79" i="12" s="1"/>
  <c r="J79" i="12" s="1"/>
  <c r="AA103" i="12"/>
  <c r="AC103" i="12" s="1"/>
  <c r="Q103" i="12" s="1"/>
  <c r="K103" i="12" s="1"/>
  <c r="AD63" i="12"/>
  <c r="AF63" i="12" s="1"/>
  <c r="AA112" i="12"/>
  <c r="AB112" i="12" s="1"/>
  <c r="P112" i="12" s="1"/>
  <c r="J112" i="12" s="1"/>
  <c r="AA50" i="12"/>
  <c r="AC50" i="12" s="1"/>
  <c r="Q50" i="12" s="1"/>
  <c r="K50" i="12" s="1"/>
  <c r="AA68" i="12"/>
  <c r="AB68" i="12" s="1"/>
  <c r="P68" i="12" s="1"/>
  <c r="J68" i="12" s="1"/>
  <c r="AA18" i="12"/>
  <c r="AB18" i="12" s="1"/>
  <c r="P18" i="12" s="1"/>
  <c r="J18" i="12" s="1"/>
  <c r="AA198" i="12"/>
  <c r="AC198" i="12" s="1"/>
  <c r="Q198" i="12" s="1"/>
  <c r="K198" i="12" s="1"/>
  <c r="AA147" i="12"/>
  <c r="AB147" i="12" s="1"/>
  <c r="P147" i="12" s="1"/>
  <c r="J147" i="12" s="1"/>
  <c r="AA165" i="12"/>
  <c r="AB165" i="12" s="1"/>
  <c r="P165" i="12" s="1"/>
  <c r="J165" i="12" s="1"/>
  <c r="AA209" i="12"/>
  <c r="AB209" i="12" s="1"/>
  <c r="P209" i="12" s="1"/>
  <c r="J209" i="12" s="1"/>
  <c r="AA51" i="12"/>
  <c r="AC51" i="12" s="1"/>
  <c r="Q51" i="12" s="1"/>
  <c r="K51" i="12" s="1"/>
  <c r="AA91" i="12"/>
  <c r="AC91" i="12" s="1"/>
  <c r="Q91" i="12" s="1"/>
  <c r="K91" i="12" s="1"/>
  <c r="AA199" i="12"/>
  <c r="AC199" i="12" s="1"/>
  <c r="Q199" i="12" s="1"/>
  <c r="K199" i="12" s="1"/>
  <c r="AA80" i="12"/>
  <c r="AB80" i="12" s="1"/>
  <c r="P80" i="12" s="1"/>
  <c r="J80" i="12" s="1"/>
  <c r="AA193" i="12"/>
  <c r="AB193" i="12" s="1"/>
  <c r="P193" i="12" s="1"/>
  <c r="J193" i="12" s="1"/>
  <c r="AD46" i="12"/>
  <c r="AE46" i="12" s="1"/>
  <c r="AD76" i="12"/>
  <c r="AE76" i="12" s="1"/>
  <c r="AB157" i="12"/>
  <c r="P157" i="12" s="1"/>
  <c r="J157" i="12" s="1"/>
  <c r="AC157" i="12"/>
  <c r="Q157" i="12" s="1"/>
  <c r="K157" i="12" s="1"/>
  <c r="AC24" i="12"/>
  <c r="Q24" i="12" s="1"/>
  <c r="K24" i="12" s="1"/>
  <c r="AB24" i="12"/>
  <c r="P24" i="12" s="1"/>
  <c r="J24" i="12" s="1"/>
  <c r="AC38" i="12"/>
  <c r="Q38" i="12" s="1"/>
  <c r="K38" i="12" s="1"/>
  <c r="AB38" i="12"/>
  <c r="P38" i="12" s="1"/>
  <c r="J38" i="12" s="1"/>
  <c r="AC211" i="12"/>
  <c r="Q211" i="12" s="1"/>
  <c r="K211" i="12" s="1"/>
  <c r="AB211" i="12"/>
  <c r="P211" i="12" s="1"/>
  <c r="J211" i="12" s="1"/>
  <c r="AB93" i="12"/>
  <c r="P93" i="12" s="1"/>
  <c r="J93" i="12" s="1"/>
  <c r="AC93" i="12"/>
  <c r="Q93" i="12" s="1"/>
  <c r="K93" i="12" s="1"/>
  <c r="AC65" i="12"/>
  <c r="Q65" i="12" s="1"/>
  <c r="K65" i="12" s="1"/>
  <c r="AB65" i="12"/>
  <c r="P65" i="12" s="1"/>
  <c r="J65" i="12" s="1"/>
  <c r="AB130" i="12"/>
  <c r="P130" i="12" s="1"/>
  <c r="J130" i="12" s="1"/>
  <c r="AC130" i="12"/>
  <c r="Q130" i="12" s="1"/>
  <c r="K130" i="12" s="1"/>
  <c r="AC116" i="12"/>
  <c r="Q116" i="12" s="1"/>
  <c r="K116" i="12" s="1"/>
  <c r="AB116" i="12"/>
  <c r="P116" i="12" s="1"/>
  <c r="J116" i="12" s="1"/>
  <c r="AC98" i="12"/>
  <c r="Q98" i="12" s="1"/>
  <c r="K98" i="12" s="1"/>
  <c r="AB98" i="12"/>
  <c r="P98" i="12" s="1"/>
  <c r="J98" i="12" s="1"/>
  <c r="AC206" i="12"/>
  <c r="Q206" i="12" s="1"/>
  <c r="K206" i="12" s="1"/>
  <c r="AB206" i="12"/>
  <c r="P206" i="12" s="1"/>
  <c r="J206" i="12" s="1"/>
  <c r="AC195" i="12"/>
  <c r="Q195" i="12" s="1"/>
  <c r="K195" i="12" s="1"/>
  <c r="AB195" i="12"/>
  <c r="P195" i="12" s="1"/>
  <c r="J195" i="12" s="1"/>
  <c r="AC178" i="12"/>
  <c r="Q178" i="12" s="1"/>
  <c r="K178" i="12" s="1"/>
  <c r="AB178" i="12"/>
  <c r="P178" i="12" s="1"/>
  <c r="J178" i="12" s="1"/>
  <c r="AB200" i="12"/>
  <c r="P200" i="12" s="1"/>
  <c r="J200" i="12" s="1"/>
  <c r="AC200" i="12"/>
  <c r="Q200" i="12" s="1"/>
  <c r="K200" i="12" s="1"/>
  <c r="AB149" i="12"/>
  <c r="P149" i="12" s="1"/>
  <c r="J149" i="12" s="1"/>
  <c r="AC149" i="12"/>
  <c r="Q149" i="12" s="1"/>
  <c r="K149" i="12" s="1"/>
  <c r="AC45" i="12"/>
  <c r="Q45" i="12" s="1"/>
  <c r="K45" i="12" s="1"/>
  <c r="AB45" i="12"/>
  <c r="P45" i="12" s="1"/>
  <c r="J45" i="12" s="1"/>
  <c r="AC99" i="12"/>
  <c r="Q99" i="12" s="1"/>
  <c r="K99" i="12" s="1"/>
  <c r="AB99" i="12"/>
  <c r="P99" i="12" s="1"/>
  <c r="J99" i="12" s="1"/>
  <c r="AB76" i="12"/>
  <c r="P76" i="12" s="1"/>
  <c r="J76" i="12" s="1"/>
  <c r="AC76" i="12"/>
  <c r="Q76" i="12" s="1"/>
  <c r="K76" i="12" s="1"/>
  <c r="AB119" i="12"/>
  <c r="P119" i="12" s="1"/>
  <c r="J119" i="12" s="1"/>
  <c r="AC119" i="12"/>
  <c r="Q119" i="12" s="1"/>
  <c r="K119" i="12" s="1"/>
  <c r="AC189" i="12"/>
  <c r="Q189" i="12" s="1"/>
  <c r="K189" i="12" s="1"/>
  <c r="AB189" i="12"/>
  <c r="P189" i="12" s="1"/>
  <c r="J189" i="12" s="1"/>
  <c r="AB115" i="12"/>
  <c r="P115" i="12" s="1"/>
  <c r="J115" i="12" s="1"/>
  <c r="AC115" i="12"/>
  <c r="Q115" i="12" s="1"/>
  <c r="K115" i="12" s="1"/>
  <c r="AB144" i="12"/>
  <c r="P144" i="12" s="1"/>
  <c r="J144" i="12" s="1"/>
  <c r="AC144" i="12"/>
  <c r="Q144" i="12" s="1"/>
  <c r="K144" i="12" s="1"/>
  <c r="AB187" i="12"/>
  <c r="P187" i="12" s="1"/>
  <c r="J187" i="12" s="1"/>
  <c r="AC187" i="12"/>
  <c r="Q187" i="12" s="1"/>
  <c r="K187" i="12" s="1"/>
  <c r="AC203" i="12"/>
  <c r="Q203" i="12" s="1"/>
  <c r="K203" i="12" s="1"/>
  <c r="AB203" i="12"/>
  <c r="P203" i="12" s="1"/>
  <c r="J203" i="12" s="1"/>
  <c r="AB105" i="12"/>
  <c r="P105" i="12" s="1"/>
  <c r="J105" i="12" s="1"/>
  <c r="AC105" i="12"/>
  <c r="Q105" i="12" s="1"/>
  <c r="K105" i="12" s="1"/>
  <c r="AB16" i="12"/>
  <c r="P16" i="12" s="1"/>
  <c r="J16" i="12" s="1"/>
  <c r="AC16" i="12"/>
  <c r="Q16" i="12" s="1"/>
  <c r="K16" i="12" s="1"/>
  <c r="AC181" i="12"/>
  <c r="Q181" i="12" s="1"/>
  <c r="K181" i="12" s="1"/>
  <c r="AB181" i="12"/>
  <c r="P181" i="12" s="1"/>
  <c r="J181" i="12" s="1"/>
  <c r="AB182" i="12"/>
  <c r="P182" i="12" s="1"/>
  <c r="J182" i="12" s="1"/>
  <c r="AC182" i="12"/>
  <c r="Q182" i="12" s="1"/>
  <c r="K182" i="12" s="1"/>
  <c r="AB148" i="12"/>
  <c r="P148" i="12" s="1"/>
  <c r="J148" i="12" s="1"/>
  <c r="AC148" i="12"/>
  <c r="Q148" i="12" s="1"/>
  <c r="K148" i="12" s="1"/>
  <c r="AB117" i="12"/>
  <c r="P117" i="12" s="1"/>
  <c r="J117" i="12" s="1"/>
  <c r="AC117" i="12"/>
  <c r="Q117" i="12" s="1"/>
  <c r="K117" i="12" s="1"/>
  <c r="AC20" i="12"/>
  <c r="Q20" i="12" s="1"/>
  <c r="K20" i="12" s="1"/>
  <c r="AB20" i="12"/>
  <c r="P20" i="12" s="1"/>
  <c r="J20" i="12" s="1"/>
  <c r="AB41" i="12"/>
  <c r="P41" i="12" s="1"/>
  <c r="J41" i="12" s="1"/>
  <c r="AC41" i="12"/>
  <c r="Q41" i="12" s="1"/>
  <c r="K41" i="12" s="1"/>
  <c r="AE91" i="12"/>
  <c r="AF91" i="12"/>
  <c r="AF145" i="12"/>
  <c r="AE145" i="12"/>
  <c r="AE58" i="12"/>
  <c r="AF58" i="12"/>
  <c r="AC169" i="12"/>
  <c r="Q169" i="12" s="1"/>
  <c r="K169" i="12" s="1"/>
  <c r="AB169" i="12"/>
  <c r="P169" i="12" s="1"/>
  <c r="J169" i="12" s="1"/>
  <c r="AF158" i="12"/>
  <c r="AE158" i="12"/>
  <c r="AE99" i="12"/>
  <c r="AF99" i="12"/>
  <c r="AE190" i="12"/>
  <c r="AF190" i="12"/>
  <c r="AF44" i="12"/>
  <c r="AE44" i="12"/>
  <c r="AF40" i="12"/>
  <c r="AE40" i="12"/>
  <c r="AE198" i="12"/>
  <c r="AF198" i="12"/>
  <c r="AF75" i="12"/>
  <c r="AE75" i="12"/>
  <c r="AF95" i="12"/>
  <c r="AE95" i="12"/>
  <c r="AF153" i="12"/>
  <c r="AE153" i="12"/>
  <c r="AE192" i="12"/>
  <c r="AF192" i="12"/>
  <c r="AF194" i="12"/>
  <c r="AE194" i="12"/>
  <c r="AE114" i="12"/>
  <c r="AF114" i="12"/>
  <c r="AF60" i="12"/>
  <c r="AE60" i="12"/>
  <c r="AF83" i="12"/>
  <c r="AE83" i="12"/>
  <c r="AE55" i="12"/>
  <c r="AF55" i="12"/>
  <c r="AF7" i="12"/>
  <c r="AE7" i="12"/>
  <c r="AF49" i="12"/>
  <c r="AE49" i="12"/>
  <c r="AF118" i="12"/>
  <c r="AE118" i="12"/>
  <c r="AE204" i="12"/>
  <c r="AF204" i="12"/>
  <c r="AF210" i="12"/>
  <c r="AE210" i="12"/>
  <c r="AF199" i="12"/>
  <c r="AE199" i="12"/>
  <c r="AF27" i="12"/>
  <c r="AE27" i="12"/>
  <c r="AC202" i="12"/>
  <c r="Q202" i="12" s="1"/>
  <c r="K202" i="12" s="1"/>
  <c r="AB202" i="12"/>
  <c r="P202" i="12" s="1"/>
  <c r="J202" i="12" s="1"/>
  <c r="AE133" i="12"/>
  <c r="AF133" i="12"/>
  <c r="AE33" i="12"/>
  <c r="AF33" i="12"/>
  <c r="AE179" i="12"/>
  <c r="AF179" i="12"/>
  <c r="AF160" i="12"/>
  <c r="AE160" i="12"/>
  <c r="AF128" i="12"/>
  <c r="AE128" i="12"/>
  <c r="AE120" i="12"/>
  <c r="AF120" i="12"/>
  <c r="AF144" i="12"/>
  <c r="AE144" i="12"/>
  <c r="AE31" i="12"/>
  <c r="AF31" i="12"/>
  <c r="AF187" i="12"/>
  <c r="AE187" i="12"/>
  <c r="AF105" i="12"/>
  <c r="AE105" i="12"/>
  <c r="AF129" i="12"/>
  <c r="AE129" i="12"/>
  <c r="AE155" i="12"/>
  <c r="AF155" i="12"/>
  <c r="AE152" i="12"/>
  <c r="AF152" i="12"/>
  <c r="AE9" i="12"/>
  <c r="AF9" i="12"/>
  <c r="AF182" i="12"/>
  <c r="AE182" i="12"/>
  <c r="AE43" i="12"/>
  <c r="AF43" i="12"/>
  <c r="AE124" i="12"/>
  <c r="AF124" i="12"/>
  <c r="AE176" i="12"/>
  <c r="AF176" i="12"/>
  <c r="AF85" i="12"/>
  <c r="AE85" i="12"/>
  <c r="AF134" i="12"/>
  <c r="AE134" i="12"/>
  <c r="AF53" i="12"/>
  <c r="AE53" i="12"/>
  <c r="AE137" i="12"/>
  <c r="AF137" i="12"/>
  <c r="AF5" i="12"/>
  <c r="AE5" i="12"/>
  <c r="AE41" i="12"/>
  <c r="AF41" i="12"/>
  <c r="AE193" i="12"/>
  <c r="AF193" i="12"/>
  <c r="AF197" i="12"/>
  <c r="AE197" i="12"/>
  <c r="AF69" i="12"/>
  <c r="AE69" i="12"/>
  <c r="AE12" i="12"/>
  <c r="AF12" i="12"/>
  <c r="AE3" i="12"/>
  <c r="AF3" i="12"/>
  <c r="AE195" i="12"/>
  <c r="AF195" i="12"/>
  <c r="AF103" i="12"/>
  <c r="AE103" i="12"/>
  <c r="AF203" i="12"/>
  <c r="AE203" i="12"/>
  <c r="AE18" i="12"/>
  <c r="AF18" i="12"/>
  <c r="AF112" i="12"/>
  <c r="AE112" i="12"/>
  <c r="AE86" i="12"/>
  <c r="AF86" i="12"/>
  <c r="AC10" i="12"/>
  <c r="Q10" i="12" s="1"/>
  <c r="K10" i="12" s="1"/>
  <c r="AB10" i="12"/>
  <c r="P10" i="12" s="1"/>
  <c r="J10" i="12" s="1"/>
  <c r="AC33" i="12"/>
  <c r="Q33" i="12" s="1"/>
  <c r="K33" i="12" s="1"/>
  <c r="AB33" i="12"/>
  <c r="P33" i="12" s="1"/>
  <c r="J33" i="12" s="1"/>
  <c r="AF21" i="12"/>
  <c r="AE21" i="12"/>
  <c r="AF164" i="12"/>
  <c r="AE164" i="12"/>
  <c r="AC127" i="12"/>
  <c r="Q127" i="12" s="1"/>
  <c r="K127" i="12" s="1"/>
  <c r="AB127" i="12"/>
  <c r="P127" i="12" s="1"/>
  <c r="J127" i="12" s="1"/>
  <c r="AB32" i="12"/>
  <c r="P32" i="12" s="1"/>
  <c r="J32" i="12" s="1"/>
  <c r="AC32" i="12"/>
  <c r="Q32" i="12" s="1"/>
  <c r="K32" i="12" s="1"/>
  <c r="AC170" i="12"/>
  <c r="Q170" i="12" s="1"/>
  <c r="K170" i="12" s="1"/>
  <c r="AB170" i="12"/>
  <c r="P170" i="12" s="1"/>
  <c r="J170" i="12" s="1"/>
  <c r="AB131" i="12"/>
  <c r="P131" i="12" s="1"/>
  <c r="J131" i="12" s="1"/>
  <c r="AC131" i="12"/>
  <c r="Q131" i="12" s="1"/>
  <c r="K131" i="12" s="1"/>
  <c r="AC14" i="12"/>
  <c r="Q14" i="12" s="1"/>
  <c r="K14" i="12" s="1"/>
  <c r="AB14" i="12"/>
  <c r="P14" i="12" s="1"/>
  <c r="J14" i="12" s="1"/>
  <c r="AC64" i="12"/>
  <c r="Q64" i="12" s="1"/>
  <c r="K64" i="12" s="1"/>
  <c r="AB64" i="12"/>
  <c r="P64" i="12" s="1"/>
  <c r="J64" i="12" s="1"/>
  <c r="AC188" i="12"/>
  <c r="Q188" i="12" s="1"/>
  <c r="K188" i="12" s="1"/>
  <c r="AB188" i="12"/>
  <c r="P188" i="12" s="1"/>
  <c r="J188" i="12" s="1"/>
  <c r="AB113" i="12"/>
  <c r="P113" i="12" s="1"/>
  <c r="J113" i="12" s="1"/>
  <c r="AC113" i="12"/>
  <c r="Q113" i="12" s="1"/>
  <c r="K113" i="12" s="1"/>
  <c r="AB142" i="12"/>
  <c r="P142" i="12" s="1"/>
  <c r="J142" i="12" s="1"/>
  <c r="AC142" i="12"/>
  <c r="Q142" i="12" s="1"/>
  <c r="K142" i="12" s="1"/>
  <c r="AB57" i="12"/>
  <c r="P57" i="12" s="1"/>
  <c r="J57" i="12" s="1"/>
  <c r="AC57" i="12"/>
  <c r="Q57" i="12" s="1"/>
  <c r="K57" i="12" s="1"/>
  <c r="AE39" i="12"/>
  <c r="AF39" i="12"/>
  <c r="AB123" i="12"/>
  <c r="P123" i="12" s="1"/>
  <c r="J123" i="12" s="1"/>
  <c r="AC123" i="12"/>
  <c r="Q123" i="12" s="1"/>
  <c r="K123" i="12" s="1"/>
  <c r="AB150" i="12"/>
  <c r="P150" i="12" s="1"/>
  <c r="J150" i="12" s="1"/>
  <c r="AC150" i="12"/>
  <c r="Q150" i="12" s="1"/>
  <c r="K150" i="12" s="1"/>
  <c r="AB4" i="12"/>
  <c r="P4" i="12" s="1"/>
  <c r="J4" i="12" s="1"/>
  <c r="AC4" i="12"/>
  <c r="Q4" i="12" s="1"/>
  <c r="K4" i="12" s="1"/>
  <c r="AB35" i="12"/>
  <c r="P35" i="12" s="1"/>
  <c r="J35" i="12" s="1"/>
  <c r="AC35" i="12"/>
  <c r="Q35" i="12" s="1"/>
  <c r="K35" i="12" s="1"/>
  <c r="AB34" i="12"/>
  <c r="P34" i="12" s="1"/>
  <c r="J34" i="12" s="1"/>
  <c r="AC34" i="12"/>
  <c r="Q34" i="12" s="1"/>
  <c r="K34" i="12" s="1"/>
  <c r="AB48" i="12"/>
  <c r="P48" i="12" s="1"/>
  <c r="J48" i="12" s="1"/>
  <c r="AC48" i="12"/>
  <c r="Q48" i="12" s="1"/>
  <c r="K48" i="12" s="1"/>
  <c r="AB109" i="12"/>
  <c r="P109" i="12" s="1"/>
  <c r="J109" i="12" s="1"/>
  <c r="AC109" i="12"/>
  <c r="Q109" i="12" s="1"/>
  <c r="K109" i="12" s="1"/>
  <c r="AB26" i="12"/>
  <c r="P26" i="12" s="1"/>
  <c r="J26" i="12" s="1"/>
  <c r="AC26" i="12"/>
  <c r="Q26" i="12" s="1"/>
  <c r="K26" i="12" s="1"/>
  <c r="AB167" i="12"/>
  <c r="P167" i="12" s="1"/>
  <c r="J167" i="12" s="1"/>
  <c r="AC167" i="12"/>
  <c r="Q167" i="12" s="1"/>
  <c r="K167" i="12" s="1"/>
  <c r="AC63" i="12"/>
  <c r="Q63" i="12" s="1"/>
  <c r="K63" i="12" s="1"/>
  <c r="AB63" i="12"/>
  <c r="P63" i="12" s="1"/>
  <c r="J63" i="12" s="1"/>
  <c r="AC104" i="12"/>
  <c r="Q104" i="12" s="1"/>
  <c r="K104" i="12" s="1"/>
  <c r="AB104" i="12"/>
  <c r="P104" i="12" s="1"/>
  <c r="J104" i="12" s="1"/>
  <c r="AC106" i="12"/>
  <c r="Q106" i="12" s="1"/>
  <c r="K106" i="12" s="1"/>
  <c r="AB106" i="12"/>
  <c r="P106" i="12" s="1"/>
  <c r="J106" i="12" s="1"/>
  <c r="AB17" i="12"/>
  <c r="P17" i="12" s="1"/>
  <c r="J17" i="12" s="1"/>
  <c r="AC17" i="12"/>
  <c r="Q17" i="12" s="1"/>
  <c r="K17" i="12" s="1"/>
  <c r="AF25" i="12"/>
  <c r="AE25" i="12"/>
  <c r="AC72" i="12"/>
  <c r="Q72" i="12" s="1"/>
  <c r="K72" i="12" s="1"/>
  <c r="AB72" i="12"/>
  <c r="P72" i="12" s="1"/>
  <c r="J72" i="12" s="1"/>
  <c r="AB136" i="12"/>
  <c r="P136" i="12" s="1"/>
  <c r="J136" i="12" s="1"/>
  <c r="AC136" i="12"/>
  <c r="Q136" i="12" s="1"/>
  <c r="K136" i="12" s="1"/>
  <c r="AF80" i="12"/>
  <c r="AE80" i="12"/>
  <c r="AF184" i="12"/>
  <c r="AE184" i="12"/>
  <c r="AF177" i="12"/>
  <c r="AE177" i="12"/>
  <c r="AF73" i="12"/>
  <c r="AE73" i="12"/>
  <c r="AC159" i="12"/>
  <c r="Q159" i="12" s="1"/>
  <c r="K159" i="12" s="1"/>
  <c r="AB159" i="12"/>
  <c r="P159" i="12" s="1"/>
  <c r="J159" i="12" s="1"/>
  <c r="AB71" i="12"/>
  <c r="P71" i="12" s="1"/>
  <c r="J71" i="12" s="1"/>
  <c r="AC71" i="12"/>
  <c r="Q71" i="12" s="1"/>
  <c r="K71" i="12" s="1"/>
  <c r="AC81" i="12"/>
  <c r="Q81" i="12" s="1"/>
  <c r="K81" i="12" s="1"/>
  <c r="AB81" i="12"/>
  <c r="P81" i="12" s="1"/>
  <c r="J81" i="12" s="1"/>
  <c r="AC78" i="12"/>
  <c r="Q78" i="12" s="1"/>
  <c r="K78" i="12" s="1"/>
  <c r="AB78" i="12"/>
  <c r="P78" i="12" s="1"/>
  <c r="J78" i="12" s="1"/>
  <c r="AE54" i="12"/>
  <c r="AF54" i="12"/>
  <c r="AE183" i="12"/>
  <c r="AF183" i="12"/>
  <c r="AF61" i="12"/>
  <c r="AE61" i="12"/>
  <c r="AE146" i="12"/>
  <c r="AF146" i="12"/>
  <c r="AE13" i="12"/>
  <c r="AF13" i="12"/>
  <c r="AF37" i="12"/>
  <c r="AE37" i="12"/>
  <c r="AF29" i="12"/>
  <c r="AE29" i="12"/>
  <c r="AF22" i="12"/>
  <c r="AE22" i="12"/>
  <c r="AE141" i="12"/>
  <c r="AF141" i="12"/>
  <c r="AE168" i="12"/>
  <c r="AF168" i="12"/>
  <c r="AE132" i="12"/>
  <c r="AF132" i="12"/>
  <c r="AF8" i="12"/>
  <c r="AE8" i="12"/>
  <c r="AE94" i="12"/>
  <c r="AF94" i="12"/>
  <c r="AF107" i="12"/>
  <c r="AE107" i="12"/>
  <c r="AF59" i="12"/>
  <c r="AE59" i="12"/>
  <c r="AF62" i="12"/>
  <c r="AE62" i="12"/>
  <c r="AF6" i="12"/>
  <c r="AE6" i="12"/>
  <c r="AE47" i="12"/>
  <c r="AF47" i="12"/>
  <c r="AE88" i="12"/>
  <c r="AF88" i="12"/>
  <c r="AF101" i="12"/>
  <c r="AE101" i="12"/>
  <c r="AF196" i="12"/>
  <c r="AE196" i="12"/>
  <c r="AE110" i="12"/>
  <c r="AF110" i="12"/>
  <c r="AE64" i="12"/>
  <c r="AF64" i="12"/>
  <c r="AF171" i="12"/>
  <c r="AE171" i="12"/>
  <c r="AE208" i="12"/>
  <c r="AF208" i="12"/>
  <c r="AE30" i="12"/>
  <c r="AF30" i="12"/>
  <c r="AF68" i="12"/>
  <c r="AE68" i="12"/>
  <c r="AF122" i="12"/>
  <c r="AE122" i="12"/>
  <c r="AF66" i="12"/>
  <c r="AE66" i="12"/>
  <c r="AB39" i="12"/>
  <c r="P39" i="12" s="1"/>
  <c r="J39" i="12" s="1"/>
  <c r="AC39" i="12"/>
  <c r="Q39" i="12" s="1"/>
  <c r="K39" i="12" s="1"/>
  <c r="AE92" i="12"/>
  <c r="AF92" i="12"/>
  <c r="AE108" i="12"/>
  <c r="AF108" i="12"/>
  <c r="AF102" i="12"/>
  <c r="AE102" i="12"/>
  <c r="AE74" i="12"/>
  <c r="AF74" i="12"/>
  <c r="AE84" i="12"/>
  <c r="AF84" i="12"/>
  <c r="AF35" i="12"/>
  <c r="AE35" i="12"/>
  <c r="AE121" i="12"/>
  <c r="AF121" i="12"/>
  <c r="AE11" i="12"/>
  <c r="AF11" i="12"/>
  <c r="AE174" i="12"/>
  <c r="AF174" i="12"/>
  <c r="AE97" i="12"/>
  <c r="AF97" i="12"/>
  <c r="AF23" i="12"/>
  <c r="AE23" i="12"/>
  <c r="AF139" i="12"/>
  <c r="AE139" i="12"/>
  <c r="AF15" i="12"/>
  <c r="AE15" i="12"/>
  <c r="AF87" i="12"/>
  <c r="AE87" i="12"/>
  <c r="AE36" i="12"/>
  <c r="AF36" i="12"/>
  <c r="AF151" i="12"/>
  <c r="AE151" i="12"/>
  <c r="AF180" i="12"/>
  <c r="AE180" i="12"/>
  <c r="AE173" i="12"/>
  <c r="AF173" i="12"/>
  <c r="AE156" i="12"/>
  <c r="AF156" i="12"/>
  <c r="AC166" i="12"/>
  <c r="Q166" i="12" s="1"/>
  <c r="K166" i="12" s="1"/>
  <c r="AB166" i="12"/>
  <c r="P166" i="12" s="1"/>
  <c r="J166" i="12" s="1"/>
  <c r="AE82" i="12"/>
  <c r="AF82" i="12"/>
  <c r="AC201" i="12"/>
  <c r="Q201" i="12" s="1"/>
  <c r="K201" i="12" s="1"/>
  <c r="AB201" i="12"/>
  <c r="P201" i="12" s="1"/>
  <c r="J201" i="12" s="1"/>
  <c r="AE2" i="12"/>
  <c r="AF2" i="12"/>
  <c r="AC111" i="12"/>
  <c r="Q111" i="12" s="1"/>
  <c r="K111" i="12" s="1"/>
  <c r="AB111" i="12"/>
  <c r="P111" i="12" s="1"/>
  <c r="J111" i="12" s="1"/>
  <c r="AC175" i="12"/>
  <c r="Q175" i="12" s="1"/>
  <c r="K175" i="12" s="1"/>
  <c r="AB175" i="12"/>
  <c r="P175" i="12" s="1"/>
  <c r="J175" i="12" s="1"/>
  <c r="AC205" i="12"/>
  <c r="Q205" i="12" s="1"/>
  <c r="K205" i="12" s="1"/>
  <c r="AB205" i="12"/>
  <c r="P205" i="12" s="1"/>
  <c r="J205" i="12" s="1"/>
  <c r="AC70" i="12"/>
  <c r="Q70" i="12" s="1"/>
  <c r="K70" i="12" s="1"/>
  <c r="AB70" i="12"/>
  <c r="P70" i="12" s="1"/>
  <c r="J70" i="12" s="1"/>
  <c r="AB212" i="12"/>
  <c r="P212" i="12" s="1"/>
  <c r="J212" i="12" s="1"/>
  <c r="AC212" i="12"/>
  <c r="Q212" i="12" s="1"/>
  <c r="K212" i="12" s="1"/>
  <c r="AC140" i="12"/>
  <c r="Q140" i="12" s="1"/>
  <c r="K140" i="12" s="1"/>
  <c r="AB140" i="12"/>
  <c r="P140" i="12" s="1"/>
  <c r="J140" i="12" s="1"/>
  <c r="AB162" i="12"/>
  <c r="P162" i="12" s="1"/>
  <c r="J162" i="12" s="1"/>
  <c r="AC162" i="12"/>
  <c r="Q162" i="12" s="1"/>
  <c r="K162" i="12" s="1"/>
  <c r="AF100" i="12"/>
  <c r="AE100" i="12"/>
  <c r="AE138" i="12"/>
  <c r="AF138" i="12"/>
  <c r="AE125" i="12"/>
  <c r="AF125" i="12"/>
  <c r="AF191" i="12"/>
  <c r="AE191" i="12"/>
  <c r="AE126" i="12"/>
  <c r="AF126" i="12"/>
  <c r="AF77" i="12"/>
  <c r="AE77" i="12"/>
  <c r="AE48" i="12"/>
  <c r="AF48" i="12"/>
  <c r="AF143" i="12"/>
  <c r="AE143" i="12"/>
  <c r="AF154" i="12"/>
  <c r="AE154" i="12"/>
  <c r="AF56" i="12"/>
  <c r="AE56" i="12"/>
  <c r="AB186" i="12"/>
  <c r="P186" i="12" s="1"/>
  <c r="J186" i="12" s="1"/>
  <c r="AC186" i="12"/>
  <c r="Q186" i="12" s="1"/>
  <c r="K186" i="12" s="1"/>
  <c r="AB46" i="12"/>
  <c r="P46" i="12" s="1"/>
  <c r="J46" i="12" s="1"/>
  <c r="AC46" i="12"/>
  <c r="Q46" i="12" s="1"/>
  <c r="K46" i="12" s="1"/>
  <c r="AE163" i="12"/>
  <c r="AF163" i="12"/>
  <c r="AF50" i="12"/>
  <c r="AE50" i="12"/>
  <c r="AF51" i="12"/>
  <c r="AE51" i="12"/>
  <c r="AE96" i="12"/>
  <c r="AF96" i="12"/>
  <c r="AC90" i="12"/>
  <c r="Q90" i="12" s="1"/>
  <c r="K90" i="12" s="1"/>
  <c r="AB90" i="12"/>
  <c r="P90" i="12" s="1"/>
  <c r="J90" i="12" s="1"/>
  <c r="AC185" i="12"/>
  <c r="Q185" i="12" s="1"/>
  <c r="K185" i="12" s="1"/>
  <c r="AB185" i="12"/>
  <c r="P185" i="12" s="1"/>
  <c r="J185" i="12" s="1"/>
  <c r="AB42" i="12"/>
  <c r="P42" i="12" s="1"/>
  <c r="J42" i="12" s="1"/>
  <c r="AC42" i="12"/>
  <c r="Q42" i="12" s="1"/>
  <c r="K42" i="12" s="1"/>
  <c r="AB52" i="12"/>
  <c r="P52" i="12" s="1"/>
  <c r="J52" i="12" s="1"/>
  <c r="AC52" i="12"/>
  <c r="Q52" i="12" s="1"/>
  <c r="K52" i="12" s="1"/>
  <c r="AE172" i="12"/>
  <c r="AF172" i="12"/>
  <c r="AE161" i="12"/>
  <c r="AF161" i="12"/>
  <c r="AE135" i="12"/>
  <c r="AF135" i="12"/>
  <c r="AF79" i="12"/>
  <c r="AE79" i="12"/>
  <c r="AE147" i="12"/>
  <c r="AF147" i="12"/>
  <c r="AE19" i="12"/>
  <c r="AF19" i="12"/>
  <c r="AF207" i="12"/>
  <c r="AE207" i="12"/>
  <c r="AE89" i="12"/>
  <c r="AF89" i="12"/>
  <c r="AE28" i="12"/>
  <c r="AF28" i="12"/>
  <c r="AF67" i="12"/>
  <c r="AE67" i="12"/>
  <c r="AE165" i="12"/>
  <c r="AF165" i="12"/>
  <c r="AE209" i="12"/>
  <c r="AF209" i="12"/>
  <c r="AB55" i="12" l="1"/>
  <c r="P55" i="12" s="1"/>
  <c r="J55" i="12" s="1"/>
  <c r="AF16" i="12"/>
  <c r="AE45" i="12"/>
  <c r="AF26" i="12"/>
  <c r="AB151" i="12"/>
  <c r="P151" i="12" s="1"/>
  <c r="J151" i="12" s="1"/>
  <c r="AF72" i="12"/>
  <c r="AF186" i="12"/>
  <c r="AF20" i="12"/>
  <c r="AF136" i="12"/>
  <c r="AB207" i="12"/>
  <c r="P207" i="12" s="1"/>
  <c r="J207" i="12" s="1"/>
  <c r="AC184" i="12"/>
  <c r="Q184" i="12" s="1"/>
  <c r="K184" i="12" s="1"/>
  <c r="AC96" i="12"/>
  <c r="Q96" i="12" s="1"/>
  <c r="K96" i="12" s="1"/>
  <c r="AC11" i="12"/>
  <c r="Q11" i="12" s="1"/>
  <c r="K11" i="12" s="1"/>
  <c r="AB137" i="12"/>
  <c r="P137" i="12" s="1"/>
  <c r="J137" i="12" s="1"/>
  <c r="AC124" i="12"/>
  <c r="Q124" i="12" s="1"/>
  <c r="K124" i="12" s="1"/>
  <c r="AB6" i="12"/>
  <c r="P6" i="12" s="1"/>
  <c r="J6" i="12" s="1"/>
  <c r="AF159" i="12"/>
  <c r="AC13" i="12"/>
  <c r="Q13" i="12" s="1"/>
  <c r="K13" i="12" s="1"/>
  <c r="AB27" i="12"/>
  <c r="P27" i="12" s="1"/>
  <c r="J27" i="12" s="1"/>
  <c r="AB128" i="12"/>
  <c r="P128" i="12" s="1"/>
  <c r="J128" i="12" s="1"/>
  <c r="AE150" i="12"/>
  <c r="AB89" i="12"/>
  <c r="P89" i="12" s="1"/>
  <c r="J89" i="12" s="1"/>
  <c r="AB82" i="12"/>
  <c r="P82" i="12" s="1"/>
  <c r="J82" i="12" s="1"/>
  <c r="AB154" i="12"/>
  <c r="P154" i="12" s="1"/>
  <c r="J154" i="12" s="1"/>
  <c r="AB156" i="12"/>
  <c r="P156" i="12" s="1"/>
  <c r="J156" i="12" s="1"/>
  <c r="AB172" i="12"/>
  <c r="P172" i="12" s="1"/>
  <c r="J172" i="12" s="1"/>
  <c r="AB77" i="12"/>
  <c r="P77" i="12" s="1"/>
  <c r="J77" i="12" s="1"/>
  <c r="AB125" i="12"/>
  <c r="P125" i="12" s="1"/>
  <c r="J125" i="12" s="1"/>
  <c r="AC102" i="12"/>
  <c r="Q102" i="12" s="1"/>
  <c r="K102" i="12" s="1"/>
  <c r="AB21" i="12"/>
  <c r="P21" i="12" s="1"/>
  <c r="J21" i="12" s="1"/>
  <c r="AF206" i="12"/>
  <c r="AC59" i="12"/>
  <c r="Q59" i="12" s="1"/>
  <c r="K59" i="12" s="1"/>
  <c r="AB88" i="12"/>
  <c r="P88" i="12" s="1"/>
  <c r="J88" i="12" s="1"/>
  <c r="AB132" i="12"/>
  <c r="P132" i="12" s="1"/>
  <c r="J132" i="12" s="1"/>
  <c r="AB152" i="12"/>
  <c r="P152" i="12" s="1"/>
  <c r="J152" i="12" s="1"/>
  <c r="AC174" i="12"/>
  <c r="Q174" i="12" s="1"/>
  <c r="K174" i="12" s="1"/>
  <c r="AF57" i="12"/>
  <c r="AE70" i="12"/>
  <c r="AC28" i="12"/>
  <c r="Q28" i="12" s="1"/>
  <c r="K28" i="12" s="1"/>
  <c r="AE34" i="12"/>
  <c r="AC54" i="12"/>
  <c r="Q54" i="12" s="1"/>
  <c r="K54" i="12" s="1"/>
  <c r="AF116" i="12"/>
  <c r="AC15" i="12"/>
  <c r="Q15" i="12" s="1"/>
  <c r="K15" i="12" s="1"/>
  <c r="AE113" i="12"/>
  <c r="AC118" i="12"/>
  <c r="Q118" i="12" s="1"/>
  <c r="K118" i="12" s="1"/>
  <c r="AE115" i="12"/>
  <c r="AC164" i="12"/>
  <c r="Q164" i="12" s="1"/>
  <c r="K164" i="12" s="1"/>
  <c r="AB22" i="12"/>
  <c r="P22" i="12" s="1"/>
  <c r="J22" i="12" s="1"/>
  <c r="AC108" i="12"/>
  <c r="Q108" i="12" s="1"/>
  <c r="K108" i="12" s="1"/>
  <c r="AF178" i="12"/>
  <c r="AE17" i="12"/>
  <c r="AC30" i="12"/>
  <c r="Q30" i="12" s="1"/>
  <c r="K30" i="12" s="1"/>
  <c r="AF169" i="12"/>
  <c r="AB2" i="12"/>
  <c r="P2" i="12" s="1"/>
  <c r="J2" i="12" s="1"/>
  <c r="AC94" i="12"/>
  <c r="Q94" i="12" s="1"/>
  <c r="K94" i="12" s="1"/>
  <c r="AB43" i="12"/>
  <c r="P43" i="12" s="1"/>
  <c r="J43" i="12" s="1"/>
  <c r="AB74" i="12"/>
  <c r="P74" i="12" s="1"/>
  <c r="J74" i="12" s="1"/>
  <c r="AB47" i="12"/>
  <c r="P47" i="12" s="1"/>
  <c r="J47" i="12" s="1"/>
  <c r="AE140" i="12"/>
  <c r="AC120" i="12"/>
  <c r="Q120" i="12" s="1"/>
  <c r="K120" i="12" s="1"/>
  <c r="AF111" i="12"/>
  <c r="AF104" i="12"/>
  <c r="AC110" i="12"/>
  <c r="Q110" i="12" s="1"/>
  <c r="K110" i="12" s="1"/>
  <c r="AB36" i="12"/>
  <c r="P36" i="12" s="1"/>
  <c r="J36" i="12" s="1"/>
  <c r="AE181" i="12"/>
  <c r="AE142" i="12"/>
  <c r="AC126" i="12"/>
  <c r="Q126" i="12" s="1"/>
  <c r="K126" i="12" s="1"/>
  <c r="AE212" i="12"/>
  <c r="AC67" i="12"/>
  <c r="Q67" i="12" s="1"/>
  <c r="K67" i="12" s="1"/>
  <c r="AB83" i="12"/>
  <c r="P83" i="12" s="1"/>
  <c r="J83" i="12" s="1"/>
  <c r="AC25" i="12"/>
  <c r="Q25" i="12" s="1"/>
  <c r="K25" i="12" s="1"/>
  <c r="AB85" i="12"/>
  <c r="P85" i="12" s="1"/>
  <c r="J85" i="12" s="1"/>
  <c r="AB19" i="12"/>
  <c r="P19" i="12" s="1"/>
  <c r="J19" i="12" s="1"/>
  <c r="AB191" i="12"/>
  <c r="P191" i="12" s="1"/>
  <c r="J191" i="12" s="1"/>
  <c r="AC204" i="12"/>
  <c r="Q204" i="12" s="1"/>
  <c r="K204" i="12" s="1"/>
  <c r="AF167" i="12"/>
  <c r="AE149" i="12"/>
  <c r="AC53" i="12"/>
  <c r="Q53" i="12" s="1"/>
  <c r="K53" i="12" s="1"/>
  <c r="AC180" i="12"/>
  <c r="Q180" i="12" s="1"/>
  <c r="K180" i="12" s="1"/>
  <c r="AF71" i="12"/>
  <c r="AC173" i="12"/>
  <c r="Q173" i="12" s="1"/>
  <c r="K173" i="12" s="1"/>
  <c r="AB192" i="12"/>
  <c r="P192" i="12" s="1"/>
  <c r="J192" i="12" s="1"/>
  <c r="AE185" i="12"/>
  <c r="AF90" i="12"/>
  <c r="AB58" i="12"/>
  <c r="P58" i="12" s="1"/>
  <c r="J58" i="12" s="1"/>
  <c r="AB61" i="12"/>
  <c r="P61" i="12" s="1"/>
  <c r="J61" i="12" s="1"/>
  <c r="AC171" i="12"/>
  <c r="Q171" i="12" s="1"/>
  <c r="K171" i="12" s="1"/>
  <c r="AB161" i="12"/>
  <c r="P161" i="12" s="1"/>
  <c r="J161" i="12" s="1"/>
  <c r="AF200" i="12"/>
  <c r="AF98" i="12"/>
  <c r="AC179" i="12"/>
  <c r="Q179" i="12" s="1"/>
  <c r="K179" i="12" s="1"/>
  <c r="AF205" i="12"/>
  <c r="AB160" i="12"/>
  <c r="P160" i="12" s="1"/>
  <c r="J160" i="12" s="1"/>
  <c r="AB69" i="12"/>
  <c r="P69" i="12" s="1"/>
  <c r="J69" i="12" s="1"/>
  <c r="AC29" i="12"/>
  <c r="Q29" i="12" s="1"/>
  <c r="K29" i="12" s="1"/>
  <c r="AC135" i="12"/>
  <c r="Q135" i="12" s="1"/>
  <c r="K135" i="12" s="1"/>
  <c r="AF157" i="12"/>
  <c r="AF81" i="12"/>
  <c r="AE162" i="12"/>
  <c r="AF175" i="12"/>
  <c r="AB121" i="12"/>
  <c r="P121" i="12" s="1"/>
  <c r="J121" i="12" s="1"/>
  <c r="AB8" i="12"/>
  <c r="P8" i="12" s="1"/>
  <c r="J8" i="12" s="1"/>
  <c r="AC100" i="12"/>
  <c r="Q100" i="12" s="1"/>
  <c r="K100" i="12" s="1"/>
  <c r="AF166" i="12"/>
  <c r="AB37" i="12"/>
  <c r="P37" i="12" s="1"/>
  <c r="J37" i="12" s="1"/>
  <c r="AC97" i="12"/>
  <c r="Q97" i="12" s="1"/>
  <c r="K97" i="12" s="1"/>
  <c r="AB62" i="12"/>
  <c r="P62" i="12" s="1"/>
  <c r="J62" i="12" s="1"/>
  <c r="AE38" i="12"/>
  <c r="AC5" i="12"/>
  <c r="Q5" i="12" s="1"/>
  <c r="K5" i="12" s="1"/>
  <c r="AB153" i="12"/>
  <c r="P153" i="12" s="1"/>
  <c r="J153" i="12" s="1"/>
  <c r="AB84" i="12"/>
  <c r="P84" i="12" s="1"/>
  <c r="J84" i="12" s="1"/>
  <c r="AC134" i="12"/>
  <c r="Q134" i="12" s="1"/>
  <c r="K134" i="12" s="1"/>
  <c r="AC210" i="12"/>
  <c r="Q210" i="12" s="1"/>
  <c r="K210" i="12" s="1"/>
  <c r="AB208" i="12"/>
  <c r="P208" i="12" s="1"/>
  <c r="J208" i="12" s="1"/>
  <c r="AB86" i="12"/>
  <c r="P86" i="12" s="1"/>
  <c r="J86" i="12" s="1"/>
  <c r="AC129" i="12"/>
  <c r="Q129" i="12" s="1"/>
  <c r="K129" i="12" s="1"/>
  <c r="AF42" i="12"/>
  <c r="AC190" i="12"/>
  <c r="Q190" i="12" s="1"/>
  <c r="K190" i="12" s="1"/>
  <c r="AB158" i="12"/>
  <c r="P158" i="12" s="1"/>
  <c r="J158" i="12" s="1"/>
  <c r="AE106" i="12"/>
  <c r="AC75" i="12"/>
  <c r="Q75" i="12" s="1"/>
  <c r="K75" i="12" s="1"/>
  <c r="AE170" i="12"/>
  <c r="AE32" i="12"/>
  <c r="AB95" i="12"/>
  <c r="P95" i="12" s="1"/>
  <c r="J95" i="12" s="1"/>
  <c r="AE202" i="12"/>
  <c r="AF131" i="12"/>
  <c r="AE123" i="12"/>
  <c r="AC92" i="12"/>
  <c r="Q92" i="12" s="1"/>
  <c r="K92" i="12" s="1"/>
  <c r="AB138" i="12"/>
  <c r="P138" i="12" s="1"/>
  <c r="J138" i="12" s="1"/>
  <c r="AB163" i="12"/>
  <c r="P163" i="12" s="1"/>
  <c r="J163" i="12" s="1"/>
  <c r="AF127" i="12"/>
  <c r="AE10" i="12"/>
  <c r="AC23" i="12"/>
  <c r="Q23" i="12" s="1"/>
  <c r="K23" i="12" s="1"/>
  <c r="AE188" i="12"/>
  <c r="AB114" i="12"/>
  <c r="P114" i="12" s="1"/>
  <c r="J114" i="12" s="1"/>
  <c r="AB176" i="12"/>
  <c r="P176" i="12" s="1"/>
  <c r="J176" i="12" s="1"/>
  <c r="AF52" i="12"/>
  <c r="AB168" i="12"/>
  <c r="P168" i="12" s="1"/>
  <c r="J168" i="12" s="1"/>
  <c r="AB56" i="12"/>
  <c r="P56" i="12" s="1"/>
  <c r="J56" i="12" s="1"/>
  <c r="AF189" i="12"/>
  <c r="AF65" i="12"/>
  <c r="AC197" i="12"/>
  <c r="Q197" i="12" s="1"/>
  <c r="K197" i="12" s="1"/>
  <c r="AF130" i="12"/>
  <c r="AE4" i="12"/>
  <c r="AF211" i="12"/>
  <c r="AB155" i="12"/>
  <c r="P155" i="12" s="1"/>
  <c r="J155" i="12" s="1"/>
  <c r="AF76" i="12"/>
  <c r="AB66" i="12"/>
  <c r="P66" i="12" s="1"/>
  <c r="J66" i="12" s="1"/>
  <c r="AC141" i="12"/>
  <c r="Q141" i="12" s="1"/>
  <c r="K141" i="12" s="1"/>
  <c r="AE93" i="12"/>
  <c r="AB44" i="12"/>
  <c r="P44" i="12" s="1"/>
  <c r="J44" i="12" s="1"/>
  <c r="AB145" i="12"/>
  <c r="P145" i="12" s="1"/>
  <c r="J145" i="12" s="1"/>
  <c r="AE109" i="12"/>
  <c r="AF78" i="12"/>
  <c r="AC87" i="12"/>
  <c r="Q87" i="12" s="1"/>
  <c r="K87" i="12" s="1"/>
  <c r="AC139" i="12"/>
  <c r="Q139" i="12" s="1"/>
  <c r="K139" i="12" s="1"/>
  <c r="AC165" i="12"/>
  <c r="Q165" i="12" s="1"/>
  <c r="K165" i="12" s="1"/>
  <c r="AC194" i="12"/>
  <c r="Q194" i="12" s="1"/>
  <c r="K194" i="12" s="1"/>
  <c r="AC49" i="12"/>
  <c r="Q49" i="12" s="1"/>
  <c r="K49" i="12" s="1"/>
  <c r="AE148" i="12"/>
  <c r="AC9" i="12"/>
  <c r="Q9" i="12" s="1"/>
  <c r="K9" i="12" s="1"/>
  <c r="AB50" i="12"/>
  <c r="P50" i="12" s="1"/>
  <c r="J50" i="12" s="1"/>
  <c r="AF119" i="12"/>
  <c r="AB60" i="12"/>
  <c r="P60" i="12" s="1"/>
  <c r="J60" i="12" s="1"/>
  <c r="AE63" i="12"/>
  <c r="AB40" i="12"/>
  <c r="P40" i="12" s="1"/>
  <c r="J40" i="12" s="1"/>
  <c r="AB3" i="12"/>
  <c r="P3" i="12" s="1"/>
  <c r="J3" i="12" s="1"/>
  <c r="AE201" i="12"/>
  <c r="AC209" i="12"/>
  <c r="Q209" i="12" s="1"/>
  <c r="K209" i="12" s="1"/>
  <c r="AC146" i="12"/>
  <c r="Q146" i="12" s="1"/>
  <c r="K146" i="12" s="1"/>
  <c r="AC101" i="12"/>
  <c r="Q101" i="12" s="1"/>
  <c r="K101" i="12" s="1"/>
  <c r="AB12" i="12"/>
  <c r="P12" i="12" s="1"/>
  <c r="J12" i="12" s="1"/>
  <c r="AC112" i="12"/>
  <c r="Q112" i="12" s="1"/>
  <c r="K112" i="12" s="1"/>
  <c r="AC79" i="12"/>
  <c r="Q79" i="12" s="1"/>
  <c r="K79" i="12" s="1"/>
  <c r="AF46" i="12"/>
  <c r="AF117" i="12"/>
  <c r="AC7" i="12"/>
  <c r="Q7" i="12" s="1"/>
  <c r="K7" i="12" s="1"/>
  <c r="AC147" i="12"/>
  <c r="Q147" i="12" s="1"/>
  <c r="K147" i="12" s="1"/>
  <c r="AB31" i="12"/>
  <c r="P31" i="12" s="1"/>
  <c r="J31" i="12" s="1"/>
  <c r="AB196" i="12"/>
  <c r="P196" i="12" s="1"/>
  <c r="J196" i="12" s="1"/>
  <c r="AB199" i="12"/>
  <c r="P199" i="12" s="1"/>
  <c r="J199" i="12" s="1"/>
  <c r="AB103" i="12"/>
  <c r="P103" i="12" s="1"/>
  <c r="J103" i="12" s="1"/>
  <c r="AC133" i="12"/>
  <c r="Q133" i="12" s="1"/>
  <c r="K133" i="12" s="1"/>
  <c r="AE14" i="12"/>
  <c r="AB198" i="12"/>
  <c r="P198" i="12" s="1"/>
  <c r="J198" i="12" s="1"/>
  <c r="AC193" i="12"/>
  <c r="Q193" i="12" s="1"/>
  <c r="K193" i="12" s="1"/>
  <c r="AB143" i="12"/>
  <c r="P143" i="12" s="1"/>
  <c r="J143" i="12" s="1"/>
  <c r="AB91" i="12"/>
  <c r="P91" i="12" s="1"/>
  <c r="J91" i="12" s="1"/>
  <c r="AC183" i="12"/>
  <c r="Q183" i="12" s="1"/>
  <c r="K183" i="12" s="1"/>
  <c r="AC122" i="12"/>
  <c r="Q122" i="12" s="1"/>
  <c r="K122" i="12" s="1"/>
  <c r="AC73" i="12"/>
  <c r="Q73" i="12" s="1"/>
  <c r="K73" i="12" s="1"/>
  <c r="AC177" i="12"/>
  <c r="Q177" i="12" s="1"/>
  <c r="K177" i="12" s="1"/>
  <c r="AC68" i="12"/>
  <c r="Q68" i="12" s="1"/>
  <c r="K68" i="12" s="1"/>
  <c r="AF24" i="12"/>
  <c r="AB107" i="12"/>
  <c r="P107" i="12" s="1"/>
  <c r="J107" i="12" s="1"/>
  <c r="AC80" i="12"/>
  <c r="Q80" i="12" s="1"/>
  <c r="K80" i="12" s="1"/>
  <c r="AC18" i="12"/>
  <c r="Q18" i="12" s="1"/>
  <c r="K18" i="12" s="1"/>
  <c r="AB51" i="12"/>
  <c r="P51" i="12" s="1"/>
  <c r="J51" i="12" s="1"/>
  <c r="C20" i="12" l="1"/>
  <c r="F133" i="7" s="1"/>
  <c r="C21" i="12"/>
  <c r="F134" i="7" s="1"/>
  <c r="C19" i="12"/>
  <c r="F135" i="7" s="1"/>
  <c r="F136" i="7" l="1"/>
  <c r="F137" i="7" s="1"/>
  <c r="F138" i="7" s="1"/>
  <c r="F132" i="7"/>
</calcChain>
</file>

<file path=xl/sharedStrings.xml><?xml version="1.0" encoding="utf-8"?>
<sst xmlns="http://schemas.openxmlformats.org/spreadsheetml/2006/main" count="1276" uniqueCount="721">
  <si>
    <t>Name</t>
  </si>
  <si>
    <t>Remarks</t>
  </si>
  <si>
    <t>CLK</t>
  </si>
  <si>
    <t>DATA</t>
  </si>
  <si>
    <t>AGND</t>
  </si>
  <si>
    <t>Pin</t>
  </si>
  <si>
    <t>Purpose</t>
  </si>
  <si>
    <t>Connect to PCB ground plane using multiple vias for good thermal and electrical performance.</t>
  </si>
  <si>
    <t>Validation Options</t>
  </si>
  <si>
    <t>Open</t>
  </si>
  <si>
    <t>Connection For Functional Use</t>
  </si>
  <si>
    <t>Comments</t>
  </si>
  <si>
    <t>Power Stage</t>
  </si>
  <si>
    <t>Vin</t>
  </si>
  <si>
    <t>VDD</t>
  </si>
  <si>
    <t>SW</t>
  </si>
  <si>
    <t>GND</t>
  </si>
  <si>
    <t>BP6</t>
  </si>
  <si>
    <t>BP3</t>
  </si>
  <si>
    <t>AGNDSNS</t>
  </si>
  <si>
    <t>BOOT</t>
  </si>
  <si>
    <t>Bootstrap pin for the internal flying high-side driver</t>
  </si>
  <si>
    <t>Output of the 3.3-V on-board regulator</t>
  </si>
  <si>
    <t>Output of the 6-V on-board regulator</t>
  </si>
  <si>
    <t>Power stage ground return</t>
  </si>
  <si>
    <t>Switched power output of the device.</t>
  </si>
  <si>
    <t>Input Voltage for analog control circuitry.</t>
  </si>
  <si>
    <t>Input power to the power stage</t>
  </si>
  <si>
    <t>ADDR0</t>
  </si>
  <si>
    <t>ADDR1</t>
  </si>
  <si>
    <t>Sets low order 3-bits of the PMBus address</t>
  </si>
  <si>
    <t>Sets high order 3-bits of the PMBus address</t>
  </si>
  <si>
    <t>BPEXT</t>
  </si>
  <si>
    <t>CNTL</t>
  </si>
  <si>
    <t>COMP</t>
  </si>
  <si>
    <t>DIFFO</t>
  </si>
  <si>
    <t>FB</t>
  </si>
  <si>
    <t>MODE</t>
  </si>
  <si>
    <t>PGOOD</t>
  </si>
  <si>
    <t>RT</t>
  </si>
  <si>
    <t>SMBALERT</t>
  </si>
  <si>
    <t>TSNS</t>
  </si>
  <si>
    <t>VOUTS-</t>
  </si>
  <si>
    <t>VOUTS+</t>
  </si>
  <si>
    <t>Thermal Pad</t>
  </si>
  <si>
    <t>Analog ground sense. Provides Kelvin connection point to analog ground for precise current measurement.</t>
  </si>
  <si>
    <t>External BP voltage for BP crossover function.</t>
  </si>
  <si>
    <t>Output of the error amplifier. This regulates the D-CAP and D-CAP2 valley voltage reference for output regulation</t>
  </si>
  <si>
    <t>Output of the differential sense amplifier</t>
  </si>
  <si>
    <t>D-CAP and D-CAP2 control mode selection pin.</t>
  </si>
  <si>
    <t>Power good output.</t>
  </si>
  <si>
    <t>Frequency-setting resistor</t>
  </si>
  <si>
    <t>Output voltage sensing, positive side. This sensing provides remote sensing for PMBus reporting and the voltage control loop</t>
  </si>
  <si>
    <t>Output voltage sensing, negative or common side. This sensing provides remote sensing for PMBus reporting and the voltage control loop</t>
  </si>
  <si>
    <t>PMBus CLK pin</t>
  </si>
  <si>
    <t>PMBus CNTL pin.</t>
  </si>
  <si>
    <t>PMBus DATA pin.</t>
  </si>
  <si>
    <t>SMBus alert pin</t>
  </si>
  <si>
    <t>External temperature sense signal input.</t>
  </si>
  <si>
    <t>COMP requires good local bypassing. Place a bypass capacitor as close as possible to the COMP pin which bypasses COMP to the low impedance analog ground (AGND). This return loop should be kept away from fast switching voltage and main current path, as well as the BP6 current path.</t>
  </si>
  <si>
    <t>Route the VOUTS+ and VOUTS- lines from the desired regulation point back to the device pins as a tightly coupled differential pair.  These traces must be kept away from switching or noisy areas which can add differential-mode noise.</t>
  </si>
  <si>
    <t>Poor bypassing on BP3 can degrade the performance of the regulator.</t>
  </si>
  <si>
    <t>Bypassing the BP6 pin to GND with a low-impedance path is very critical to the stable operation of the TPS544x25 devices.</t>
  </si>
  <si>
    <t>Poor bypassing on VDD can degrade the performance of the regulator.</t>
  </si>
  <si>
    <t>Reasoning</t>
  </si>
  <si>
    <t>Have a 100k resistor connected between the pin to BP3 or to BP6.</t>
  </si>
  <si>
    <t>BP3 bypassed with a 1 µF, 0402, 10V rated or larger capacitor, X5R or better dielectric to AGND, placed as close as possible to the BP3 pin, in order to stabilize LDO.</t>
  </si>
  <si>
    <t>Use a separate ground symbol for GND</t>
  </si>
  <si>
    <t>This ground carries the high current and is noisy</t>
  </si>
  <si>
    <t>Use a 3k effective pull up across the full Bus. DO NOT use a 10k pull-up.</t>
  </si>
  <si>
    <t>Sensing and Control</t>
  </si>
  <si>
    <t>Configuration</t>
  </si>
  <si>
    <t>Controller</t>
  </si>
  <si>
    <t>PMBUS</t>
  </si>
  <si>
    <t>Misc</t>
  </si>
  <si>
    <t>Boot Voltage</t>
  </si>
  <si>
    <t>Safe Operating Area</t>
  </si>
  <si>
    <t>Refer to SOA curves in datasheet (Figure 10 to Figure 19) to derate based on the maximum ambient temperature of the application.</t>
  </si>
  <si>
    <t xml:space="preserve">Feedback pin for the control loop. </t>
  </si>
  <si>
    <t>Feedback pin for the control loop.</t>
  </si>
  <si>
    <t xml:space="preserve">Connect to BP3 for D-CAP2
Connect to AGND for D-CAP
</t>
  </si>
  <si>
    <t>Regulates to nominal 600mV if there is no trim applied to device using VREF_TRIM PMBUS command</t>
  </si>
  <si>
    <t xml:space="preserve">Feedback divider network connected as needed.
Resistor network is between DIFFO &amp; FB and between FB &amp; AGND. </t>
  </si>
  <si>
    <t>Ensure that the feedback divider network gives the appropriate Vout based on the VREF=0.6V (VREF can be trimmed using VREF_TRIM PMBUS command).
The top resistor is connected between DIFFO and FB.
The bottom resistor is connected between FB and AGND.</t>
  </si>
  <si>
    <t>BP6 bypassed with a 4.7 µF, 0402, 16Vrated or larger ceramic capacitor to PGND and GND , placed as close as possible to the BP6 pin, in order to stabilize LDO.</t>
  </si>
  <si>
    <t>The supplied voltage on BPEXT pin must be between 4.5V and 6.5V.</t>
  </si>
  <si>
    <t>The absolute maximum recommended voltage on the BPEXT is 7V only. Please ensure to stay within the recommended voltage of 6.5V</t>
  </si>
  <si>
    <t>If using BPEXT: tied to GND with a 4.7 µF or larger capacitor, placed as close as possible to the BP6 pin. 
If not using BPEXT: tied to GND.</t>
  </si>
  <si>
    <t>Use the table to determine the frequency setting resistor. Use 1% tolerance resistors only and only the exact values given in the table above</t>
  </si>
  <si>
    <t>ADDR0, ADDR1</t>
  </si>
  <si>
    <t>3, 2</t>
  </si>
  <si>
    <t>The ADDR0, ADDR1 resistors must be connected to AGND</t>
  </si>
  <si>
    <t>ADDR0 and ADDR1 resistors should be chosen correctly based one table below.</t>
  </si>
  <si>
    <t>Sets the PMBus address</t>
  </si>
  <si>
    <t>8, 9, 10, 11, 12</t>
  </si>
  <si>
    <t>Snubber Capacitor: 1.0nF 0603 minimum 25V
Snubber Resistor: 0805 1-ohm resistor from SW to PGND “Snubber”</t>
  </si>
  <si>
    <t>You can use a 10 to 100 ohm resistor in series with the trace connecting from the GND at the remote end (desired load ground point) to the VOUTS- pin of the IC. You can use a 0 ohm resistor if you don’t want to use the filter cap between the VOUTS+,VOUTS-nets</t>
  </si>
  <si>
    <t>14, 15, 16, 17, 18, 19, 20</t>
  </si>
  <si>
    <t>Multiple (5qty preferable) 2.2nF-10nF 0402 minimum 25V input capacitor from VIN to GND to minimize high-frequency ringing energy</t>
  </si>
  <si>
    <t>If you have a LC filter at the VIN input, check the resonant frequency of the LC filter and see if that is closer to the loop bandwidth.
LC filter Resonant frequency = 1/ (2 * PI* SQRT(L*C))
Loop Bandwidth = Fsw * (1/5th )</t>
  </si>
  <si>
    <t xml:space="preserve">
</t>
  </si>
  <si>
    <t>For example if Lfilter is 100nH / 0.32mOhm power inductor, combined with 5x 22uF ceramic capacitors creates a high-Q L-C resonant filter at the input to the converter, which could result in ringing and oscillations at the VIN node.
The L-C resonance frequency for the 100nH and 110uF combo is about 50kHz, if this is close to the loop bandwidth of the converter, that is extremely dangerous as the loop and VIN could resonant with each other
Recommend either:
a. Adding higher ESR electrolytic capacitors across the ceramic capacitors to dampen the L-C resonance
b. Adding a resistor to help dampen the L-C resonance.
c. Select an inductor with a higher DCR
The characteristic impedance Sqrt(L/C) is about 13mOhm so the target is to have at least 13mOhms of resistance. 
If you can find an alternate input inductor with 8-15mOhms DCR, that might be the simplest approach. The example Lfilter inductor is 0.32mohm which is too low.</t>
  </si>
  <si>
    <t>The VIN capacitor should be able to give minimum ripple voltage desired for the application. Use WEBENCH to calculate the input capacitance</t>
  </si>
  <si>
    <t>N/A</t>
  </si>
  <si>
    <t>For the TPS544C20 the feedback divider should always be set according to Vout without PMBus programming. The part always boots with Vref = 0.6V and has limited programming range from that level.</t>
  </si>
  <si>
    <t>Bypass with a 4.7-µF capacitor parallel with a 0.1uF capacitor to GND (thermal pad or GND pins). The capacitor should be X5R or better dielectric, 25V or higher rated, 0402 or larger</t>
  </si>
  <si>
    <t>VIN and VDD must be at tied together and at the same voltage for accurate short circuit protection.
You can use a zero ohm resistor to connect VDD to VIN</t>
  </si>
  <si>
    <t>Kelvin Connect to AGND pin only with a low impedance, low noise path. Do not connect to Thermal PAD externally on the board.</t>
  </si>
  <si>
    <t>21, 22, 23, 24, 25</t>
  </si>
  <si>
    <t>Placement or Routing?</t>
  </si>
  <si>
    <t>Adding a space between SW and VOUT node can increase noise immunity against the SW radiating noise across the inductor.</t>
  </si>
  <si>
    <t>Routing</t>
  </si>
  <si>
    <t>Placement</t>
  </si>
  <si>
    <t>Have a large solid ground plane for AGND to minimize impedance of the plane.</t>
  </si>
  <si>
    <t>The AGNDSNS pin must be connected to the AGND pin to ensure accurate current monitoring. This connection must be made on an internal or bottom layer. It should not segment the thermal tab copper area.</t>
  </si>
  <si>
    <t>Place the two resistors as close as possible to the pin</t>
  </si>
  <si>
    <t>PGND</t>
  </si>
  <si>
    <t>Power ground return for controller device</t>
  </si>
  <si>
    <t>Connect to GND at the thermal tab with a minimum of 8 mil wide PCB trace</t>
  </si>
  <si>
    <t xml:space="preserve">Power-stage input bypass capacitors should be as close as physically possible to the VIN and GND pins. 
</t>
  </si>
  <si>
    <t>Additionally, a high-frequency bypass capacitor in 0402 package on the VIN pins can be placed right underneath the IC on the other side of the PCB to reduce switching spikes and associated noise.</t>
  </si>
  <si>
    <t>31, 32</t>
  </si>
  <si>
    <t>Minimize the SW copper area for best noise performance. Route sensitive traces away from the SW and BOOT pins as these nets contain fast switching voltages and lend easily to capacitive coupling.</t>
  </si>
  <si>
    <t>Cin, Cout, L, IC</t>
  </si>
  <si>
    <t>Place the power components (including input/output capacitors, output inductor, and IC device) on one side of the PCB (solder side). At least one or two inner layers/planes should be inserted, connecting to power ground, in order to shield and isolate the small signal traces from noisy power lines.</t>
  </si>
  <si>
    <t>Ensure to provide GND vias for each decoupling capacitor and make the loop as small as possible</t>
  </si>
  <si>
    <t>If this loop area is large, it can sometimes manifest as ground bounce leading to load regulation issues.</t>
  </si>
  <si>
    <t>Analog ground return for control circuitry.</t>
  </si>
  <si>
    <t>VDD should be connected to VIN through a trace from the input copper area. To avoid high frequency noise on VDD, it is recommended to keep the VDD to VIN connection as short as possible to keep the parasitic inductance low. Optionally form a small low-pass R-C between VIN and VDD, with the VDD bypass capacitor (0.1 μF to 1.0 μF) and a 0-Ω to 2-Ω resistor between VIN and VDD.</t>
  </si>
  <si>
    <t xml:space="preserve">PGND is the ground return for the controller. This pin should be connected using a short trace from the pin to the Thermal pad beneath the IC. No other power plane connection should be made between GND and PGND or AGND. </t>
  </si>
  <si>
    <t>Place the pulllup resistor close to the PGOOD pin and route away from SW and other noisy areas.</t>
  </si>
  <si>
    <t>VOUTS+, VOUTS-</t>
  </si>
  <si>
    <t>Place the BPEXT bypass capacitor as close to the pin as possible</t>
  </si>
  <si>
    <t>You can use a 10 to 100 ohm resistor in series with the trace connecting from the Vout at the remote end (desired regulation point) to the VOUTS+ pin of the IC. You can use a 0 ohm resistor if you don’t want to use the filter cap between the VOUTS+,VOUTS-nets</t>
  </si>
  <si>
    <t>If the application has ferrite beads, ensure that the output is take after the ferrite bead. This will adjust the converter for the DC drop across the ferrite bead.</t>
  </si>
  <si>
    <t>It is necessary that the LC resonance of ferrite bead-cap is away from the LC resonance of inductor-Cout. If they resonate at the same frequency then a huge amount of noise can be passed through to the output.</t>
  </si>
  <si>
    <t xml:space="preserve">Connect a Cfilter of 1nF typical between the RSP- RSN pins close to the IC.
The Cfilt should be lower than the value mentioned in the equation below.
Cfilt = 1 / (2*PI*R*Fsw)
R = Series resistance on RSP line + Series resistance on RSN line
Fsw = switching frequency.
</t>
  </si>
  <si>
    <t>This filter cap along with the series resistor helps filter the noise on the RSP, RSN pins. If the resistor use is 0 ohms, then this filter does not have much effect. Having the Cfilt lower than the mentioned equation ensures that the phase shift imposed by the feedback signal by the filter at the control loop cross over frequency is minimal while at the same time maximizing the filtering effect.</t>
  </si>
  <si>
    <t>This resistor helps to break the net – so that during routing the RSP pin is connected to the remote end of the load rather than the Vout at the output of the buck converter. Also this resistor in combination with the capacitor across the RSP-RSN nets can serve as a filter to filter out the high frequency noise on the RS, RSN lines. Please see note on filter capacitor selection.</t>
  </si>
  <si>
    <t>Output of the differential sense amplifier – can be thought of as Vout.</t>
  </si>
  <si>
    <t>Add a placeholder for Rcomp resistor( to use if needed). The Rcomp resistor should be connected to AGND</t>
  </si>
  <si>
    <t>Tied to AGND when not using an external temperature sensor
Refer to WEBENCH schematic for help with this signal.</t>
  </si>
  <si>
    <t>It is also recommended to use a small 1-nF capacitor from TSNS to AGND to improve the noise performance of temperature readings</t>
  </si>
  <si>
    <t>A 0 to 2 Ohm, 0402 size resistor can be added in series with Boot Capacitor to reduce the voltage spikes at switch by slowing down the turn-on of the high-side FET.</t>
  </si>
  <si>
    <t>The boot capacitor should be 0.1uF, 0402, 25V rated (for Vinmax of 18V use 50V rating), X5R.</t>
  </si>
  <si>
    <t>Cin</t>
  </si>
  <si>
    <t>Cout</t>
  </si>
  <si>
    <t>Inductor</t>
  </si>
  <si>
    <t>Snubber</t>
  </si>
  <si>
    <t>Cin needs to be able to handle I­PK_RIPPLE shared across all Cin. Please follow WEBENCH recommendation.</t>
  </si>
  <si>
    <t>Please follow WEBENCH or datasheet recommendation to meet the ripple, transient requirements for your design</t>
  </si>
  <si>
    <t xml:space="preserve">Add atleast 1X100uF and 1X47uF  and 1x10uF and 1x1uF ceramic capacitor as part of the output capacitor bank – to ensure that there are not gaps due to self-resonances. </t>
  </si>
  <si>
    <t>Output filters made of 1uF, 10uF and 100uF capacitors without capacitors between those values often have inter-capacitor resonances that result in noise peaks between the two capacitors internal self-resonance frequencies.</t>
  </si>
  <si>
    <t>Please follow WEBENCH or datasheet recommendations for inductor selection</t>
  </si>
  <si>
    <t>Snubber resistor needs to be able to handle C*V¬2*Fsw power across it.
Typically if the power level is 50mW or less, then 0805 can handle. 
Please check the power rating of the resistor</t>
  </si>
  <si>
    <t>This is the output of the 3.3V LDO regulator inside the IC. This LDO powers the controller.</t>
  </si>
  <si>
    <t>Do not use 10V rated capacitors. The DC bias loss of capacitance on a 10V cap operating at 5.1V output is pretty severe and could compromise the stability of the LDO.
This is the output of the 6V LDO regulator inside the IC. This LDO powers the driver stage of the controller.</t>
  </si>
  <si>
    <t>Kelvin connect to AGNDSNS pin only</t>
  </si>
  <si>
    <t>Do not connect to GND or PGND or Thermal PAD</t>
  </si>
  <si>
    <t>Use a separate ground symbol for AGND</t>
  </si>
  <si>
    <t>This is expected to be a clean ground</t>
  </si>
  <si>
    <t xml:space="preserve">ADDR0 sets low order 3-bits of the PMBus address
ADDR1 sets high order 3 bits of the PMBUS address
</t>
  </si>
  <si>
    <t xml:space="preserve">If you draw the return current flow into GND, it should not cross the AGND copper pour. </t>
  </si>
  <si>
    <t>If the high current path through GND interferes with AGND, it will cause noise to couple into AGND and cause controller to malfunction.</t>
  </si>
  <si>
    <t>CNTL, DATA, CLK, SMBALERT</t>
  </si>
  <si>
    <t>1, 4, 5</t>
  </si>
  <si>
    <t>Keep the ADDR0 resistor local to the device and place it as close as possible to the ADDR0 pin. The resistor should be kept away from fast switching voltage and current paths.</t>
  </si>
  <si>
    <t>Keep the ADDR1 resistor local to the device and place it as close as possible to the ADDR1 pin. The resistor should be kept away from fast switching voltage and current paths.</t>
  </si>
  <si>
    <t>Complete</t>
  </si>
  <si>
    <t>Not Applicable</t>
  </si>
  <si>
    <t>Status</t>
  </si>
  <si>
    <t>All routing for the MODE pin should be placed away from any high voltage switch node (itself and others), such as SW and BOOT to avoid noise coupling. If using DCAP2, be sure to connect to AGND</t>
  </si>
  <si>
    <t>When using TSNS, route traces away from switching areas or high current paths on the layout. Connect to AGND when not in use.</t>
  </si>
  <si>
    <t>Route the FB trace from the DIFFO resistors to the FB pin, keeping the trace as short as possible</t>
  </si>
  <si>
    <t xml:space="preserve">The PCB trace defined as switch node, which connects the SW pins and up-stream of the output inductor should be as short and wide as possible. Use separate via or trace to connect SW node to the snubber. Do not combine these connections. </t>
  </si>
  <si>
    <t xml:space="preserve">The PCB trace defined as switch node, which connects the SW pins and up-stream of the output inductor should be as short and wide as possible. Use separate via or trace to connect SW node to the bootstrap capacitor. Do not combine these connections. </t>
  </si>
  <si>
    <t>Place the boot resistor as close to the pin, followed by the boot capacitor. Route these separate from the SW copper plane.</t>
  </si>
  <si>
    <t>AGND is not connected to the thermal tab or internal ground plane. Kelvin connect back to AGND pin with a low impedance, low noise path.</t>
  </si>
  <si>
    <t xml:space="preserve">It is absolutely critical that GND (pins 13, 14, 15, 16, 17, 18, 19, and 20) be connected directly to the thermal pad underneath the device using a plane. </t>
  </si>
  <si>
    <t>VDD requires good local bypassing. Place bypass capacitors as close as possible to the VDD pin, with a minimum return loop back to GND. Route this loop away from fast switching voltage and main current path, as well as BP6 current path.</t>
  </si>
  <si>
    <t>VDD, BP, VIN, GND, AGND, PGND</t>
  </si>
  <si>
    <t>Use a 3k effective pull up across the full Bus. DO NOT use a 10k pull-up.
The abs max voltage on the CNTL pin is only 7V. It cannot be connected to VIN directly (unless VIN max is below 6.5V)</t>
  </si>
  <si>
    <t>Power ground pad</t>
  </si>
  <si>
    <t>BP3 requires good local bypassing. Place a bypass capacitor as close as possible to the BP3 pin, with a minimum return loop back to AGND and this return loop should be kept away from fast switching voltage and main current path, as well as the BP6 current path.</t>
  </si>
  <si>
    <t>BP6 bypass capacitor carries large switching current for gate driver.  Place BP6 high frequency bypass capacitors as close as possible to the device pins, with a minimum return loop back to GND.</t>
  </si>
  <si>
    <t>PMBus CNTL, DATA, CLK, SMBus Alert pins</t>
  </si>
  <si>
    <t xml:space="preserve">Keep the RT resistor local to the device and place it as close as possible to the RT pin. The resistor should be kept away from fast switching voltage and current paths. Connect the resistor to the low impedance analog ground (AGND). </t>
  </si>
  <si>
    <t>External temperature sense signal input</t>
  </si>
  <si>
    <t>VIN</t>
  </si>
  <si>
    <t>Keep the pullup resistors close to the pin and route these signals away from noisy areas and other noise sensitive traces.</t>
  </si>
  <si>
    <t>Do not use the below addresses.
7-bit Address = 0001000  (8d)
8-bit I2C Write Address of 0x10 (16d)
8-bit I2C Read Address of 0x11 (17d)
a. This is the SMB Reserved Address for the SMBus Host.  While this is not an issue for the TPS544C20, other devices sharing the common PMBus could attempt to contact the Host using this Address.  In addition, some SMBus hosts may attempt to respond to transactions intended for this device due to this address selection.
b. It is recommended considering an alternate PMBus address.</t>
  </si>
  <si>
    <t>Design Calculations</t>
  </si>
  <si>
    <t>Parameter</t>
  </si>
  <si>
    <t>Input</t>
  </si>
  <si>
    <t>Recommended</t>
  </si>
  <si>
    <t>Selected Value</t>
  </si>
  <si>
    <t>Calculated with Selected Value</t>
  </si>
  <si>
    <t>Units</t>
  </si>
  <si>
    <t>Description</t>
  </si>
  <si>
    <t>Choose Device</t>
  </si>
  <si>
    <t>Select IC part number</t>
  </si>
  <si>
    <t>Key</t>
  </si>
  <si>
    <t>V</t>
  </si>
  <si>
    <t>User Entered Value</t>
  </si>
  <si>
    <t>Vin_min_IC</t>
  </si>
  <si>
    <t>IC rated minimum input voltage with internal bias</t>
  </si>
  <si>
    <t>Fixed IC Parameter</t>
  </si>
  <si>
    <t>Vin_max_IC</t>
  </si>
  <si>
    <t>IC rated maximum input voltage</t>
  </si>
  <si>
    <t>Calculated Parameter</t>
  </si>
  <si>
    <t>Vref</t>
  </si>
  <si>
    <t>Internal voltage reference</t>
  </si>
  <si>
    <t>Recommended Component Value</t>
  </si>
  <si>
    <t>Io_max_IC</t>
  </si>
  <si>
    <t>A</t>
  </si>
  <si>
    <t>IC rated maximum output current</t>
  </si>
  <si>
    <t>Design Caution</t>
  </si>
  <si>
    <t>Design Warning</t>
  </si>
  <si>
    <t>EN_rise</t>
  </si>
  <si>
    <t>EN rising voltage threshold</t>
  </si>
  <si>
    <t>EN_fall</t>
  </si>
  <si>
    <t>EN falling voltage threshold</t>
  </si>
  <si>
    <t>Lout</t>
  </si>
  <si>
    <t>µH</t>
  </si>
  <si>
    <t>OCF_response</t>
  </si>
  <si>
    <t>Over current fault response</t>
  </si>
  <si>
    <t>µF</t>
  </si>
  <si>
    <t>kΩ</t>
  </si>
  <si>
    <t>ton_min_max</t>
  </si>
  <si>
    <t>ns</t>
  </si>
  <si>
    <t>Worst case minimum on-time</t>
  </si>
  <si>
    <t>Cff</t>
  </si>
  <si>
    <t>pF</t>
  </si>
  <si>
    <t>Css</t>
  </si>
  <si>
    <t>nF</t>
  </si>
  <si>
    <t>Rdson_HS</t>
  </si>
  <si>
    <t>mΩ</t>
  </si>
  <si>
    <t>High-side FET Rdson</t>
  </si>
  <si>
    <t>Rdson_LS</t>
  </si>
  <si>
    <t>Low-side FET Rdson</t>
  </si>
  <si>
    <t>Cboot</t>
  </si>
  <si>
    <t>Input System Parameters</t>
  </si>
  <si>
    <t>Rpg</t>
  </si>
  <si>
    <t>Vin_min</t>
  </si>
  <si>
    <t>Minimum input voltage</t>
  </si>
  <si>
    <t>Vin_nom</t>
  </si>
  <si>
    <t>Nominal input voltage</t>
  </si>
  <si>
    <t>Vin_max</t>
  </si>
  <si>
    <t>Maximum input voltage</t>
  </si>
  <si>
    <t>Vout</t>
  </si>
  <si>
    <t>Output voltage</t>
  </si>
  <si>
    <t>Iout</t>
  </si>
  <si>
    <t>Maximum output current</t>
  </si>
  <si>
    <t>Select the Switching Frequency (RT pin)</t>
  </si>
  <si>
    <t>fsw_max_ton</t>
  </si>
  <si>
    <t>kHz</t>
  </si>
  <si>
    <t>Maximum fsw limited by Vin_max and minimum on-time</t>
  </si>
  <si>
    <t>fsw_max_toff</t>
  </si>
  <si>
    <t>fsw_select</t>
  </si>
  <si>
    <t>Recommended RT resistor to AGND</t>
  </si>
  <si>
    <t>Selected RT resistor value</t>
  </si>
  <si>
    <t>fsw_calculated</t>
  </si>
  <si>
    <t>Choose the Output Inductor (Lout)</t>
  </si>
  <si>
    <t>The inductance is selected based on a p-p ripple current target. Smaller L reduces solution size while larger L reduces AC loss.</t>
  </si>
  <si>
    <t>Kind</t>
  </si>
  <si>
    <t>Target ripple/Iout ratio (typically between 0.2 to 0.4)</t>
  </si>
  <si>
    <t>L_target</t>
  </si>
  <si>
    <t>L_min</t>
  </si>
  <si>
    <t>L_max</t>
  </si>
  <si>
    <t>Selected inductance</t>
  </si>
  <si>
    <t>DCR</t>
  </si>
  <si>
    <t>DC resistance of selected inductor</t>
  </si>
  <si>
    <t>Tol_L</t>
  </si>
  <si>
    <t>Tolerance of inductance for selected inductor</t>
  </si>
  <si>
    <t>Iripple_max</t>
  </si>
  <si>
    <t>Inductor ripple current at Vin_max (includes Tol_L, used for DC ripple calculations)</t>
  </si>
  <si>
    <t>Ipeak</t>
  </si>
  <si>
    <t>Full load peak current at Vin_max</t>
  </si>
  <si>
    <t>Irms</t>
  </si>
  <si>
    <t>Inductor rms current at Vin_max</t>
  </si>
  <si>
    <t>Iripple_min</t>
  </si>
  <si>
    <t>Inductor ripple current at Vin_min (includes Tol_L)</t>
  </si>
  <si>
    <t>Choose the Output Capacitor (Cout)</t>
  </si>
  <si>
    <t>The output capacitance is deteremind based on the output ripple, transient and stability requirements. These calculations do not support mixed type output capacitors.</t>
  </si>
  <si>
    <t>Io_step</t>
  </si>
  <si>
    <t>Iout load transient step</t>
  </si>
  <si>
    <t>dVo_trans</t>
  </si>
  <si>
    <t>Target Vout overshoot/undershoot after load step</t>
  </si>
  <si>
    <t>dVo_dc</t>
  </si>
  <si>
    <t>Target steady state Vout voltage ripple</t>
  </si>
  <si>
    <t>Cout_ripple</t>
  </si>
  <si>
    <t>Min Cout for DC ripple requirement (ignores ESR)</t>
  </si>
  <si>
    <t>Cout_stability</t>
  </si>
  <si>
    <t>Min Cout for stability (f_LC &lt; fsw/30)</t>
  </si>
  <si>
    <t>Cout_min</t>
  </si>
  <si>
    <t>Recommended min Cout (must include any derating due to DC/AC bias, temp and/or tolerance)</t>
  </si>
  <si>
    <t>ESR_trans</t>
  </si>
  <si>
    <t>Max ESR to meet load step transient requirement</t>
  </si>
  <si>
    <t>ESR_ripple</t>
  </si>
  <si>
    <t>Max ESR to meet ripple requirement</t>
  </si>
  <si>
    <t>ESR_max</t>
  </si>
  <si>
    <t>mV</t>
  </si>
  <si>
    <t>Vo_ripple</t>
  </si>
  <si>
    <t>Estimated capacitive + resistive DC ripple (ignores ESL)</t>
  </si>
  <si>
    <t>Choose the Input Capacitor (Cin)</t>
  </si>
  <si>
    <t>The input capacitance is deteremind based on the input ripple requirements. Additional bulk input capacitance may be needed for transients. 0.1µF high frequency bypass capacitors are also required.</t>
  </si>
  <si>
    <t>Vi_ripple_rec</t>
  </si>
  <si>
    <t>Recommended DC input voltage ripple (2% min Vin)</t>
  </si>
  <si>
    <t>Vi_ripple_target</t>
  </si>
  <si>
    <t>Target DC input voltage ripple</t>
  </si>
  <si>
    <t>Cin_min</t>
  </si>
  <si>
    <t>Vi_ripple</t>
  </si>
  <si>
    <t>Iin_rms</t>
  </si>
  <si>
    <t>Input RMS current</t>
  </si>
  <si>
    <t>Calculated top resistor</t>
  </si>
  <si>
    <t>Selected top resistor</t>
  </si>
  <si>
    <t>Selected Cboot</t>
  </si>
  <si>
    <t>Rpg_rec</t>
  </si>
  <si>
    <t>1k-100k recommended</t>
  </si>
  <si>
    <t>Selected Rpg</t>
  </si>
  <si>
    <t>Part #</t>
  </si>
  <si>
    <t>VIN_min</t>
  </si>
  <si>
    <t>VIN_max</t>
  </si>
  <si>
    <t>Io,rated</t>
  </si>
  <si>
    <t>tonmin</t>
  </si>
  <si>
    <t>OC Fault</t>
  </si>
  <si>
    <t>toffmin</t>
  </si>
  <si>
    <t>R_HS</t>
  </si>
  <si>
    <t>R_LS</t>
  </si>
  <si>
    <t>I_ss</t>
  </si>
  <si>
    <t>FCCM</t>
  </si>
  <si>
    <t>Hiccup</t>
  </si>
  <si>
    <t>Recommended Component Values from Calculator</t>
  </si>
  <si>
    <t>Component units</t>
  </si>
  <si>
    <t>Tied to AGND with a 10 nF capacitor, 0402, 16V rated, X5R or better dielectric if using D-CAP2</t>
  </si>
  <si>
    <t>Select the Soft-Start time (SS pin)</t>
  </si>
  <si>
    <t>ms</t>
  </si>
  <si>
    <t>TPS54824</t>
  </si>
  <si>
    <t>TPS54A24</t>
  </si>
  <si>
    <t>TPS54622</t>
  </si>
  <si>
    <t>Target turn on voltage set by EN resistor divider</t>
  </si>
  <si>
    <t>Ren_b</t>
  </si>
  <si>
    <t>Ren_t_calc</t>
  </si>
  <si>
    <t>Ren_t</t>
  </si>
  <si>
    <t>Vstart_typ</t>
  </si>
  <si>
    <t>Estimated typical turn on voltage with selected resistors
(Red if below Vin_min, Yellow if near Vin_min)</t>
  </si>
  <si>
    <t>Vstop_typ</t>
  </si>
  <si>
    <t>Estimated typical turn off voltage with selected resistors</t>
  </si>
  <si>
    <t>Maxiumum voltage on EN pin (Red if above absolute max, Yellow if bellow enable logic level)</t>
  </si>
  <si>
    <t>fpole ps</t>
  </si>
  <si>
    <t>fco1 between ps pole and zero (DS Equation)</t>
  </si>
  <si>
    <t>fco2 between ps pole and fsw/2 (DS Equation)</t>
  </si>
  <si>
    <t>Crossover Frequency Target (fco)</t>
  </si>
  <si>
    <t>fzero_ESR</t>
  </si>
  <si>
    <t>fco</t>
  </si>
  <si>
    <t>Ccomp chosen</t>
  </si>
  <si>
    <t>Cpole chosen</t>
  </si>
  <si>
    <t>Cff at fsw/5 and nearest STD value</t>
  </si>
  <si>
    <t>fzero Cff</t>
  </si>
  <si>
    <t>fpole Cff</t>
  </si>
  <si>
    <t>fzero_ff</t>
  </si>
  <si>
    <t>fpole_ff</t>
  </si>
  <si>
    <t>Vout_calc</t>
  </si>
  <si>
    <t>Calculated Vout (yellow if not within 1% of target Vout)</t>
  </si>
  <si>
    <t>BOOT bypass capacitor, PGOOD resistor</t>
  </si>
  <si>
    <t>gmea</t>
  </si>
  <si>
    <t>gmps</t>
  </si>
  <si>
    <t>Hide Sheet</t>
  </si>
  <si>
    <t>Std. Resistors</t>
  </si>
  <si>
    <t>Capacitors</t>
  </si>
  <si>
    <t>Enter resistor value</t>
  </si>
  <si>
    <t>E6</t>
  </si>
  <si>
    <t>E96</t>
  </si>
  <si>
    <t>Cap value</t>
  </si>
  <si>
    <t>Closest E6 Value</t>
  </si>
  <si>
    <t>Closest E12 Value</t>
  </si>
  <si>
    <t>C values up to 10nF</t>
  </si>
  <si>
    <t>Closest E24 Value</t>
  </si>
  <si>
    <t>Closest E48 Value</t>
  </si>
  <si>
    <t>Closest E96 Value</t>
  </si>
  <si>
    <t>Notes:</t>
  </si>
  <si>
    <t>If I use the value in column K it rounds up</t>
  </si>
  <si>
    <t>E12</t>
  </si>
  <si>
    <t>If I use the value in column J it rounds down</t>
  </si>
  <si>
    <t>C values greater than 10nF</t>
  </si>
  <si>
    <t>E24</t>
  </si>
  <si>
    <t>E48</t>
  </si>
  <si>
    <t>fsw</t>
  </si>
  <si>
    <t>Rdc</t>
  </si>
  <si>
    <t>Ω</t>
  </si>
  <si>
    <t>Istart</t>
  </si>
  <si>
    <t>Se</t>
  </si>
  <si>
    <t>A/V</t>
  </si>
  <si>
    <t>µA</t>
  </si>
  <si>
    <t>EA BW</t>
  </si>
  <si>
    <t>Hz</t>
  </si>
  <si>
    <t>Iss</t>
  </si>
  <si>
    <t>Values for plotting</t>
  </si>
  <si>
    <t>From design equations</t>
  </si>
  <si>
    <t>Anticipated type 3 ea phase</t>
  </si>
  <si>
    <t>Anticipated type 2 ea phase</t>
  </si>
  <si>
    <t>find phase &gt;65</t>
  </si>
  <si>
    <t>find gain &gt; 0</t>
  </si>
  <si>
    <t>find phase &gt; 0</t>
  </si>
  <si>
    <t>freq</t>
  </si>
  <si>
    <t>s=2*pi*freq*i</t>
  </si>
  <si>
    <t>power stage gain</t>
  </si>
  <si>
    <t>power stage phase</t>
  </si>
  <si>
    <t>overall gain</t>
  </si>
  <si>
    <t>overall phase</t>
  </si>
  <si>
    <t>Gain-dB</t>
  </si>
  <si>
    <t>Phase Degrees</t>
  </si>
  <si>
    <t>DCM Peak CMC complex</t>
  </si>
  <si>
    <t>Compensation Complex</t>
  </si>
  <si>
    <t>Comp Gain</t>
  </si>
  <si>
    <t>Comp Phase</t>
  </si>
  <si>
    <t>Cff Complex</t>
  </si>
  <si>
    <t>Zcer(s)</t>
  </si>
  <si>
    <t>Zload(s)</t>
  </si>
  <si>
    <t>Zesr(s)</t>
  </si>
  <si>
    <t>Zcr(s)</t>
  </si>
  <si>
    <t>Ze(s)</t>
  </si>
  <si>
    <t>Zl(s)</t>
  </si>
  <si>
    <t>Vo(s)/Vc(s) New Equivalent Circuit</t>
  </si>
  <si>
    <t>Gain New Equivalent Circuit</t>
  </si>
  <si>
    <t>Phase New Equivalent Circuit</t>
  </si>
  <si>
    <t>Ze(s) Vin_max</t>
  </si>
  <si>
    <t>Vo(s)/Vc(s) New Equivalent Circuit Vin_max</t>
  </si>
  <si>
    <t>Gain New Equivalent Circuit Vin_max</t>
  </si>
  <si>
    <t>Phase New Equivalent Circuit Vin_max</t>
  </si>
  <si>
    <t>Iout (for plot)</t>
  </si>
  <si>
    <t>Rhs FB</t>
  </si>
  <si>
    <t>Rls FB</t>
  </si>
  <si>
    <t>Rcomp</t>
  </si>
  <si>
    <t>Ccomp</t>
  </si>
  <si>
    <t>F</t>
  </si>
  <si>
    <t>Cpole</t>
  </si>
  <si>
    <t>Lo</t>
  </si>
  <si>
    <t>H</t>
  </si>
  <si>
    <t>Co</t>
  </si>
  <si>
    <t>Resr</t>
  </si>
  <si>
    <t>Co2</t>
  </si>
  <si>
    <t>Resr_2</t>
  </si>
  <si>
    <t>Phase Margin</t>
  </si>
  <si>
    <t>deg</t>
  </si>
  <si>
    <t>Gain Margin</t>
  </si>
  <si>
    <t>dB</t>
  </si>
  <si>
    <t>fzero esr (Co1)</t>
  </si>
  <si>
    <t>fzero esr (Co2)</t>
  </si>
  <si>
    <t>fzero comp</t>
  </si>
  <si>
    <t>fpole comp</t>
  </si>
  <si>
    <t>Display Power Stage?</t>
  </si>
  <si>
    <t>YES</t>
  </si>
  <si>
    <t>Display Compensation?</t>
  </si>
  <si>
    <t>NO</t>
  </si>
  <si>
    <t>Ro</t>
  </si>
  <si>
    <t>Rc</t>
  </si>
  <si>
    <t>Aol</t>
  </si>
  <si>
    <t>BW</t>
  </si>
  <si>
    <t>Ri</t>
  </si>
  <si>
    <t>Co err amp</t>
  </si>
  <si>
    <t>Ro err amp</t>
  </si>
  <si>
    <t>wo</t>
  </si>
  <si>
    <t>esr zero</t>
  </si>
  <si>
    <t>DCM &gt;= 1</t>
  </si>
  <si>
    <t>Fm</t>
  </si>
  <si>
    <t>With Vin_max</t>
  </si>
  <si>
    <t>Sn</t>
  </si>
  <si>
    <t>Sf</t>
  </si>
  <si>
    <t>Se to Sn ratio</t>
  </si>
  <si>
    <t>R</t>
  </si>
  <si>
    <t>Ddcm</t>
  </si>
  <si>
    <t>Hd</t>
  </si>
  <si>
    <t>a1</t>
  </si>
  <si>
    <t>a2</t>
  </si>
  <si>
    <t>wz1</t>
  </si>
  <si>
    <t>C0</t>
  </si>
  <si>
    <t>C1</t>
  </si>
  <si>
    <t>D0</t>
  </si>
  <si>
    <t>D1</t>
  </si>
  <si>
    <t>D2</t>
  </si>
  <si>
    <t>mc</t>
  </si>
  <si>
    <t>wp</t>
  </si>
  <si>
    <t>k_2</t>
  </si>
  <si>
    <t>wp2</t>
  </si>
  <si>
    <t>q_2</t>
  </si>
  <si>
    <t>w_2</t>
  </si>
  <si>
    <t>Re</t>
  </si>
  <si>
    <t>Ce</t>
  </si>
  <si>
    <t>Recommended max ESR</t>
  </si>
  <si>
    <t>TPS54020 (ILIM=499kΩ)</t>
  </si>
  <si>
    <t>TPS54020 (ILIM=NC)</t>
  </si>
  <si>
    <t>TPS54020 (ILIM=RTN)</t>
  </si>
  <si>
    <t>TPS54320</t>
  </si>
  <si>
    <t>TPS54418</t>
  </si>
  <si>
    <t>TPS54424</t>
  </si>
  <si>
    <t>TPS54478</t>
  </si>
  <si>
    <t>TPS54521</t>
  </si>
  <si>
    <t>TPS54620</t>
  </si>
  <si>
    <t>TPS54623</t>
  </si>
  <si>
    <t>TPS54678</t>
  </si>
  <si>
    <t>TPS54821</t>
  </si>
  <si>
    <t>Ven Max</t>
  </si>
  <si>
    <t>Ven_max</t>
  </si>
  <si>
    <t>Absolute max voltage on EN pin</t>
  </si>
  <si>
    <t>Cout_trans</t>
  </si>
  <si>
    <t>Enter fsw</t>
  </si>
  <si>
    <t>Min Cout for transient requirement assuming fco = fsw/10</t>
  </si>
  <si>
    <t>DCM Gain-dB</t>
  </si>
  <si>
    <t>DCM Phase-Degrees</t>
  </si>
  <si>
    <t>DCM Full Loop Gain-dB</t>
  </si>
  <si>
    <t>DCM Full Loop Phase-Degrees</t>
  </si>
  <si>
    <t>CCM Full Loop Phase-Degrees</t>
  </si>
  <si>
    <t>CCM Full Loop Gain-dB</t>
  </si>
  <si>
    <t>CCM Full Loop Complex</t>
  </si>
  <si>
    <t>DCM Full Loop Complex</t>
  </si>
  <si>
    <t>Nearest standard E96 resistor value</t>
  </si>
  <si>
    <t>fsw_max</t>
  </si>
  <si>
    <t>fsw_min</t>
  </si>
  <si>
    <t>Peak current limit</t>
  </si>
  <si>
    <t>Cycle-by-cycle</t>
  </si>
  <si>
    <t>Frequency Foldback</t>
  </si>
  <si>
    <t>Hiccup/Cycle-by-cycle</t>
  </si>
  <si>
    <t>Typical peak current limit</t>
  </si>
  <si>
    <t>Typical minimum off-time</t>
  </si>
  <si>
    <t>Ilim_peak</t>
  </si>
  <si>
    <t>toff_min</t>
  </si>
  <si>
    <t>Maximum fsw allowed limited by Vin_min and minimum off-time for fixed frequency operation
(Depends on inductor DCR and includes 2x multiplier on resistance for margin)</t>
  </si>
  <si>
    <t>Minimum fsw setting</t>
  </si>
  <si>
    <t>Maximum fsw setting</t>
  </si>
  <si>
    <t>Estimated switching frequency based on RT resistor value</t>
  </si>
  <si>
    <t>Estimated crossover frequency</t>
  </si>
  <si>
    <t>ESR of output single output capacitor</t>
  </si>
  <si>
    <t>Nominal value of single output capacitor</t>
  </si>
  <si>
    <t>Number of output capacitors</t>
  </si>
  <si>
    <t>Remaining output capacitance after derating due to DC/AC bias, temp and/or tolerance</t>
  </si>
  <si>
    <t>Co_cer</t>
  </si>
  <si>
    <t>Co_derate_cer</t>
  </si>
  <si>
    <t>N_Co_cer</t>
  </si>
  <si>
    <t>ESR_cer</t>
  </si>
  <si>
    <t>0.1µF required</t>
  </si>
  <si>
    <t>Cboot_req</t>
  </si>
  <si>
    <t>fco_est</t>
  </si>
  <si>
    <t>Total Ceramic Output Capacitance</t>
  </si>
  <si>
    <t>Effective Ceramic Capacitance ESR</t>
  </si>
  <si>
    <t>Nominal value of a Single Bulk/Polymer/Electrolytic Output Capacitor</t>
  </si>
  <si>
    <t>Single Bulk Capacitor ESR</t>
  </si>
  <si>
    <t>Number of Bulk Capacitors</t>
  </si>
  <si>
    <t>Total Bulk Output Capacitance</t>
  </si>
  <si>
    <t>ESR_bulk</t>
  </si>
  <si>
    <t>Effective Bulk Capacitance ESR</t>
  </si>
  <si>
    <t>Co_bulk</t>
  </si>
  <si>
    <t>N_Co_bulk</t>
  </si>
  <si>
    <t>Co_cer_eff</t>
  </si>
  <si>
    <t>ESR_cer_eff</t>
  </si>
  <si>
    <t>Co_total</t>
  </si>
  <si>
    <t>Co_bulk_eff</t>
  </si>
  <si>
    <t>ESR_bulk_eff</t>
  </si>
  <si>
    <t>Zcer_fsw</t>
  </si>
  <si>
    <t>Effective Cout (If red, not enough capacitance)</t>
  </si>
  <si>
    <t>Zbulk_fsw</t>
  </si>
  <si>
    <t>Zcout_fsw</t>
  </si>
  <si>
    <t>Ceramic capacitor impdance at fsw</t>
  </si>
  <si>
    <t>Bulk capacitor impedance at fsw</t>
  </si>
  <si>
    <t>fz_ESR_cer</t>
  </si>
  <si>
    <t>fz_ESR_bulk</t>
  </si>
  <si>
    <t>Calculated compensation resistor</t>
  </si>
  <si>
    <t>Selected compensation resistor</t>
  </si>
  <si>
    <t>phaseMargin</t>
  </si>
  <si>
    <t>gainMargin</t>
  </si>
  <si>
    <t>°</t>
  </si>
  <si>
    <t>Zout_fco</t>
  </si>
  <si>
    <t>Zcer_fco</t>
  </si>
  <si>
    <t>Zbulk_fco</t>
  </si>
  <si>
    <t>fzero_Ccomp</t>
  </si>
  <si>
    <t>fpole_Cpole</t>
  </si>
  <si>
    <t>Ccomp at 1/10 fco</t>
  </si>
  <si>
    <t>Gain margin with selected compensation (Red if &gt;-12)</t>
  </si>
  <si>
    <t>Phase margin with selected compensation (Red if &lt;60)</t>
  </si>
  <si>
    <t>fco with selected compensation (Red if &gt;fsw/5)</t>
  </si>
  <si>
    <t>Ccomp at 2x ps fpole</t>
  </si>
  <si>
    <t>Vo_trans</t>
  </si>
  <si>
    <t>Estimated overshoot/undershoot based on fco</t>
  </si>
  <si>
    <t>fpole</t>
  </si>
  <si>
    <t>fco3 recommended target using loop model in 'Small Signal' tab</t>
  </si>
  <si>
    <t>fzero ESR, uses minimum of zero from ceramic caps or bulk caps</t>
  </si>
  <si>
    <t>Rcomp_rec</t>
  </si>
  <si>
    <t>Rcomp_std</t>
  </si>
  <si>
    <t>Ccomp_ps_fpole</t>
  </si>
  <si>
    <t>Ccomp_fco</t>
  </si>
  <si>
    <t>Cpole_ESR_fzero</t>
  </si>
  <si>
    <t>Cpole_fsw</t>
  </si>
  <si>
    <t>Cpole_fco</t>
  </si>
  <si>
    <t>Cff_fsw</t>
  </si>
  <si>
    <t>Ccomp_rec_std</t>
  </si>
  <si>
    <t>Ccomp recommended nearest standard value</t>
  </si>
  <si>
    <t>Cpole recommended nearest standard value</t>
  </si>
  <si>
    <t>Cpole_rec_std</t>
  </si>
  <si>
    <t>Compensation zero with selected Ccomp</t>
  </si>
  <si>
    <t>Compensation pole with selected Cpole</t>
  </si>
  <si>
    <t>Zero from feedforward capacitor</t>
  </si>
  <si>
    <t>Pole from feedforward capacitor</t>
  </si>
  <si>
    <t>Cff_rec_std</t>
  </si>
  <si>
    <t>Cpole for pole at 10x fco</t>
  </si>
  <si>
    <t xml:space="preserve">Cpole for pole at fsw/2 </t>
  </si>
  <si>
    <t>Cpole for pole at ESR fzero</t>
  </si>
  <si>
    <t>tss</t>
  </si>
  <si>
    <t>Css_rec</t>
  </si>
  <si>
    <t>Css_std</t>
  </si>
  <si>
    <t>tss_target</t>
  </si>
  <si>
    <t>Input target Soft Start time</t>
  </si>
  <si>
    <t>Recommended Css capacitor value</t>
  </si>
  <si>
    <t>Soft start charging current</t>
  </si>
  <si>
    <t>Soft Start time chosen based on Css</t>
  </si>
  <si>
    <t>Chosen Css</t>
  </si>
  <si>
    <t>Recommended Css nearest standard value</t>
  </si>
  <si>
    <t>Current needed to charge output caps during startup</t>
  </si>
  <si>
    <t>UVLO resistor divider (EN pin)</t>
  </si>
  <si>
    <t>Determine feedback network values (FB pin)</t>
  </si>
  <si>
    <t>Select compensation values</t>
  </si>
  <si>
    <t>Results with selected compensation values</t>
  </si>
  <si>
    <t>Combined output capacitor impedance at fco</t>
  </si>
  <si>
    <t>Ceramic capacitor impdance at fco</t>
  </si>
  <si>
    <t>Bulk capacitor impedance at fco</t>
  </si>
  <si>
    <t>Combined output capacitor impedance at fsw</t>
  </si>
  <si>
    <t>Ceramic capacitor ESR zero frequency</t>
  </si>
  <si>
    <t>Bulk capacitor ESR zero frequency 
(if yellow, ESR zero may limit loop bandwidth)</t>
  </si>
  <si>
    <t>Calculations with selected output caps</t>
  </si>
  <si>
    <t>Input ripple with selected input capacitance</t>
  </si>
  <si>
    <r>
      <t xml:space="preserve">Minimum input capacitance required </t>
    </r>
    <r>
      <rPr>
        <b/>
        <sz val="11"/>
        <color theme="1"/>
        <rFont val="Arial"/>
        <family val="2"/>
      </rPr>
      <t>(account for derating)</t>
    </r>
  </si>
  <si>
    <t>Selected bottom feedback resistor (1k-20k recommended)</t>
  </si>
  <si>
    <t>Rls</t>
  </si>
  <si>
    <t>Rhs_target</t>
  </si>
  <si>
    <t>Rhs_std</t>
  </si>
  <si>
    <t>Rhs</t>
  </si>
  <si>
    <t>Cff chosen (input 0 if not used)</t>
  </si>
  <si>
    <t>Determine Compensation network values (COMP pin)</t>
  </si>
  <si>
    <r>
      <t xml:space="preserve">Select fco target
</t>
    </r>
    <r>
      <rPr>
        <sz val="11"/>
        <rFont val="Arial"/>
        <family val="2"/>
      </rPr>
      <t>For a conservative compensation design, target the minimum of fco1 or fco2
For more optimized transient response, target fco3</t>
    </r>
  </si>
  <si>
    <t>Rt_rec</t>
  </si>
  <si>
    <t>Rt_std</t>
  </si>
  <si>
    <t>Rt</t>
  </si>
  <si>
    <t>µA/V</t>
  </si>
  <si>
    <t>Power stage transconductance</t>
  </si>
  <si>
    <t>UVLO start voltage</t>
  </si>
  <si>
    <t>UVLO stop voltage</t>
  </si>
  <si>
    <t>I1</t>
  </si>
  <si>
    <t>Ihyst</t>
  </si>
  <si>
    <t>Ihysteresis</t>
  </si>
  <si>
    <t>Ren_b_calc</t>
  </si>
  <si>
    <t>Calculated bottom resistor</t>
  </si>
  <si>
    <t>Selected bottom resistor</t>
  </si>
  <si>
    <t>Date</t>
  </si>
  <si>
    <t>Comment</t>
  </si>
  <si>
    <t>Correct en divider calculations</t>
  </si>
  <si>
    <t>Maximum recommended inductance (ripple = 10% Io_max_IC)</t>
  </si>
  <si>
    <t>Minimum recommended inductance (ripple = 50% Io_max_IC)</t>
  </si>
  <si>
    <t>Recommended inductor value</t>
  </si>
  <si>
    <t>Target inductor value based on Kind</t>
  </si>
  <si>
    <t>L_rec</t>
  </si>
  <si>
    <t>Clarified recommended inductor value</t>
  </si>
  <si>
    <t>Type</t>
  </si>
  <si>
    <t>Default</t>
  </si>
  <si>
    <t>end</t>
  </si>
  <si>
    <t>Rail Name</t>
  </si>
  <si>
    <t>Req</t>
  </si>
  <si>
    <t>Part Number</t>
  </si>
  <si>
    <t>Opt</t>
  </si>
  <si>
    <t>Vin_nom*0.8</t>
  </si>
  <si>
    <t>Vin_nom*1.1</t>
  </si>
  <si>
    <t>Iout*0.5</t>
  </si>
  <si>
    <t>Calc</t>
  </si>
  <si>
    <t>Cin_derating</t>
  </si>
  <si>
    <t>Check</t>
  </si>
  <si>
    <t>Pass</t>
  </si>
  <si>
    <t>Lout_check</t>
  </si>
  <si>
    <t>Cout_check</t>
  </si>
  <si>
    <t>Cin_check</t>
  </si>
  <si>
    <t>FB_network_check</t>
  </si>
  <si>
    <t>EN_divider_check</t>
  </si>
  <si>
    <t>*selected*</t>
  </si>
  <si>
    <t>Error amplifier transconductance</t>
  </si>
  <si>
    <t>Hysteresis current added measured 50 mV above turn on threshold</t>
  </si>
  <si>
    <t>EN current measured 50 mV below threshold</t>
  </si>
  <si>
    <t>Vout*0.03</t>
  </si>
  <si>
    <t>Vout*0.01</t>
  </si>
  <si>
    <t>fco_target</t>
  </si>
  <si>
    <t>Rt_check</t>
  </si>
  <si>
    <t>Compensation_check</t>
  </si>
  <si>
    <t>Cboot_Rpg_check</t>
  </si>
  <si>
    <t>Effective input ceramic cap used</t>
  </si>
  <si>
    <t>Remaining input capacitance after derating due to DC/AC bias, temp and/or tolerance</t>
  </si>
  <si>
    <t>Cin_eff</t>
  </si>
  <si>
    <t>Total nominal input ceramic cap used</t>
  </si>
  <si>
    <t>fco_3</t>
  </si>
  <si>
    <t>fco_1</t>
  </si>
  <si>
    <t>fco_2</t>
  </si>
  <si>
    <t>Stability_check</t>
  </si>
  <si>
    <t>Ven_max_IC</t>
  </si>
  <si>
    <t>Added macros to use single excel sheet for multiple schematics</t>
  </si>
  <si>
    <t>EVM</t>
  </si>
  <si>
    <t>Directions:</t>
  </si>
  <si>
    <t>Select any cell in the column of the design you would like to check.</t>
  </si>
  <si>
    <t>Click on the Check/Calculate to send the input values to the DeviceCalculator worksheet.</t>
  </si>
  <si>
    <t>The calculated results on the DeviceCalculator worksheet are then pulled back to check the design.</t>
  </si>
  <si>
    <t>Insert New Design</t>
  </si>
  <si>
    <t>Click on Insert New Design to add another column to check another design.</t>
  </si>
  <si>
    <t>To delete a design that is no longer needed, right click on the column letter then select delete.</t>
  </si>
  <si>
    <t>Check/Calculate Selected Column</t>
  </si>
  <si>
    <t>Pull Values from DeviceCalculator Sheet</t>
  </si>
  <si>
    <t>The DeviceCalculator worksheet has more details to aid in the design.</t>
  </si>
  <si>
    <t>Updates to the design can be mode in the DeviceCalculator sheet.</t>
  </si>
  <si>
    <t>After making updates, click on Pull Values to use the values on the DeviceCalculator sheet and check them.</t>
  </si>
  <si>
    <t>Rls_rec</t>
  </si>
  <si>
    <t>Rls_std</t>
  </si>
  <si>
    <t>Recommended bottom feedback resistor (targets 100µA current in FB divider)</t>
  </si>
  <si>
    <t>(min(fsw_max_ton,fsw_max_toff)+fsw_min/1000)/1.5</t>
  </si>
  <si>
    <t>Check/Calculate All Columns</t>
  </si>
  <si>
    <t>This will run Check/Calculate Selected Column on all designs</t>
  </si>
  <si>
    <t>Increase Cout or optimize compensation. Estimated Vo_trans of 177mV is worse than input target of 72mV.</t>
  </si>
  <si>
    <t>Check FB divider. FB divider sets Vout -52.6% off from target.</t>
  </si>
  <si>
    <t>Check Cff. Selected value is 47.1% off from target._x000D_
_x000D_
Check Rcomp. Selected value is 5.4 times smaller than suggested and increasing it can increase loop bandwidth._x000D_
_x000D_
Check Cpole. Selected value is 3.7 times smaller than suggested and increasing it can help filter noise on the COMP pin.</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</si>
</sst>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0"/>
    <numFmt numFmtId="165" formatCode="0.0"/>
    <numFmt numFmtId="166" formatCode="0.0000"/>
    <numFmt numFmtId="167" formatCode="0E+00"/>
  </numFmts>
  <fonts count="47" x14ac:knownFonts="1">
    <font>
      <sz val="11"/>
      <color theme="1"/>
      <name val="Calibri"/>
      <family val="2"/>
      <scheme val="minor"/>
    </font>
    <font>
      <sz val="10"/>
      <color theme="1"/>
      <name val="Calibri"/>
      <family val="2"/>
      <scheme val="minor"/>
    </font>
    <font>
      <sz val="10"/>
      <name val="Arial"/>
      <family val="2"/>
    </font>
    <font>
      <u/>
      <sz val="11"/>
      <color theme="10"/>
      <name val="Calibri"/>
      <family val="2"/>
      <scheme val="minor"/>
    </font>
    <font>
      <sz val="11"/>
      <color theme="0"/>
      <name val="Calibri"/>
      <family val="2"/>
      <scheme val="minor"/>
    </font>
    <font>
      <sz val="11"/>
      <name val="Calibri"/>
      <family val="2"/>
      <scheme val="minor"/>
    </font>
    <font>
      <sz val="11"/>
      <color theme="1"/>
      <name val="Calibri"/>
      <family val="2"/>
      <scheme val="minor"/>
    </font>
    <font>
      <b/>
      <u/>
      <sz val="18"/>
      <color rgb="FFFF0000"/>
      <name val="Arial"/>
      <family val="2"/>
    </font>
    <font>
      <sz val="11"/>
      <color theme="1"/>
      <name val="Arial"/>
      <family val="2"/>
    </font>
    <font>
      <b/>
      <sz val="11"/>
      <name val="Arial"/>
      <family val="2"/>
    </font>
    <font>
      <b/>
      <sz val="12"/>
      <color rgb="FFFF0000"/>
      <name val="Arial"/>
      <family val="2"/>
    </font>
    <font>
      <sz val="12"/>
      <color theme="1"/>
      <name val="Arial"/>
      <family val="2"/>
    </font>
    <font>
      <b/>
      <sz val="11"/>
      <color theme="1"/>
      <name val="Arial"/>
      <family val="2"/>
    </font>
    <font>
      <b/>
      <sz val="14"/>
      <color theme="0"/>
      <name val="Arial"/>
      <family val="2"/>
    </font>
    <font>
      <sz val="10"/>
      <color theme="1"/>
      <name val="Arial"/>
      <family val="2"/>
    </font>
    <font>
      <sz val="12"/>
      <color rgb="FFCC9900"/>
      <name val="Arial"/>
      <family val="2"/>
    </font>
    <font>
      <sz val="12"/>
      <color rgb="FFFF0000"/>
      <name val="Arial"/>
      <family val="2"/>
    </font>
    <font>
      <b/>
      <sz val="14"/>
      <color rgb="FFFF0000"/>
      <name val="Arial"/>
      <family val="2"/>
    </font>
    <font>
      <sz val="11"/>
      <color theme="0"/>
      <name val="Arial"/>
      <family val="2"/>
    </font>
    <font>
      <sz val="10"/>
      <name val="Arial"/>
      <family val="2"/>
    </font>
    <font>
      <sz val="10"/>
      <color indexed="8"/>
      <name val="Arial"/>
      <family val="2"/>
    </font>
    <font>
      <sz val="10"/>
      <color indexed="12"/>
      <name val="Arial"/>
      <family val="2"/>
    </font>
    <font>
      <sz val="10"/>
      <name val="Arial"/>
      <family val="2"/>
    </font>
    <font>
      <b/>
      <sz val="14"/>
      <color indexed="10"/>
      <name val="Arial"/>
      <family val="2"/>
    </font>
    <font>
      <sz val="10"/>
      <color indexed="10"/>
      <name val="Arial"/>
      <family val="2"/>
    </font>
    <font>
      <sz val="14"/>
      <name val="Arial"/>
      <family val="2"/>
    </font>
    <font>
      <b/>
      <sz val="10"/>
      <color indexed="12"/>
      <name val="Arial"/>
      <family val="2"/>
    </font>
    <font>
      <b/>
      <sz val="10"/>
      <color indexed="8"/>
      <name val="Arial"/>
      <family val="2"/>
    </font>
    <font>
      <b/>
      <sz val="10"/>
      <color indexed="17"/>
      <name val="Arial"/>
      <family val="2"/>
    </font>
    <font>
      <sz val="10"/>
      <color indexed="9"/>
      <name val="Arial"/>
      <family val="2"/>
    </font>
    <font>
      <b/>
      <sz val="10"/>
      <color indexed="9"/>
      <name val="Arial"/>
      <family val="2"/>
    </font>
    <font>
      <b/>
      <sz val="8"/>
      <name val="Arial"/>
      <family val="2"/>
    </font>
    <font>
      <sz val="8"/>
      <name val="Verdana"/>
      <family val="2"/>
    </font>
    <font>
      <b/>
      <sz val="10"/>
      <color indexed="10"/>
      <name val="Arial"/>
      <family val="2"/>
    </font>
    <font>
      <sz val="10"/>
      <color indexed="22"/>
      <name val="Arial"/>
      <family val="2"/>
    </font>
    <font>
      <b/>
      <sz val="10"/>
      <name val="Arial"/>
      <family val="2"/>
    </font>
    <font>
      <u/>
      <sz val="10"/>
      <color theme="10"/>
      <name val="Arial"/>
      <family val="2"/>
    </font>
    <font>
      <u/>
      <sz val="10"/>
      <color theme="10"/>
      <name val="Arial"/>
      <family val="2"/>
    </font>
    <font>
      <sz val="11"/>
      <name val="Arial"/>
      <family val="2"/>
    </font>
    <font>
      <sz val="10"/>
      <color theme="0"/>
      <name val="Arial"/>
      <family val="2"/>
    </font>
    <font>
      <b/>
      <sz val="11"/>
      <color rgb="FFFF0000"/>
      <name val="Arial"/>
      <family val="2"/>
    </font>
    <font>
      <b/>
      <sz val="10"/>
      <color theme="1"/>
      <name val="Arial"/>
      <family val="2"/>
    </font>
    <font>
      <b/>
      <sz val="10"/>
      <color theme="1"/>
      <name val="Arial"/>
      <family val="2"/>
    </font>
    <font>
      <sz val="10"/>
      <color theme="1"/>
      <name val="Arial"/>
      <family val="2"/>
    </font>
    <font>
      <b/>
      <sz val="11"/>
      <color theme="1"/>
      <name val="Calibri"/>
      <family val="2"/>
      <scheme val="minor"/>
    </font>
    <font>
      <sz val="11"/>
      <color rgb="FF000000"/>
      <name val="Arial"/>
      <family val="2"/>
    </font>
    <font>
      <b/>
      <u/>
      <sz val="11"/>
      <color theme="1"/>
      <name val="Arial"/>
      <family val="2"/>
    </font>
  </fonts>
  <fills count="23">
    <fill>
      <patternFill patternType="none"/>
    </fill>
    <fill>
      <patternFill patternType="gray125"/>
    </fill>
    <fill>
      <patternFill patternType="solid">
        <fgColor rgb="FFFF0000"/>
        <bgColor indexed="64"/>
      </patternFill>
    </fill>
    <fill>
      <patternFill patternType="solid">
        <fgColor theme="1" tint="0.249977111117893"/>
        <bgColor indexed="64"/>
      </patternFill>
    </fill>
    <fill>
      <patternFill patternType="solid">
        <fgColor theme="0"/>
        <bgColor indexed="64"/>
      </patternFill>
    </fill>
    <fill>
      <patternFill patternType="solid">
        <fgColor rgb="FFFFFF00"/>
        <bgColor indexed="64"/>
      </patternFill>
    </fill>
    <fill>
      <patternFill patternType="solid">
        <fgColor theme="1"/>
        <bgColor indexed="64"/>
      </patternFill>
    </fill>
    <fill>
      <patternFill patternType="solid">
        <fgColor theme="0" tint="-0.34998626667073579"/>
        <bgColor indexed="64"/>
      </patternFill>
    </fill>
    <fill>
      <patternFill patternType="solid">
        <fgColor rgb="FF92D050"/>
        <bgColor indexed="64"/>
      </patternFill>
    </fill>
    <fill>
      <patternFill patternType="solid">
        <fgColor theme="3" tint="0.59999389629810485"/>
        <bgColor indexed="64"/>
      </patternFill>
    </fill>
    <fill>
      <patternFill patternType="solid">
        <fgColor rgb="FFF8F573"/>
        <bgColor indexed="64"/>
      </patternFill>
    </fill>
    <fill>
      <patternFill patternType="solid">
        <fgColor rgb="FFFFCCCC"/>
        <bgColor indexed="64"/>
      </patternFill>
    </fill>
    <fill>
      <patternFill patternType="solid">
        <fgColor indexed="9"/>
        <bgColor indexed="64"/>
      </patternFill>
    </fill>
    <fill>
      <patternFill patternType="solid">
        <fgColor indexed="41"/>
        <bgColor indexed="64"/>
      </patternFill>
    </fill>
    <fill>
      <patternFill patternType="solid">
        <fgColor indexed="45"/>
        <bgColor indexed="64"/>
      </patternFill>
    </fill>
    <fill>
      <patternFill patternType="solid">
        <fgColor indexed="31"/>
        <bgColor indexed="64"/>
      </patternFill>
    </fill>
    <fill>
      <patternFill patternType="solid">
        <fgColor indexed="42"/>
        <bgColor indexed="64"/>
      </patternFill>
    </fill>
    <fill>
      <patternFill patternType="solid">
        <fgColor indexed="26"/>
        <bgColor indexed="64"/>
      </patternFill>
    </fill>
    <fill>
      <patternFill patternType="solid">
        <fgColor indexed="13"/>
        <bgColor indexed="64"/>
      </patternFill>
    </fill>
    <fill>
      <patternFill patternType="solid">
        <fgColor rgb="FF00FFFF"/>
        <bgColor indexed="64"/>
      </patternFill>
    </fill>
    <fill>
      <patternFill patternType="solid">
        <fgColor indexed="50"/>
        <bgColor indexed="64"/>
      </patternFill>
    </fill>
    <fill>
      <patternFill patternType="solid">
        <fgColor indexed="10"/>
        <bgColor indexed="64"/>
      </patternFill>
    </fill>
    <fill>
      <patternFill patternType="solid">
        <fgColor theme="8" tint="0.59999389629810485"/>
        <bgColor indexed="64"/>
      </patternFill>
    </fill>
  </fills>
  <borders count="57">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9"/>
      </left>
      <right/>
      <top/>
      <bottom/>
      <diagonal/>
    </border>
    <border>
      <left/>
      <right style="medium">
        <color indexed="9"/>
      </right>
      <top/>
      <bottom/>
      <diagonal/>
    </border>
    <border>
      <left style="medium">
        <color indexed="9"/>
      </left>
      <right/>
      <top style="medium">
        <color indexed="9"/>
      </top>
      <bottom/>
      <diagonal/>
    </border>
    <border>
      <left/>
      <right style="medium">
        <color indexed="9"/>
      </right>
      <top style="medium">
        <color indexed="9"/>
      </top>
      <bottom/>
      <diagonal/>
    </border>
    <border>
      <left style="medium">
        <color indexed="9"/>
      </left>
      <right style="medium">
        <color indexed="9"/>
      </right>
      <top style="medium">
        <color indexed="9"/>
      </top>
      <bottom/>
      <diagonal/>
    </border>
    <border>
      <left style="medium">
        <color indexed="9"/>
      </left>
      <right style="medium">
        <color indexed="9"/>
      </right>
      <top/>
      <bottom/>
      <diagonal/>
    </border>
    <border>
      <left style="medium">
        <color indexed="9"/>
      </left>
      <right style="medium">
        <color indexed="9"/>
      </right>
      <top/>
      <bottom style="medium">
        <color indexed="9"/>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s>
  <cellStyleXfs count="38">
    <xf numFmtId="0" fontId="0" fillId="0" borderId="0"/>
    <xf numFmtId="0" fontId="2" fillId="0" borderId="0"/>
    <xf numFmtId="0" fontId="3" fillId="0" borderId="0" applyNumberFormat="0" applyFill="0" applyBorder="0" applyAlignment="0" applyProtection="0"/>
    <xf numFmtId="9" fontId="6" fillId="0" borderId="0" applyFont="0" applyFill="0" applyBorder="0" applyAlignment="0" applyProtection="0"/>
    <xf numFmtId="0" fontId="6" fillId="0" borderId="0"/>
    <xf numFmtId="0" fontId="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 fillId="0" borderId="0"/>
    <xf numFmtId="0" fontId="19" fillId="0" borderId="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22" fillId="0" borderId="0"/>
    <xf numFmtId="0" fontId="2" fillId="0" borderId="0"/>
    <xf numFmtId="9" fontId="2" fillId="0" borderId="0" applyFont="0" applyFill="0" applyBorder="0" applyAlignment="0" applyProtection="0"/>
    <xf numFmtId="0" fontId="2" fillId="0" borderId="0"/>
    <xf numFmtId="0" fontId="36" fillId="0" borderId="0" applyNumberFormat="0" applyFill="0" applyBorder="0" applyAlignment="0" applyProtection="0"/>
    <xf numFmtId="0" fontId="36" fillId="0" borderId="0" applyNumberForma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37" fillId="0" borderId="0" applyNumberFormat="0" applyFill="0" applyBorder="0" applyAlignment="0" applyProtection="0"/>
    <xf numFmtId="0" fontId="2" fillId="0" borderId="0"/>
    <xf numFmtId="0" fontId="2" fillId="0" borderId="0"/>
    <xf numFmtId="0" fontId="36" fillId="0" borderId="0" applyNumberFormat="0" applyFill="0" applyBorder="0" applyAlignment="0" applyProtection="0"/>
  </cellStyleXfs>
  <cellXfs count="488">
    <xf numFmtId="0" fontId="0" fillId="0" borderId="0" xfId="0"/>
    <xf numFmtId="0" fontId="0" fillId="0" borderId="1" xfId="0" applyFont="1" applyFill="1" applyBorder="1" applyAlignment="1">
      <alignment horizontal="left" vertical="top"/>
    </xf>
    <xf numFmtId="0" fontId="0" fillId="0" borderId="1" xfId="0" applyFont="1" applyFill="1" applyBorder="1" applyAlignment="1">
      <alignment horizontal="left" vertical="top" wrapText="1"/>
    </xf>
    <xf numFmtId="0" fontId="0" fillId="0" borderId="0" xfId="0" applyFont="1" applyFill="1" applyBorder="1" applyAlignment="1">
      <alignment vertical="top" wrapText="1"/>
    </xf>
    <xf numFmtId="0" fontId="0" fillId="0" borderId="0" xfId="0" applyFont="1" applyFill="1" applyBorder="1" applyAlignment="1">
      <alignment horizontal="left" vertical="top" wrapText="1"/>
    </xf>
    <xf numFmtId="0" fontId="0" fillId="0" borderId="0" xfId="0" applyFont="1" applyFill="1" applyBorder="1" applyAlignment="1">
      <alignment horizontal="left" vertical="top"/>
    </xf>
    <xf numFmtId="0" fontId="5" fillId="0" borderId="0" xfId="0" applyFont="1" applyFill="1" applyAlignment="1">
      <alignment wrapText="1"/>
    </xf>
    <xf numFmtId="0" fontId="0" fillId="0" borderId="0" xfId="0" applyFont="1"/>
    <xf numFmtId="0" fontId="0" fillId="0" borderId="0" xfId="0" applyFont="1" applyAlignment="1">
      <alignment wrapText="1"/>
    </xf>
    <xf numFmtId="0" fontId="0" fillId="0" borderId="0" xfId="0" applyFont="1" applyFill="1" applyAlignment="1">
      <alignment wrapText="1"/>
    </xf>
    <xf numFmtId="0" fontId="0" fillId="0" borderId="0" xfId="0" applyFont="1" applyFill="1"/>
    <xf numFmtId="0" fontId="0" fillId="0" borderId="0" xfId="0" applyFont="1" applyFill="1" applyAlignment="1">
      <alignment horizontal="left" vertical="top"/>
    </xf>
    <xf numFmtId="0" fontId="0" fillId="0" borderId="0" xfId="0" applyFont="1" applyAlignment="1">
      <alignment vertical="top"/>
    </xf>
    <xf numFmtId="0" fontId="5" fillId="0" borderId="0" xfId="0" applyFont="1" applyFill="1" applyBorder="1" applyAlignment="1">
      <alignment horizontal="left" vertical="top"/>
    </xf>
    <xf numFmtId="0" fontId="5" fillId="0" borderId="0" xfId="0" applyFont="1" applyFill="1" applyBorder="1" applyAlignment="1">
      <alignment horizontal="left" vertical="top" wrapText="1"/>
    </xf>
    <xf numFmtId="0" fontId="5" fillId="0" borderId="0" xfId="0" applyFont="1" applyFill="1" applyBorder="1" applyAlignment="1">
      <alignment vertical="top" wrapText="1"/>
    </xf>
    <xf numFmtId="0" fontId="5" fillId="0" borderId="0" xfId="0" applyFont="1" applyFill="1"/>
    <xf numFmtId="0" fontId="0" fillId="0" borderId="0" xfId="0" applyFont="1" applyFill="1" applyAlignment="1">
      <alignment horizontal="left" vertical="top" wrapText="1"/>
    </xf>
    <xf numFmtId="0" fontId="0" fillId="0" borderId="0" xfId="0" applyFont="1" applyFill="1" applyAlignment="1">
      <alignment vertical="top"/>
    </xf>
    <xf numFmtId="0" fontId="0" fillId="0" borderId="0" xfId="0" applyFont="1" applyAlignment="1">
      <alignment vertical="top" wrapText="1"/>
    </xf>
    <xf numFmtId="0" fontId="8" fillId="4" borderId="0" xfId="0" applyFont="1" applyFill="1" applyAlignment="1" applyProtection="1">
      <alignment horizontal="center" vertical="center"/>
    </xf>
    <xf numFmtId="0" fontId="9" fillId="0" borderId="17" xfId="0" applyFont="1" applyFill="1" applyBorder="1" applyAlignment="1" applyProtection="1">
      <alignment horizontal="left" vertical="center" wrapText="1"/>
    </xf>
    <xf numFmtId="0" fontId="11" fillId="4" borderId="0" xfId="0" applyFont="1" applyFill="1" applyAlignment="1" applyProtection="1">
      <alignment horizontal="center" vertical="center"/>
    </xf>
    <xf numFmtId="0" fontId="8" fillId="0" borderId="21" xfId="0" applyFont="1" applyFill="1" applyBorder="1" applyAlignment="1" applyProtection="1">
      <alignment horizontal="left" vertical="center" wrapText="1"/>
    </xf>
    <xf numFmtId="0" fontId="8" fillId="5" borderId="22" xfId="0" applyFont="1" applyFill="1" applyBorder="1" applyAlignment="1" applyProtection="1">
      <alignment horizontal="center" vertical="center"/>
      <protection locked="0"/>
    </xf>
    <xf numFmtId="0" fontId="12" fillId="0" borderId="22" xfId="0" applyFont="1" applyFill="1" applyBorder="1" applyAlignment="1" applyProtection="1">
      <alignment horizontal="left" vertical="center" wrapText="1"/>
    </xf>
    <xf numFmtId="0" fontId="8" fillId="0" borderId="23" xfId="0" applyFont="1" applyFill="1" applyBorder="1" applyAlignment="1" applyProtection="1">
      <alignment horizontal="left" vertical="center" wrapText="1"/>
    </xf>
    <xf numFmtId="0" fontId="13" fillId="6" borderId="1" xfId="0" applyFont="1" applyFill="1" applyBorder="1" applyAlignment="1" applyProtection="1">
      <alignment horizontal="center" vertical="center"/>
    </xf>
    <xf numFmtId="0" fontId="11" fillId="4" borderId="0" xfId="0" applyFont="1" applyFill="1" applyBorder="1" applyAlignment="1" applyProtection="1">
      <alignment horizontal="center" vertical="center"/>
    </xf>
    <xf numFmtId="0" fontId="8" fillId="7" borderId="8" xfId="0" applyFont="1" applyFill="1" applyBorder="1" applyAlignment="1" applyProtection="1">
      <alignment horizontal="center" vertical="center"/>
    </xf>
    <xf numFmtId="0" fontId="8" fillId="4" borderId="8" xfId="0" applyFont="1" applyFill="1" applyBorder="1" applyAlignment="1" applyProtection="1">
      <alignment horizontal="center" vertical="center"/>
    </xf>
    <xf numFmtId="0" fontId="8" fillId="0" borderId="1" xfId="0" applyFont="1" applyFill="1" applyBorder="1" applyAlignment="1" applyProtection="1">
      <alignment horizontal="left" vertical="center" wrapText="1"/>
    </xf>
    <xf numFmtId="0" fontId="11" fillId="5" borderId="1" xfId="0" applyFont="1" applyFill="1" applyBorder="1" applyAlignment="1" applyProtection="1">
      <alignment horizontal="left" vertical="center"/>
    </xf>
    <xf numFmtId="0" fontId="14" fillId="4" borderId="0" xfId="0" applyFont="1" applyFill="1" applyBorder="1" applyAlignment="1" applyProtection="1">
      <alignment horizontal="center" vertical="center"/>
    </xf>
    <xf numFmtId="0" fontId="8" fillId="0" borderId="25" xfId="0" applyFont="1" applyFill="1" applyBorder="1" applyAlignment="1" applyProtection="1">
      <alignment horizontal="left" vertical="center" wrapText="1"/>
    </xf>
    <xf numFmtId="0" fontId="11" fillId="7" borderId="1" xfId="0" applyFont="1" applyFill="1" applyBorder="1" applyAlignment="1" applyProtection="1">
      <alignment horizontal="left" vertical="center"/>
    </xf>
    <xf numFmtId="0" fontId="11" fillId="8" borderId="1" xfId="0" applyFont="1" applyFill="1" applyBorder="1" applyAlignment="1" applyProtection="1">
      <alignment horizontal="left" vertical="center"/>
    </xf>
    <xf numFmtId="0" fontId="11" fillId="9" borderId="1" xfId="0" applyFont="1" applyFill="1" applyBorder="1" applyAlignment="1" applyProtection="1">
      <alignment horizontal="left" vertical="center"/>
    </xf>
    <xf numFmtId="0" fontId="15" fillId="10" borderId="1" xfId="0" applyFont="1" applyFill="1" applyBorder="1" applyAlignment="1" applyProtection="1">
      <alignment horizontal="left" vertical="center"/>
    </xf>
    <xf numFmtId="0" fontId="16" fillId="11" borderId="1" xfId="0" applyFont="1" applyFill="1" applyBorder="1" applyAlignment="1" applyProtection="1">
      <alignment horizontal="left" vertical="center"/>
    </xf>
    <xf numFmtId="0" fontId="8" fillId="0" borderId="26" xfId="0" applyFont="1" applyFill="1" applyBorder="1" applyAlignment="1" applyProtection="1">
      <alignment horizontal="left" vertical="center" wrapText="1"/>
    </xf>
    <xf numFmtId="0" fontId="8" fillId="0" borderId="27" xfId="0" applyFont="1" applyFill="1" applyBorder="1" applyAlignment="1" applyProtection="1">
      <alignment horizontal="left" vertical="center" wrapText="1"/>
    </xf>
    <xf numFmtId="0" fontId="8" fillId="5" borderId="1" xfId="0" applyFont="1" applyFill="1" applyBorder="1" applyAlignment="1" applyProtection="1">
      <alignment horizontal="center" vertical="center"/>
      <protection locked="0"/>
    </xf>
    <xf numFmtId="0" fontId="8" fillId="4" borderId="0" xfId="0" applyFont="1" applyFill="1" applyAlignment="1" applyProtection="1">
      <alignment horizontal="center" vertical="center" wrapText="1"/>
    </xf>
    <xf numFmtId="0" fontId="8" fillId="4" borderId="12" xfId="0" applyFont="1" applyFill="1" applyBorder="1" applyAlignment="1" applyProtection="1">
      <alignment horizontal="center" vertical="center"/>
    </xf>
    <xf numFmtId="0" fontId="8" fillId="0" borderId="22" xfId="0" applyFont="1" applyFill="1" applyBorder="1" applyAlignment="1" applyProtection="1">
      <alignment horizontal="left" vertical="center" wrapText="1"/>
    </xf>
    <xf numFmtId="0" fontId="8" fillId="4" borderId="0" xfId="0" applyFont="1" applyFill="1" applyBorder="1" applyAlignment="1" applyProtection="1">
      <alignment horizontal="left" vertical="center" wrapText="1"/>
    </xf>
    <xf numFmtId="0" fontId="8" fillId="4" borderId="0" xfId="0" applyFont="1" applyFill="1" applyBorder="1" applyAlignment="1" applyProtection="1">
      <alignment horizontal="center" vertical="center" wrapText="1"/>
    </xf>
    <xf numFmtId="0" fontId="8" fillId="0" borderId="28" xfId="0" applyFont="1" applyFill="1" applyBorder="1" applyAlignment="1" applyProtection="1">
      <alignment horizontal="left" vertical="center" wrapText="1"/>
    </xf>
    <xf numFmtId="0" fontId="8" fillId="0" borderId="15" xfId="0" applyFont="1" applyFill="1" applyBorder="1" applyAlignment="1" applyProtection="1">
      <alignment horizontal="left" vertical="center" wrapText="1"/>
    </xf>
    <xf numFmtId="0" fontId="8" fillId="4" borderId="8" xfId="0" applyFont="1" applyFill="1" applyBorder="1" applyAlignment="1" applyProtection="1">
      <alignment horizontal="center" vertical="center" wrapText="1"/>
    </xf>
    <xf numFmtId="164" fontId="8" fillId="4" borderId="0" xfId="0" applyNumberFormat="1" applyFont="1" applyFill="1" applyBorder="1" applyAlignment="1" applyProtection="1">
      <alignment horizontal="center" vertical="center"/>
    </xf>
    <xf numFmtId="49" fontId="8" fillId="4" borderId="0" xfId="0" applyNumberFormat="1" applyFont="1" applyFill="1" applyBorder="1" applyAlignment="1" applyProtection="1">
      <alignment horizontal="center" vertical="center"/>
    </xf>
    <xf numFmtId="0" fontId="8" fillId="0" borderId="21" xfId="0" applyFont="1" applyBorder="1" applyAlignment="1" applyProtection="1">
      <alignment horizontal="left" vertical="center" wrapText="1"/>
    </xf>
    <xf numFmtId="0" fontId="17" fillId="4" borderId="0" xfId="0" applyFont="1" applyFill="1" applyBorder="1" applyAlignment="1" applyProtection="1">
      <alignment horizontal="center" vertical="center" wrapText="1"/>
    </xf>
    <xf numFmtId="9" fontId="8" fillId="5" borderId="1" xfId="3" applyFont="1" applyFill="1" applyBorder="1" applyAlignment="1" applyProtection="1">
      <alignment horizontal="center" vertical="center"/>
      <protection locked="0"/>
    </xf>
    <xf numFmtId="164" fontId="8" fillId="8" borderId="1" xfId="0" applyNumberFormat="1" applyFont="1" applyFill="1" applyBorder="1" applyAlignment="1" applyProtection="1">
      <alignment horizontal="center" vertical="center"/>
    </xf>
    <xf numFmtId="49" fontId="8" fillId="4" borderId="0" xfId="0" applyNumberFormat="1" applyFont="1" applyFill="1" applyAlignment="1" applyProtection="1">
      <alignment horizontal="center" vertical="center"/>
    </xf>
    <xf numFmtId="0" fontId="8" fillId="0" borderId="24" xfId="0" applyFont="1" applyBorder="1" applyAlignment="1" applyProtection="1">
      <alignment horizontal="left" vertical="center" wrapText="1"/>
    </xf>
    <xf numFmtId="164" fontId="8" fillId="5" borderId="1" xfId="0" applyNumberFormat="1" applyFont="1" applyFill="1" applyBorder="1" applyAlignment="1" applyProtection="1">
      <alignment horizontal="center" vertical="center"/>
      <protection locked="0"/>
    </xf>
    <xf numFmtId="164" fontId="8" fillId="5" borderId="15" xfId="0" applyNumberFormat="1" applyFont="1" applyFill="1" applyBorder="1" applyAlignment="1" applyProtection="1">
      <alignment horizontal="center" vertical="center"/>
      <protection locked="0"/>
    </xf>
    <xf numFmtId="49" fontId="11" fillId="4" borderId="0" xfId="0" applyNumberFormat="1" applyFont="1" applyFill="1" applyBorder="1" applyAlignment="1" applyProtection="1">
      <alignment horizontal="center" vertical="center"/>
    </xf>
    <xf numFmtId="165" fontId="8" fillId="9" borderId="1" xfId="0" applyNumberFormat="1" applyFont="1" applyFill="1" applyBorder="1" applyAlignment="1" applyProtection="1">
      <alignment horizontal="center" vertical="center"/>
    </xf>
    <xf numFmtId="0" fontId="8" fillId="4" borderId="0" xfId="0" applyFont="1" applyFill="1" applyAlignment="1" applyProtection="1">
      <alignment horizontal="left" vertical="center"/>
    </xf>
    <xf numFmtId="9" fontId="8" fillId="5" borderId="1" xfId="0" applyNumberFormat="1" applyFont="1" applyFill="1" applyBorder="1" applyAlignment="1" applyProtection="1">
      <alignment horizontal="center" vertical="center"/>
      <protection locked="0"/>
    </xf>
    <xf numFmtId="0" fontId="8" fillId="5" borderId="1" xfId="0" applyFont="1" applyFill="1" applyBorder="1" applyAlignment="1" applyProtection="1">
      <alignment horizontal="center" vertical="center" wrapText="1"/>
      <protection locked="0"/>
    </xf>
    <xf numFmtId="165" fontId="8" fillId="9" borderId="1" xfId="0" applyNumberFormat="1" applyFont="1" applyFill="1" applyBorder="1" applyAlignment="1" applyProtection="1">
      <alignment horizontal="center" vertical="center" wrapText="1"/>
    </xf>
    <xf numFmtId="165" fontId="8" fillId="8" borderId="1" xfId="0" applyNumberFormat="1" applyFont="1" applyFill="1" applyBorder="1" applyAlignment="1" applyProtection="1">
      <alignment horizontal="center" vertical="center" wrapText="1"/>
    </xf>
    <xf numFmtId="0" fontId="8" fillId="4" borderId="0" xfId="0" applyFont="1" applyFill="1" applyBorder="1" applyAlignment="1" applyProtection="1">
      <alignment vertical="center" wrapText="1"/>
    </xf>
    <xf numFmtId="0" fontId="8" fillId="0" borderId="26" xfId="0" applyFont="1" applyBorder="1" applyAlignment="1" applyProtection="1">
      <alignment horizontal="left" vertical="center" wrapText="1"/>
    </xf>
    <xf numFmtId="0" fontId="8" fillId="4" borderId="11" xfId="0" applyFont="1" applyFill="1" applyBorder="1" applyAlignment="1" applyProtection="1">
      <alignment horizontal="center" vertical="center"/>
    </xf>
    <xf numFmtId="0" fontId="8" fillId="5" borderId="11" xfId="0" applyNumberFormat="1" applyFont="1" applyFill="1" applyBorder="1" applyAlignment="1" applyProtection="1">
      <alignment horizontal="center" vertical="center" wrapText="1"/>
      <protection locked="0"/>
    </xf>
    <xf numFmtId="0" fontId="8" fillId="0" borderId="11" xfId="0" applyFont="1" applyBorder="1" applyAlignment="1" applyProtection="1">
      <alignment horizontal="left" vertical="center" wrapText="1"/>
    </xf>
    <xf numFmtId="0" fontId="8" fillId="0" borderId="27" xfId="0" applyFont="1" applyBorder="1" applyAlignment="1" applyProtection="1">
      <alignment horizontal="left" vertical="center" wrapText="1"/>
    </xf>
    <xf numFmtId="2" fontId="8" fillId="4" borderId="0" xfId="0" applyNumberFormat="1" applyFont="1" applyFill="1" applyBorder="1" applyAlignment="1" applyProtection="1">
      <alignment horizontal="center" vertical="center"/>
    </xf>
    <xf numFmtId="0" fontId="18" fillId="4" borderId="0" xfId="0" applyFont="1" applyFill="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20" fillId="0" borderId="0" xfId="6" applyFont="1" applyFill="1" applyAlignment="1" applyProtection="1">
      <alignment vertical="center"/>
      <protection locked="0"/>
    </xf>
    <xf numFmtId="0" fontId="21" fillId="0" borderId="0" xfId="6" applyFont="1" applyFill="1" applyAlignment="1" applyProtection="1">
      <alignment vertical="center"/>
      <protection locked="0"/>
    </xf>
    <xf numFmtId="164" fontId="21" fillId="0" borderId="0" xfId="6" applyNumberFormat="1" applyFont="1" applyFill="1" applyAlignment="1" applyProtection="1">
      <alignment vertical="center"/>
      <protection locked="0"/>
    </xf>
    <xf numFmtId="0" fontId="21" fillId="0" borderId="0" xfId="0" applyFont="1" applyFill="1" applyAlignment="1" applyProtection="1">
      <alignment horizontal="center" vertical="center"/>
      <protection locked="0"/>
    </xf>
    <xf numFmtId="0" fontId="0" fillId="0" borderId="1" xfId="0" applyFont="1" applyFill="1" applyBorder="1" applyAlignment="1" applyProtection="1">
      <alignment vertical="top" wrapText="1"/>
      <protection locked="0"/>
    </xf>
    <xf numFmtId="0" fontId="0" fillId="0" borderId="0" xfId="0" applyFont="1" applyAlignment="1" applyProtection="1">
      <alignment wrapText="1"/>
      <protection locked="0"/>
    </xf>
    <xf numFmtId="0" fontId="0" fillId="0" borderId="0" xfId="0" applyFont="1" applyFill="1" applyAlignment="1" applyProtection="1">
      <alignment wrapText="1"/>
      <protection locked="0"/>
    </xf>
    <xf numFmtId="0" fontId="0" fillId="0" borderId="0" xfId="0" applyFont="1" applyProtection="1">
      <protection locked="0"/>
    </xf>
    <xf numFmtId="0" fontId="0" fillId="0" borderId="0" xfId="0" applyFont="1" applyFill="1" applyProtection="1">
      <protection locked="0"/>
    </xf>
    <xf numFmtId="0" fontId="1" fillId="0" borderId="1" xfId="0" applyFont="1" applyFill="1" applyBorder="1" applyAlignment="1" applyProtection="1">
      <alignment horizontal="left" vertical="top" wrapText="1"/>
      <protection locked="0"/>
    </xf>
    <xf numFmtId="0" fontId="1" fillId="0" borderId="0" xfId="0" applyFont="1" applyBorder="1" applyAlignment="1" applyProtection="1">
      <alignment wrapText="1"/>
      <protection locked="0"/>
    </xf>
    <xf numFmtId="0" fontId="0" fillId="0" borderId="1" xfId="0" applyFont="1" applyBorder="1" applyAlignment="1" applyProtection="1">
      <alignment horizontal="left" vertical="top" wrapText="1"/>
      <protection locked="0"/>
    </xf>
    <xf numFmtId="0" fontId="1" fillId="0" borderId="0" xfId="0" applyFont="1" applyFill="1" applyBorder="1" applyAlignment="1" applyProtection="1">
      <alignment wrapText="1"/>
      <protection locked="0"/>
    </xf>
    <xf numFmtId="0" fontId="3" fillId="0" borderId="0" xfId="2" quotePrefix="1" applyFill="1" applyBorder="1" applyAlignment="1" applyProtection="1">
      <alignment wrapText="1"/>
      <protection locked="0"/>
    </xf>
    <xf numFmtId="0" fontId="0" fillId="0" borderId="1" xfId="0" applyFont="1" applyBorder="1" applyAlignment="1" applyProtection="1">
      <alignment vertical="top" wrapText="1"/>
      <protection locked="0"/>
    </xf>
    <xf numFmtId="1" fontId="8" fillId="9" borderId="12" xfId="0" applyNumberFormat="1" applyFont="1" applyFill="1" applyBorder="1" applyAlignment="1" applyProtection="1">
      <alignment horizontal="center" vertical="center"/>
    </xf>
    <xf numFmtId="165" fontId="8" fillId="9" borderId="22" xfId="0" applyNumberFormat="1" applyFont="1" applyFill="1" applyBorder="1" applyAlignment="1" applyProtection="1">
      <alignment horizontal="center" vertical="center"/>
    </xf>
    <xf numFmtId="0" fontId="8" fillId="9" borderId="1" xfId="0" applyNumberFormat="1" applyFont="1" applyFill="1" applyBorder="1" applyAlignment="1" applyProtection="1">
      <alignment horizontal="center" vertical="center" wrapText="1"/>
    </xf>
    <xf numFmtId="0" fontId="8" fillId="0" borderId="24" xfId="0" applyFont="1" applyFill="1" applyBorder="1" applyAlignment="1" applyProtection="1">
      <alignment horizontal="left" vertical="center" wrapText="1"/>
    </xf>
    <xf numFmtId="0" fontId="8" fillId="4" borderId="0" xfId="0" applyFont="1" applyFill="1" applyBorder="1" applyAlignment="1" applyProtection="1">
      <alignment horizontal="center" vertical="center"/>
    </xf>
    <xf numFmtId="0" fontId="8" fillId="0" borderId="35" xfId="0" applyFont="1" applyFill="1" applyBorder="1" applyAlignment="1" applyProtection="1">
      <alignment horizontal="left" vertical="center" wrapText="1"/>
    </xf>
    <xf numFmtId="0" fontId="8" fillId="0" borderId="30" xfId="0" applyFont="1" applyFill="1" applyBorder="1" applyAlignment="1" applyProtection="1">
      <alignment horizontal="left" vertical="center" wrapText="1"/>
    </xf>
    <xf numFmtId="0" fontId="8" fillId="0" borderId="25" xfId="0" applyFont="1" applyBorder="1" applyAlignment="1" applyProtection="1">
      <alignment horizontal="left" vertical="center" wrapText="1"/>
    </xf>
    <xf numFmtId="0" fontId="8" fillId="0" borderId="28" xfId="0" applyFont="1" applyBorder="1" applyAlignment="1" applyProtection="1">
      <alignment horizontal="left" vertical="center" wrapText="1"/>
    </xf>
    <xf numFmtId="0" fontId="8" fillId="0" borderId="1" xfId="0" applyFont="1" applyBorder="1" applyAlignment="1" applyProtection="1">
      <alignment horizontal="left" vertical="center" wrapText="1"/>
    </xf>
    <xf numFmtId="164" fontId="8" fillId="8" borderId="1" xfId="0" applyNumberFormat="1" applyFont="1" applyFill="1" applyBorder="1" applyAlignment="1" applyProtection="1">
      <alignment horizontal="center" vertical="center" wrapText="1"/>
    </xf>
    <xf numFmtId="0" fontId="8" fillId="4" borderId="1" xfId="0" applyFont="1" applyFill="1" applyBorder="1" applyAlignment="1" applyProtection="1">
      <alignment horizontal="center" vertical="center"/>
    </xf>
    <xf numFmtId="0" fontId="8" fillId="5" borderId="1" xfId="0" applyNumberFormat="1" applyFont="1" applyFill="1" applyBorder="1" applyAlignment="1" applyProtection="1">
      <alignment horizontal="center" vertical="center" wrapText="1"/>
      <protection locked="0"/>
    </xf>
    <xf numFmtId="2" fontId="8" fillId="9" borderId="1" xfId="0" applyNumberFormat="1" applyFont="1" applyFill="1" applyBorder="1" applyAlignment="1" applyProtection="1">
      <alignment horizontal="center" vertical="center" wrapText="1"/>
    </xf>
    <xf numFmtId="0" fontId="8" fillId="4" borderId="34" xfId="0" applyFont="1" applyFill="1" applyBorder="1" applyAlignment="1" applyProtection="1">
      <alignment horizontal="center" vertical="center"/>
    </xf>
    <xf numFmtId="0" fontId="8" fillId="4" borderId="22" xfId="0" applyFont="1" applyFill="1" applyBorder="1" applyAlignment="1" applyProtection="1">
      <alignment horizontal="center" vertical="center"/>
    </xf>
    <xf numFmtId="0" fontId="4" fillId="2" borderId="11" xfId="0" applyFont="1" applyFill="1" applyBorder="1" applyAlignment="1" applyProtection="1">
      <alignment horizontal="left" vertical="center" wrapText="1"/>
    </xf>
    <xf numFmtId="0" fontId="4" fillId="2" borderId="15" xfId="0" applyFont="1" applyFill="1" applyBorder="1" applyAlignment="1" applyProtection="1">
      <alignment horizontal="left" vertical="center" wrapText="1"/>
    </xf>
    <xf numFmtId="0" fontId="4" fillId="2" borderId="11" xfId="0" applyFont="1" applyFill="1" applyBorder="1" applyAlignment="1" applyProtection="1">
      <alignment vertical="center" wrapText="1"/>
    </xf>
    <xf numFmtId="0" fontId="1" fillId="0" borderId="0" xfId="0" applyFont="1" applyBorder="1" applyAlignment="1" applyProtection="1">
      <alignment wrapText="1"/>
    </xf>
    <xf numFmtId="0" fontId="1" fillId="0" borderId="0" xfId="0" applyFont="1" applyBorder="1" applyProtection="1"/>
    <xf numFmtId="0" fontId="0" fillId="0" borderId="1" xfId="0" applyFont="1" applyFill="1" applyBorder="1" applyAlignment="1" applyProtection="1">
      <alignment horizontal="left" vertical="top"/>
    </xf>
    <xf numFmtId="0" fontId="0" fillId="0" borderId="1" xfId="0" applyFont="1" applyFill="1" applyBorder="1" applyAlignment="1" applyProtection="1">
      <alignment horizontal="left" vertical="top" wrapText="1"/>
    </xf>
    <xf numFmtId="0" fontId="1" fillId="0" borderId="0" xfId="0" applyFont="1" applyFill="1" applyBorder="1" applyProtection="1"/>
    <xf numFmtId="0" fontId="0" fillId="0" borderId="15" xfId="0" applyFont="1" applyFill="1" applyBorder="1" applyAlignment="1" applyProtection="1">
      <alignment horizontal="left" vertical="top"/>
    </xf>
    <xf numFmtId="0" fontId="0" fillId="0" borderId="15" xfId="0" applyFont="1" applyFill="1" applyBorder="1" applyAlignment="1" applyProtection="1">
      <alignment horizontal="left" vertical="top" wrapText="1"/>
    </xf>
    <xf numFmtId="0" fontId="0" fillId="0" borderId="1" xfId="0" applyFont="1" applyFill="1" applyBorder="1" applyAlignment="1" applyProtection="1">
      <alignment horizontal="center" vertical="center" wrapText="1"/>
    </xf>
    <xf numFmtId="0" fontId="0" fillId="0" borderId="1" xfId="0" applyFont="1" applyBorder="1" applyAlignment="1" applyProtection="1">
      <alignment horizontal="left" vertical="top" wrapText="1"/>
    </xf>
    <xf numFmtId="0" fontId="1" fillId="0" borderId="0" xfId="0" applyFont="1" applyFill="1" applyBorder="1" applyAlignment="1" applyProtection="1">
      <alignment wrapText="1"/>
    </xf>
    <xf numFmtId="0" fontId="0" fillId="0" borderId="0" xfId="0" applyFont="1" applyFill="1" applyBorder="1" applyAlignment="1" applyProtection="1">
      <alignment horizontal="left" vertical="top"/>
    </xf>
    <xf numFmtId="0" fontId="0" fillId="0" borderId="0" xfId="0" applyFont="1" applyFill="1" applyBorder="1" applyAlignment="1" applyProtection="1">
      <alignment horizontal="left" vertical="top" wrapText="1"/>
    </xf>
    <xf numFmtId="0" fontId="0" fillId="0" borderId="0" xfId="0" applyFont="1" applyBorder="1" applyAlignment="1" applyProtection="1">
      <alignment horizontal="left" vertical="top" wrapText="1"/>
    </xf>
    <xf numFmtId="0" fontId="0" fillId="0" borderId="0" xfId="0" applyFont="1" applyBorder="1" applyAlignment="1" applyProtection="1">
      <alignment vertical="top" wrapText="1"/>
    </xf>
    <xf numFmtId="0" fontId="0" fillId="0" borderId="0" xfId="0" applyFont="1" applyFill="1" applyBorder="1" applyAlignment="1" applyProtection="1">
      <alignment vertical="top" wrapText="1"/>
    </xf>
    <xf numFmtId="0" fontId="0" fillId="0" borderId="1" xfId="0" applyFont="1" applyBorder="1" applyAlignment="1" applyProtection="1">
      <alignment horizontal="left" vertical="top"/>
    </xf>
    <xf numFmtId="0" fontId="0" fillId="0" borderId="1" xfId="0" applyBorder="1" applyAlignment="1" applyProtection="1">
      <alignment wrapText="1"/>
    </xf>
    <xf numFmtId="0" fontId="0" fillId="0" borderId="0" xfId="0" applyFont="1" applyBorder="1" applyAlignment="1" applyProtection="1">
      <alignment horizontal="left" vertical="top"/>
    </xf>
    <xf numFmtId="0" fontId="1" fillId="0" borderId="0" xfId="0" applyFont="1" applyBorder="1" applyAlignment="1" applyProtection="1">
      <alignment horizontal="left" vertical="top"/>
    </xf>
    <xf numFmtId="0" fontId="4" fillId="2" borderId="1" xfId="0" applyFont="1" applyFill="1" applyBorder="1" applyAlignment="1" applyProtection="1">
      <alignment horizontal="left" vertical="center" wrapText="1"/>
      <protection locked="0"/>
    </xf>
    <xf numFmtId="0" fontId="4" fillId="2" borderId="1" xfId="0" applyFont="1" applyFill="1" applyBorder="1" applyAlignment="1" applyProtection="1">
      <alignment vertical="center" wrapText="1"/>
      <protection locked="0"/>
    </xf>
    <xf numFmtId="0" fontId="5" fillId="0" borderId="0" xfId="0" applyFont="1" applyFill="1" applyAlignment="1" applyProtection="1">
      <alignment wrapText="1"/>
      <protection locked="0"/>
    </xf>
    <xf numFmtId="0" fontId="8" fillId="0" borderId="33" xfId="0" applyFont="1" applyFill="1" applyBorder="1" applyAlignment="1" applyProtection="1">
      <alignment horizontal="left" vertical="center" wrapText="1"/>
    </xf>
    <xf numFmtId="0" fontId="8" fillId="5" borderId="34" xfId="0" applyFont="1" applyFill="1" applyBorder="1" applyAlignment="1" applyProtection="1">
      <alignment horizontal="center" vertical="center"/>
      <protection locked="0"/>
    </xf>
    <xf numFmtId="0" fontId="8" fillId="0" borderId="34" xfId="0" applyFont="1" applyFill="1" applyBorder="1" applyAlignment="1" applyProtection="1">
      <alignment horizontal="left" vertical="center" wrapText="1"/>
    </xf>
    <xf numFmtId="0" fontId="8" fillId="0" borderId="11" xfId="0" applyFont="1" applyFill="1" applyBorder="1" applyAlignment="1" applyProtection="1">
      <alignment horizontal="left" vertical="center" wrapText="1"/>
    </xf>
    <xf numFmtId="1" fontId="8" fillId="4" borderId="11" xfId="0" applyNumberFormat="1" applyFont="1" applyFill="1" applyBorder="1" applyAlignment="1" applyProtection="1">
      <alignment horizontal="center" vertical="center"/>
    </xf>
    <xf numFmtId="0" fontId="8" fillId="4" borderId="1" xfId="0" applyFont="1" applyFill="1" applyBorder="1" applyAlignment="1" applyProtection="1">
      <alignment horizontal="center" vertical="center"/>
      <protection locked="0"/>
    </xf>
    <xf numFmtId="0" fontId="8" fillId="4" borderId="11" xfId="0" applyFont="1" applyFill="1" applyBorder="1" applyAlignment="1" applyProtection="1">
      <alignment horizontal="center" vertical="center"/>
      <protection locked="0"/>
    </xf>
    <xf numFmtId="2" fontId="8" fillId="8" borderId="11" xfId="0" applyNumberFormat="1" applyFont="1" applyFill="1" applyBorder="1" applyAlignment="1" applyProtection="1">
      <alignment horizontal="center" vertical="center"/>
    </xf>
    <xf numFmtId="2" fontId="8" fillId="9" borderId="1" xfId="0" applyNumberFormat="1" applyFont="1" applyFill="1" applyBorder="1" applyAlignment="1" applyProtection="1">
      <alignment horizontal="center" vertical="center"/>
    </xf>
    <xf numFmtId="0" fontId="8" fillId="0" borderId="25" xfId="0" applyFont="1" applyBorder="1" applyAlignment="1">
      <alignment horizontal="left" vertical="center" wrapText="1"/>
    </xf>
    <xf numFmtId="0" fontId="8" fillId="4" borderId="1" xfId="0" applyFont="1" applyFill="1" applyBorder="1" applyAlignment="1">
      <alignment horizontal="center" vertical="center"/>
    </xf>
    <xf numFmtId="0" fontId="8" fillId="0" borderId="1" xfId="0" applyFont="1" applyBorder="1" applyAlignment="1">
      <alignment horizontal="left" vertical="center" wrapText="1"/>
    </xf>
    <xf numFmtId="0" fontId="8" fillId="0" borderId="24" xfId="0" applyFont="1" applyBorder="1" applyAlignment="1">
      <alignment horizontal="left" vertical="center" wrapText="1"/>
    </xf>
    <xf numFmtId="165" fontId="8" fillId="8" borderId="1" xfId="0" applyNumberFormat="1" applyFont="1" applyFill="1" applyBorder="1" applyAlignment="1">
      <alignment horizontal="center" vertical="center" wrapText="1"/>
    </xf>
    <xf numFmtId="2" fontId="8" fillId="8" borderId="1" xfId="0" applyNumberFormat="1" applyFont="1" applyFill="1" applyBorder="1" applyAlignment="1">
      <alignment horizontal="center" vertical="center" wrapText="1"/>
    </xf>
    <xf numFmtId="0" fontId="8" fillId="4" borderId="29" xfId="0" applyFont="1" applyFill="1" applyBorder="1" applyAlignment="1" applyProtection="1">
      <alignment horizontal="center" vertical="center" wrapText="1"/>
    </xf>
    <xf numFmtId="0" fontId="8" fillId="4" borderId="15" xfId="0" applyFont="1" applyFill="1" applyBorder="1" applyAlignment="1" applyProtection="1">
      <alignment horizontal="center" vertical="center" wrapText="1"/>
    </xf>
    <xf numFmtId="0" fontId="8" fillId="4" borderId="29" xfId="0" applyFont="1" applyFill="1" applyBorder="1" applyAlignment="1" applyProtection="1">
      <alignment horizontal="center" vertical="center"/>
      <protection locked="0"/>
    </xf>
    <xf numFmtId="2" fontId="8" fillId="8" borderId="15" xfId="0" applyNumberFormat="1" applyFont="1" applyFill="1" applyBorder="1" applyAlignment="1" applyProtection="1">
      <alignment horizontal="center" vertical="center" wrapText="1"/>
    </xf>
    <xf numFmtId="165" fontId="8" fillId="5" borderId="1" xfId="0" applyNumberFormat="1" applyFont="1" applyFill="1" applyBorder="1" applyAlignment="1" applyProtection="1">
      <alignment horizontal="center" vertical="center"/>
      <protection locked="0"/>
    </xf>
    <xf numFmtId="0" fontId="8" fillId="4" borderId="1" xfId="0" applyNumberFormat="1" applyFont="1" applyFill="1" applyBorder="1" applyAlignment="1" applyProtection="1">
      <alignment horizontal="center" vertical="center" wrapText="1"/>
      <protection locked="0"/>
    </xf>
    <xf numFmtId="166" fontId="8" fillId="4" borderId="1" xfId="0" applyNumberFormat="1" applyFont="1" applyFill="1" applyBorder="1" applyAlignment="1" applyProtection="1">
      <alignment horizontal="center" vertical="center" wrapText="1"/>
    </xf>
    <xf numFmtId="2" fontId="8" fillId="4" borderId="1" xfId="0" applyNumberFormat="1" applyFont="1" applyFill="1" applyBorder="1" applyAlignment="1" applyProtection="1">
      <alignment horizontal="center" vertical="center" wrapText="1"/>
    </xf>
    <xf numFmtId="0" fontId="8" fillId="4" borderId="1" xfId="0" applyNumberFormat="1" applyFont="1" applyFill="1" applyBorder="1" applyAlignment="1" applyProtection="1">
      <alignment horizontal="center" vertical="center" wrapText="1"/>
    </xf>
    <xf numFmtId="1" fontId="8" fillId="4" borderId="1" xfId="0" applyNumberFormat="1" applyFont="1" applyFill="1" applyBorder="1" applyAlignment="1" applyProtection="1">
      <alignment horizontal="center" vertical="center" wrapText="1"/>
    </xf>
    <xf numFmtId="0" fontId="8" fillId="4" borderId="8" xfId="0" applyFont="1" applyFill="1" applyBorder="1" applyAlignment="1">
      <alignment horizontal="center" vertical="center"/>
    </xf>
    <xf numFmtId="165" fontId="8" fillId="8" borderId="1" xfId="0" applyNumberFormat="1" applyFont="1" applyFill="1" applyBorder="1" applyAlignment="1">
      <alignment horizontal="center" vertical="center"/>
    </xf>
    <xf numFmtId="2" fontId="8" fillId="9" borderId="1" xfId="0" applyNumberFormat="1" applyFont="1" applyFill="1" applyBorder="1" applyAlignment="1">
      <alignment horizontal="center" vertical="center" wrapText="1"/>
    </xf>
    <xf numFmtId="2" fontId="8" fillId="5" borderId="1" xfId="0" applyNumberFormat="1" applyFont="1" applyFill="1" applyBorder="1" applyAlignment="1" applyProtection="1">
      <alignment horizontal="center" vertical="center" wrapText="1"/>
      <protection locked="0"/>
    </xf>
    <xf numFmtId="0" fontId="8" fillId="0" borderId="1" xfId="0" applyFont="1" applyBorder="1" applyAlignment="1">
      <alignment horizontal="center" vertical="center"/>
    </xf>
    <xf numFmtId="0" fontId="2" fillId="0" borderId="1" xfId="0" applyFont="1" applyBorder="1"/>
    <xf numFmtId="2" fontId="8" fillId="8" borderId="1" xfId="0" applyNumberFormat="1" applyFont="1" applyFill="1" applyBorder="1" applyAlignment="1" applyProtection="1">
      <alignment horizontal="center" vertical="center"/>
    </xf>
    <xf numFmtId="2" fontId="8" fillId="8" borderId="1" xfId="0" applyNumberFormat="1" applyFont="1" applyFill="1" applyBorder="1" applyAlignment="1" applyProtection="1">
      <alignment horizontal="center" vertical="center" wrapText="1"/>
    </xf>
    <xf numFmtId="0" fontId="23" fillId="12" borderId="0" xfId="26" applyFont="1" applyFill="1" applyProtection="1">
      <protection hidden="1"/>
    </xf>
    <xf numFmtId="0" fontId="24" fillId="12" borderId="0" xfId="26" applyFont="1" applyFill="1" applyProtection="1">
      <protection hidden="1"/>
    </xf>
    <xf numFmtId="0" fontId="2" fillId="12" borderId="0" xfId="26" applyFill="1" applyProtection="1">
      <protection hidden="1"/>
    </xf>
    <xf numFmtId="49" fontId="2" fillId="12" borderId="0" xfId="26" applyNumberFormat="1" applyFill="1" applyProtection="1">
      <protection hidden="1"/>
    </xf>
    <xf numFmtId="0" fontId="2" fillId="12" borderId="0" xfId="26" applyFill="1"/>
    <xf numFmtId="0" fontId="25" fillId="12" borderId="0" xfId="26" applyFont="1" applyFill="1" applyProtection="1">
      <protection hidden="1"/>
    </xf>
    <xf numFmtId="0" fontId="2" fillId="12" borderId="36" xfId="26" applyFill="1" applyBorder="1" applyProtection="1">
      <protection hidden="1"/>
    </xf>
    <xf numFmtId="0" fontId="26" fillId="13" borderId="37" xfId="26" applyFont="1" applyFill="1" applyBorder="1" applyProtection="1">
      <protection hidden="1"/>
    </xf>
    <xf numFmtId="1" fontId="24" fillId="12" borderId="0" xfId="26" applyNumberFormat="1" applyFont="1" applyFill="1" applyProtection="1">
      <protection hidden="1"/>
    </xf>
    <xf numFmtId="48" fontId="28" fillId="16" borderId="2" xfId="26" applyNumberFormat="1" applyFont="1" applyFill="1" applyBorder="1" applyAlignment="1" applyProtection="1">
      <alignment horizontal="center"/>
      <protection hidden="1"/>
    </xf>
    <xf numFmtId="0" fontId="28" fillId="16" borderId="3" xfId="26" applyFont="1" applyFill="1" applyBorder="1" applyProtection="1">
      <protection hidden="1"/>
    </xf>
    <xf numFmtId="0" fontId="27" fillId="14" borderId="42" xfId="26" applyFont="1" applyFill="1" applyBorder="1" applyAlignment="1">
      <alignment horizontal="center" wrapText="1"/>
    </xf>
    <xf numFmtId="0" fontId="27" fillId="14" borderId="43" xfId="26" applyFont="1" applyFill="1" applyBorder="1" applyAlignment="1">
      <alignment horizontal="center" wrapText="1"/>
    </xf>
    <xf numFmtId="0" fontId="27" fillId="15" borderId="42" xfId="26" applyFont="1" applyFill="1" applyBorder="1" applyAlignment="1">
      <alignment horizontal="center" wrapText="1"/>
    </xf>
    <xf numFmtId="0" fontId="27" fillId="15" borderId="44" xfId="26" applyFont="1" applyFill="1" applyBorder="1" applyAlignment="1">
      <alignment horizontal="center" wrapText="1"/>
    </xf>
    <xf numFmtId="48" fontId="26" fillId="13" borderId="31" xfId="26" applyNumberFormat="1" applyFont="1" applyFill="1" applyBorder="1" applyAlignment="1" applyProtection="1">
      <alignment horizontal="center"/>
      <protection hidden="1"/>
    </xf>
    <xf numFmtId="0" fontId="26" fillId="13" borderId="32" xfId="26" applyFont="1" applyFill="1" applyBorder="1" applyProtection="1">
      <protection hidden="1"/>
    </xf>
    <xf numFmtId="0" fontId="2" fillId="12" borderId="33" xfId="26" applyFill="1" applyBorder="1" applyProtection="1">
      <protection hidden="1"/>
    </xf>
    <xf numFmtId="0" fontId="28" fillId="16" borderId="35" xfId="26" applyFont="1" applyFill="1" applyBorder="1" applyProtection="1">
      <protection hidden="1"/>
    </xf>
    <xf numFmtId="1" fontId="29" fillId="12" borderId="0" xfId="26" applyNumberFormat="1" applyFont="1" applyFill="1" applyProtection="1">
      <protection hidden="1"/>
    </xf>
    <xf numFmtId="164" fontId="30" fillId="12" borderId="0" xfId="26" applyNumberFormat="1" applyFont="1" applyFill="1" applyAlignment="1" applyProtection="1">
      <alignment horizontal="center"/>
      <protection hidden="1"/>
    </xf>
    <xf numFmtId="2" fontId="29" fillId="12" borderId="0" xfId="26" applyNumberFormat="1" applyFont="1" applyFill="1" applyAlignment="1" applyProtection="1">
      <alignment horizontal="center"/>
      <protection hidden="1"/>
    </xf>
    <xf numFmtId="0" fontId="2" fillId="12" borderId="25" xfId="26" applyFill="1" applyBorder="1" applyProtection="1">
      <protection hidden="1"/>
    </xf>
    <xf numFmtId="0" fontId="28" fillId="16" borderId="24" xfId="26" applyFont="1" applyFill="1" applyBorder="1" applyProtection="1">
      <protection hidden="1"/>
    </xf>
    <xf numFmtId="0" fontId="31" fillId="12" borderId="0" xfId="26" applyFont="1" applyFill="1" applyProtection="1">
      <protection hidden="1"/>
    </xf>
    <xf numFmtId="0" fontId="32" fillId="12" borderId="0" xfId="26" applyFont="1" applyFill="1" applyAlignment="1" applyProtection="1">
      <alignment horizontal="center" wrapText="1"/>
      <protection hidden="1"/>
    </xf>
    <xf numFmtId="2" fontId="2" fillId="12" borderId="0" xfId="26" applyNumberFormat="1" applyFill="1" applyAlignment="1" applyProtection="1">
      <alignment horizontal="center"/>
      <protection hidden="1"/>
    </xf>
    <xf numFmtId="1" fontId="2" fillId="12" borderId="0" xfId="26" applyNumberFormat="1" applyFill="1"/>
    <xf numFmtId="0" fontId="2" fillId="12" borderId="26" xfId="26" applyFill="1" applyBorder="1" applyProtection="1">
      <protection hidden="1"/>
    </xf>
    <xf numFmtId="0" fontId="28" fillId="16" borderId="27" xfId="26" applyFont="1" applyFill="1" applyBorder="1" applyProtection="1">
      <protection hidden="1"/>
    </xf>
    <xf numFmtId="0" fontId="27" fillId="17" borderId="42" xfId="26" applyFont="1" applyFill="1" applyBorder="1" applyAlignment="1">
      <alignment horizontal="center" wrapText="1"/>
    </xf>
    <xf numFmtId="0" fontId="27" fillId="17" borderId="43" xfId="26" applyFont="1" applyFill="1" applyBorder="1" applyAlignment="1">
      <alignment horizontal="center" wrapText="1"/>
    </xf>
    <xf numFmtId="0" fontId="2" fillId="12" borderId="0" xfId="26" applyFill="1" applyAlignment="1" applyProtection="1">
      <alignment horizontal="center"/>
      <protection hidden="1"/>
    </xf>
    <xf numFmtId="0" fontId="2" fillId="12" borderId="0" xfId="26" applyFill="1" applyAlignment="1">
      <alignment wrapText="1"/>
    </xf>
    <xf numFmtId="0" fontId="2" fillId="12" borderId="0" xfId="26" applyFill="1" applyAlignment="1">
      <alignment horizontal="center"/>
    </xf>
    <xf numFmtId="0" fontId="28" fillId="12" borderId="0" xfId="26" applyFont="1" applyFill="1" applyProtection="1">
      <protection hidden="1"/>
    </xf>
    <xf numFmtId="0" fontId="27" fillId="17" borderId="39" xfId="26" applyFont="1" applyFill="1" applyBorder="1" applyAlignment="1">
      <alignment horizontal="center" wrapText="1"/>
    </xf>
    <xf numFmtId="49" fontId="33" fillId="16" borderId="42" xfId="26" applyNumberFormat="1" applyFont="1" applyFill="1" applyBorder="1" applyAlignment="1">
      <alignment horizontal="center" wrapText="1"/>
    </xf>
    <xf numFmtId="49" fontId="33" fillId="16" borderId="43" xfId="26" applyNumberFormat="1" applyFont="1" applyFill="1" applyBorder="1" applyAlignment="1">
      <alignment horizontal="center" wrapText="1"/>
    </xf>
    <xf numFmtId="0" fontId="34" fillId="12" borderId="0" xfId="26" applyFont="1" applyFill="1"/>
    <xf numFmtId="49" fontId="2" fillId="12" borderId="0" xfId="26" applyNumberFormat="1" applyFill="1"/>
    <xf numFmtId="49" fontId="33" fillId="16" borderId="44" xfId="26" applyNumberFormat="1" applyFont="1" applyFill="1" applyBorder="1" applyAlignment="1">
      <alignment horizontal="center" wrapText="1"/>
    </xf>
    <xf numFmtId="49" fontId="29" fillId="12" borderId="0" xfId="26" applyNumberFormat="1" applyFont="1" applyFill="1" applyProtection="1">
      <protection hidden="1"/>
    </xf>
    <xf numFmtId="0" fontId="29" fillId="12" borderId="0" xfId="26" applyFont="1" applyFill="1" applyProtection="1">
      <protection hidden="1"/>
    </xf>
    <xf numFmtId="0" fontId="33" fillId="12" borderId="0" xfId="26" applyFont="1" applyFill="1" applyAlignment="1" applyProtection="1">
      <alignment horizontal="center" wrapText="1"/>
      <protection hidden="1"/>
    </xf>
    <xf numFmtId="0" fontId="29" fillId="12" borderId="0" xfId="26" applyFont="1" applyFill="1"/>
    <xf numFmtId="0" fontId="35" fillId="0" borderId="0" xfId="1" applyFont="1" applyAlignment="1">
      <alignment horizontal="center" wrapText="1"/>
    </xf>
    <xf numFmtId="0" fontId="2" fillId="0" borderId="0" xfId="1" applyAlignment="1" applyProtection="1">
      <alignment horizontal="center"/>
      <protection hidden="1"/>
    </xf>
    <xf numFmtId="0" fontId="2" fillId="0" borderId="0" xfId="1" applyProtection="1">
      <protection hidden="1"/>
    </xf>
    <xf numFmtId="0" fontId="14" fillId="0" borderId="0" xfId="0" applyFont="1"/>
    <xf numFmtId="0" fontId="2" fillId="0" borderId="0" xfId="14" applyFont="1"/>
    <xf numFmtId="0" fontId="2" fillId="0" borderId="0" xfId="0" applyFont="1" applyProtection="1">
      <protection hidden="1"/>
    </xf>
    <xf numFmtId="0" fontId="14" fillId="0" borderId="0" xfId="0" applyFont="1" applyAlignment="1"/>
    <xf numFmtId="0" fontId="2" fillId="0" borderId="0" xfId="0" applyFont="1"/>
    <xf numFmtId="0" fontId="1" fillId="0" borderId="0" xfId="0" applyFont="1"/>
    <xf numFmtId="0" fontId="14" fillId="0" borderId="0" xfId="0" applyFont="1" applyFill="1" applyAlignment="1" applyProtection="1">
      <alignment horizontal="center" vertical="center"/>
      <protection hidden="1"/>
    </xf>
    <xf numFmtId="11" fontId="14" fillId="0" borderId="0" xfId="0" applyNumberFormat="1" applyFont="1" applyFill="1" applyAlignment="1" applyProtection="1">
      <alignment horizontal="center" vertical="center"/>
      <protection hidden="1"/>
    </xf>
    <xf numFmtId="11" fontId="14" fillId="0" borderId="0" xfId="0" applyNumberFormat="1" applyFont="1" applyFill="1" applyAlignment="1" applyProtection="1">
      <alignment horizontal="left" vertical="center"/>
      <protection hidden="1"/>
    </xf>
    <xf numFmtId="2" fontId="14" fillId="0" borderId="0" xfId="0" applyNumberFormat="1" applyFont="1" applyFill="1" applyAlignment="1" applyProtection="1">
      <alignment horizontal="left" vertical="center"/>
      <protection hidden="1"/>
    </xf>
    <xf numFmtId="0" fontId="14" fillId="0" borderId="0" xfId="0" applyFont="1" applyAlignment="1">
      <alignment horizontal="left"/>
    </xf>
    <xf numFmtId="11" fontId="14" fillId="0" borderId="0" xfId="0" applyNumberFormat="1" applyFont="1" applyFill="1" applyAlignment="1" applyProtection="1">
      <alignment horizontal="left" vertical="top"/>
      <protection hidden="1"/>
    </xf>
    <xf numFmtId="0" fontId="2" fillId="0" borderId="0" xfId="0" applyFont="1" applyAlignment="1">
      <alignment horizontal="left" vertical="top"/>
    </xf>
    <xf numFmtId="0" fontId="2" fillId="0" borderId="0" xfId="0" applyFont="1" applyAlignment="1" applyProtection="1">
      <protection hidden="1"/>
    </xf>
    <xf numFmtId="1" fontId="14" fillId="0" borderId="0" xfId="0" applyNumberFormat="1" applyFont="1" applyFill="1" applyAlignment="1" applyProtection="1">
      <alignment horizontal="left" vertical="center"/>
      <protection hidden="1"/>
    </xf>
    <xf numFmtId="1" fontId="14" fillId="0" borderId="0" xfId="0" applyNumberFormat="1" applyFont="1" applyAlignment="1">
      <alignment horizontal="left"/>
    </xf>
    <xf numFmtId="0" fontId="14" fillId="0" borderId="0" xfId="0" applyFont="1" applyAlignment="1">
      <alignment horizontal="right"/>
    </xf>
    <xf numFmtId="0" fontId="14" fillId="0" borderId="0" xfId="0" applyFont="1" applyFill="1" applyAlignment="1" applyProtection="1">
      <alignment horizontal="left" vertical="center"/>
      <protection hidden="1"/>
    </xf>
    <xf numFmtId="2" fontId="14" fillId="0" borderId="0" xfId="0" applyNumberFormat="1" applyFont="1" applyFill="1" applyAlignment="1" applyProtection="1">
      <alignment horizontal="center" vertical="center"/>
      <protection hidden="1"/>
    </xf>
    <xf numFmtId="165" fontId="14" fillId="0" borderId="0" xfId="0" applyNumberFormat="1" applyFont="1" applyFill="1" applyAlignment="1" applyProtection="1">
      <alignment horizontal="center" vertical="center"/>
      <protection hidden="1"/>
    </xf>
    <xf numFmtId="0" fontId="2" fillId="0" borderId="0" xfId="15" applyFont="1" applyBorder="1"/>
    <xf numFmtId="0" fontId="2" fillId="0" borderId="0" xfId="14" applyFont="1" applyBorder="1"/>
    <xf numFmtId="0" fontId="2" fillId="0" borderId="0" xfId="14" applyFont="1" applyFill="1" applyBorder="1"/>
    <xf numFmtId="165" fontId="2" fillId="0" borderId="0" xfId="14" applyNumberFormat="1" applyFont="1" applyBorder="1"/>
    <xf numFmtId="0" fontId="2" fillId="0" borderId="0" xfId="0" applyFont="1" applyBorder="1" applyProtection="1">
      <protection hidden="1"/>
    </xf>
    <xf numFmtId="0" fontId="2" fillId="0" borderId="0" xfId="15" applyFont="1" applyFill="1" applyBorder="1"/>
    <xf numFmtId="0" fontId="14" fillId="0" borderId="0" xfId="0" applyFont="1" applyFill="1" applyBorder="1" applyAlignment="1" applyProtection="1">
      <alignment vertical="center"/>
      <protection hidden="1"/>
    </xf>
    <xf numFmtId="0" fontId="14" fillId="0" borderId="0" xfId="0" applyFont="1" applyBorder="1" applyAlignment="1">
      <alignment vertical="center"/>
    </xf>
    <xf numFmtId="11" fontId="14" fillId="0" borderId="0" xfId="0" applyNumberFormat="1" applyFont="1" applyFill="1" applyBorder="1" applyAlignment="1" applyProtection="1">
      <alignment vertical="center"/>
      <protection hidden="1"/>
    </xf>
    <xf numFmtId="0" fontId="14" fillId="0" borderId="0" xfId="0" applyFont="1" applyBorder="1"/>
    <xf numFmtId="165" fontId="14" fillId="0" borderId="0" xfId="0" applyNumberFormat="1" applyFont="1" applyBorder="1"/>
    <xf numFmtId="1" fontId="14" fillId="0" borderId="0" xfId="0" applyNumberFormat="1" applyFont="1" applyBorder="1" applyAlignment="1">
      <alignment horizontal="right"/>
    </xf>
    <xf numFmtId="1" fontId="14" fillId="0" borderId="0" xfId="0" applyNumberFormat="1" applyFont="1" applyBorder="1"/>
    <xf numFmtId="2" fontId="14" fillId="0" borderId="0" xfId="0" applyNumberFormat="1" applyFont="1" applyBorder="1"/>
    <xf numFmtId="165" fontId="14" fillId="0" borderId="0" xfId="0" applyNumberFormat="1" applyFont="1" applyBorder="1" applyAlignment="1">
      <alignment horizontal="right"/>
    </xf>
    <xf numFmtId="0" fontId="2" fillId="0" borderId="0" xfId="0" applyFont="1" applyBorder="1"/>
    <xf numFmtId="0" fontId="8" fillId="0" borderId="22" xfId="0" applyFont="1" applyBorder="1" applyAlignment="1" applyProtection="1">
      <alignment horizontal="left" vertical="center" wrapText="1"/>
    </xf>
    <xf numFmtId="2" fontId="14" fillId="0" borderId="0" xfId="0" applyNumberFormat="1" applyFont="1"/>
    <xf numFmtId="2" fontId="8" fillId="4" borderId="0" xfId="0" applyNumberFormat="1" applyFont="1" applyFill="1" applyBorder="1" applyAlignment="1" applyProtection="1">
      <alignment horizontal="center" vertical="center" wrapText="1"/>
    </xf>
    <xf numFmtId="1" fontId="8" fillId="8" borderId="1" xfId="0" applyNumberFormat="1" applyFont="1" applyFill="1" applyBorder="1" applyAlignment="1">
      <alignment horizontal="center" vertical="center"/>
    </xf>
    <xf numFmtId="2" fontId="8" fillId="7" borderId="8" xfId="0" applyNumberFormat="1" applyFont="1" applyFill="1" applyBorder="1" applyAlignment="1" applyProtection="1">
      <alignment horizontal="center" vertical="center"/>
    </xf>
    <xf numFmtId="0" fontId="8" fillId="7" borderId="8" xfId="0" applyFont="1" applyFill="1" applyBorder="1" applyAlignment="1" applyProtection="1">
      <alignment horizontal="center" vertical="center" wrapText="1"/>
    </xf>
    <xf numFmtId="164" fontId="8" fillId="4" borderId="29" xfId="0" applyNumberFormat="1" applyFont="1" applyFill="1" applyBorder="1" applyAlignment="1" applyProtection="1">
      <alignment horizontal="center" vertical="center"/>
      <protection locked="0"/>
    </xf>
    <xf numFmtId="0" fontId="8" fillId="0" borderId="25" xfId="0" applyFont="1" applyBorder="1" applyAlignment="1" applyProtection="1">
      <alignment horizontal="left" vertical="center" wrapText="1"/>
    </xf>
    <xf numFmtId="0" fontId="8" fillId="4" borderId="8" xfId="0" applyFont="1" applyFill="1" applyBorder="1" applyAlignment="1" applyProtection="1">
      <alignment horizontal="center" vertical="center"/>
    </xf>
    <xf numFmtId="0" fontId="8" fillId="0" borderId="24" xfId="0" applyFont="1" applyFill="1" applyBorder="1" applyAlignment="1" applyProtection="1">
      <alignment horizontal="left" vertical="center" wrapText="1"/>
    </xf>
    <xf numFmtId="0" fontId="8" fillId="4" borderId="0" xfId="0" applyFont="1" applyFill="1" applyBorder="1" applyAlignment="1" applyProtection="1">
      <alignment horizontal="center" vertical="center" wrapText="1"/>
    </xf>
    <xf numFmtId="0" fontId="8" fillId="0" borderId="1" xfId="0" applyFont="1" applyBorder="1" applyAlignment="1" applyProtection="1">
      <alignment horizontal="left" vertical="center" wrapText="1"/>
    </xf>
    <xf numFmtId="165" fontId="8" fillId="9" borderId="1" xfId="0" applyNumberFormat="1" applyFont="1" applyFill="1" applyBorder="1" applyAlignment="1" applyProtection="1">
      <alignment horizontal="center" vertical="center"/>
    </xf>
    <xf numFmtId="0" fontId="8" fillId="0" borderId="15" xfId="0" applyFont="1" applyBorder="1" applyAlignment="1" applyProtection="1">
      <alignment horizontal="left" vertical="center" wrapText="1"/>
    </xf>
    <xf numFmtId="0" fontId="8" fillId="0" borderId="33" xfId="0" applyFont="1" applyBorder="1" applyAlignment="1" applyProtection="1">
      <alignment horizontal="left" vertical="center" wrapText="1"/>
    </xf>
    <xf numFmtId="0" fontId="8" fillId="0" borderId="34" xfId="0" applyFont="1" applyBorder="1" applyAlignment="1" applyProtection="1">
      <alignment horizontal="left" vertical="center" wrapText="1"/>
    </xf>
    <xf numFmtId="0" fontId="8" fillId="4" borderId="45" xfId="0" applyFont="1" applyFill="1" applyBorder="1" applyAlignment="1" applyProtection="1">
      <alignment horizontal="center" vertical="center"/>
    </xf>
    <xf numFmtId="164" fontId="8" fillId="8" borderId="1" xfId="0" applyNumberFormat="1" applyFont="1" applyFill="1" applyBorder="1" applyAlignment="1">
      <alignment horizontal="center" vertical="center" wrapText="1"/>
    </xf>
    <xf numFmtId="0" fontId="8" fillId="0" borderId="25" xfId="0" applyFont="1" applyBorder="1"/>
    <xf numFmtId="0" fontId="8" fillId="0" borderId="1" xfId="0" applyFont="1" applyBorder="1" applyAlignment="1" applyProtection="1">
      <alignment horizontal="center"/>
      <protection locked="0"/>
    </xf>
    <xf numFmtId="1" fontId="8" fillId="0" borderId="1" xfId="0" applyNumberFormat="1" applyFont="1" applyBorder="1" applyAlignment="1">
      <alignment horizontal="center"/>
    </xf>
    <xf numFmtId="1" fontId="8" fillId="0" borderId="1" xfId="0" applyNumberFormat="1" applyFont="1" applyBorder="1" applyAlignment="1" applyProtection="1">
      <alignment horizontal="center"/>
      <protection locked="0"/>
    </xf>
    <xf numFmtId="1" fontId="8" fillId="8" borderId="1" xfId="0" applyNumberFormat="1" applyFont="1" applyFill="1" applyBorder="1" applyAlignment="1">
      <alignment horizontal="center"/>
    </xf>
    <xf numFmtId="0" fontId="8" fillId="0" borderId="1" xfId="0" applyFont="1" applyBorder="1"/>
    <xf numFmtId="0" fontId="8" fillId="0" borderId="24" xfId="0" applyFont="1" applyBorder="1" applyAlignment="1">
      <alignment wrapText="1"/>
    </xf>
    <xf numFmtId="164" fontId="8" fillId="0" borderId="1" xfId="0" applyNumberFormat="1" applyFont="1" applyBorder="1" applyAlignment="1">
      <alignment horizontal="center"/>
    </xf>
    <xf numFmtId="164" fontId="8" fillId="0" borderId="1" xfId="0" applyNumberFormat="1" applyFont="1" applyBorder="1" applyAlignment="1" applyProtection="1">
      <alignment horizontal="center"/>
      <protection locked="0"/>
    </xf>
    <xf numFmtId="165" fontId="8" fillId="8" borderId="1" xfId="0" applyNumberFormat="1" applyFont="1" applyFill="1" applyBorder="1" applyAlignment="1">
      <alignment horizontal="center"/>
    </xf>
    <xf numFmtId="0" fontId="8" fillId="0" borderId="1" xfId="0" applyFont="1" applyBorder="1" applyAlignment="1">
      <alignment horizontal="center"/>
    </xf>
    <xf numFmtId="0" fontId="8" fillId="5" borderId="1" xfId="0" applyFont="1" applyFill="1" applyBorder="1" applyAlignment="1" applyProtection="1">
      <alignment horizontal="center"/>
      <protection locked="0"/>
    </xf>
    <xf numFmtId="0" fontId="8" fillId="4" borderId="1" xfId="0" applyFont="1" applyFill="1" applyBorder="1" applyAlignment="1">
      <alignment horizontal="center"/>
    </xf>
    <xf numFmtId="0" fontId="8" fillId="4" borderId="1" xfId="0" applyFont="1" applyFill="1" applyBorder="1"/>
    <xf numFmtId="0" fontId="2" fillId="0" borderId="22" xfId="0" applyFont="1" applyBorder="1"/>
    <xf numFmtId="2" fontId="8" fillId="9" borderId="22" xfId="0" applyNumberFormat="1" applyFont="1" applyFill="1" applyBorder="1" applyAlignment="1" applyProtection="1">
      <alignment horizontal="center" vertical="center" wrapText="1"/>
    </xf>
    <xf numFmtId="0" fontId="8" fillId="4" borderId="22" xfId="0" applyNumberFormat="1" applyFont="1" applyFill="1" applyBorder="1" applyAlignment="1" applyProtection="1">
      <alignment horizontal="center" vertical="center" wrapText="1"/>
      <protection locked="0"/>
    </xf>
    <xf numFmtId="0" fontId="8" fillId="4" borderId="15" xfId="0" applyFont="1" applyFill="1" applyBorder="1" applyAlignment="1" applyProtection="1">
      <alignment horizontal="center" vertical="center"/>
    </xf>
    <xf numFmtId="2" fontId="8" fillId="4" borderId="11" xfId="0" applyNumberFormat="1" applyFont="1" applyFill="1" applyBorder="1" applyAlignment="1" applyProtection="1">
      <alignment horizontal="center" vertical="center" wrapText="1"/>
    </xf>
    <xf numFmtId="1" fontId="8" fillId="9" borderId="1" xfId="0" applyNumberFormat="1" applyFont="1" applyFill="1" applyBorder="1" applyAlignment="1" applyProtection="1">
      <alignment horizontal="center" vertical="center" wrapText="1"/>
    </xf>
    <xf numFmtId="0" fontId="39" fillId="0" borderId="0" xfId="1" applyFont="1" applyAlignment="1" applyProtection="1">
      <alignment horizontal="center"/>
      <protection hidden="1"/>
    </xf>
    <xf numFmtId="0" fontId="39" fillId="0" borderId="0" xfId="1" applyFont="1" applyAlignment="1" applyProtection="1">
      <alignment horizontal="center" wrapText="1"/>
      <protection hidden="1"/>
    </xf>
    <xf numFmtId="0" fontId="39" fillId="0" borderId="0" xfId="1" quotePrefix="1" applyFont="1" applyAlignment="1" applyProtection="1">
      <alignment horizontal="center"/>
      <protection hidden="1"/>
    </xf>
    <xf numFmtId="0" fontId="39" fillId="0" borderId="0" xfId="1" applyFont="1" applyProtection="1">
      <protection hidden="1"/>
    </xf>
    <xf numFmtId="1" fontId="39" fillId="0" borderId="0" xfId="1" applyNumberFormat="1" applyFont="1" applyProtection="1">
      <protection hidden="1"/>
    </xf>
    <xf numFmtId="0" fontId="39" fillId="0" borderId="0" xfId="1" applyFont="1" applyAlignment="1" applyProtection="1">
      <alignment wrapText="1"/>
      <protection hidden="1"/>
    </xf>
    <xf numFmtId="0" fontId="39" fillId="0" borderId="0" xfId="1" applyFont="1" applyAlignment="1" applyProtection="1">
      <alignment horizontal="left"/>
      <protection hidden="1"/>
    </xf>
    <xf numFmtId="0" fontId="39" fillId="0" borderId="0" xfId="1" applyFont="1" applyAlignment="1" applyProtection="1">
      <alignment horizontal="right"/>
      <protection hidden="1"/>
    </xf>
    <xf numFmtId="48" fontId="39" fillId="0" borderId="0" xfId="1" applyNumberFormat="1" applyFont="1" applyProtection="1">
      <protection hidden="1"/>
    </xf>
    <xf numFmtId="164" fontId="39" fillId="0" borderId="0" xfId="1" applyNumberFormat="1" applyFont="1" applyProtection="1">
      <protection hidden="1"/>
    </xf>
    <xf numFmtId="2" fontId="39" fillId="0" borderId="0" xfId="1" applyNumberFormat="1" applyFont="1" applyProtection="1">
      <protection hidden="1"/>
    </xf>
    <xf numFmtId="0" fontId="2" fillId="0" borderId="0" xfId="1" applyFont="1" applyFill="1"/>
    <xf numFmtId="0" fontId="2" fillId="0" borderId="0" xfId="1" applyFont="1" applyAlignment="1">
      <alignment horizontal="left"/>
    </xf>
    <xf numFmtId="0" fontId="2" fillId="18" borderId="0" xfId="1" applyFont="1" applyFill="1" applyAlignment="1" applyProtection="1">
      <alignment horizontal="right"/>
      <protection locked="0"/>
    </xf>
    <xf numFmtId="0" fontId="2" fillId="19" borderId="0" xfId="1" applyFont="1" applyFill="1"/>
    <xf numFmtId="0" fontId="2" fillId="0" borderId="0" xfId="1" applyFont="1"/>
    <xf numFmtId="1" fontId="2" fillId="18" borderId="0" xfId="1" applyNumberFormat="1" applyFont="1" applyFill="1" applyAlignment="1" applyProtection="1">
      <alignment horizontal="right"/>
      <protection locked="0"/>
    </xf>
    <xf numFmtId="1" fontId="2" fillId="19" borderId="0" xfId="1" applyNumberFormat="1" applyFont="1" applyFill="1"/>
    <xf numFmtId="48" fontId="2" fillId="18" borderId="0" xfId="1" applyNumberFormat="1" applyFont="1" applyFill="1" applyAlignment="1" applyProtection="1">
      <alignment horizontal="right"/>
      <protection locked="0"/>
    </xf>
    <xf numFmtId="48" fontId="2" fillId="19" borderId="0" xfId="1" applyNumberFormat="1" applyFont="1" applyFill="1"/>
    <xf numFmtId="48" fontId="2" fillId="0" borderId="0" xfId="1" applyNumberFormat="1" applyFont="1"/>
    <xf numFmtId="164" fontId="2" fillId="19" borderId="0" xfId="1" applyNumberFormat="1" applyFont="1" applyFill="1"/>
    <xf numFmtId="0" fontId="2" fillId="0" borderId="0" xfId="1" applyFont="1" applyAlignment="1" applyProtection="1">
      <alignment horizontal="left"/>
      <protection hidden="1"/>
    </xf>
    <xf numFmtId="0" fontId="2" fillId="0" borderId="0" xfId="1" applyFont="1" applyProtection="1">
      <protection hidden="1"/>
    </xf>
    <xf numFmtId="48" fontId="2" fillId="19" borderId="0" xfId="1" applyNumberFormat="1" applyFont="1" applyFill="1" applyProtection="1">
      <protection hidden="1"/>
    </xf>
    <xf numFmtId="165" fontId="2" fillId="19" borderId="0" xfId="1" applyNumberFormat="1" applyFont="1" applyFill="1" applyProtection="1">
      <protection hidden="1"/>
    </xf>
    <xf numFmtId="1" fontId="2" fillId="0" borderId="0" xfId="1" applyNumberFormat="1" applyFont="1" applyProtection="1">
      <protection hidden="1"/>
    </xf>
    <xf numFmtId="0" fontId="38" fillId="4" borderId="1" xfId="1" applyFont="1" applyFill="1" applyBorder="1" applyAlignment="1" applyProtection="1">
      <alignment horizontal="left"/>
      <protection hidden="1"/>
    </xf>
    <xf numFmtId="1" fontId="8" fillId="4" borderId="1" xfId="0" applyNumberFormat="1" applyFont="1" applyFill="1" applyBorder="1" applyAlignment="1" applyProtection="1">
      <alignment horizontal="center" vertical="center"/>
    </xf>
    <xf numFmtId="2" fontId="8" fillId="5" borderId="1" xfId="0" applyNumberFormat="1" applyFont="1" applyFill="1" applyBorder="1" applyAlignment="1" applyProtection="1">
      <alignment horizontal="center" vertical="center"/>
      <protection locked="0"/>
    </xf>
    <xf numFmtId="1" fontId="8" fillId="5" borderId="1" xfId="0" applyNumberFormat="1" applyFont="1" applyFill="1" applyBorder="1" applyAlignment="1" applyProtection="1">
      <alignment horizontal="center" vertical="center"/>
      <protection locked="0"/>
    </xf>
    <xf numFmtId="165" fontId="8" fillId="5" borderId="11" xfId="0" applyNumberFormat="1" applyFont="1" applyFill="1" applyBorder="1" applyAlignment="1" applyProtection="1">
      <alignment horizontal="center" vertical="center"/>
      <protection locked="0"/>
    </xf>
    <xf numFmtId="0" fontId="8" fillId="0" borderId="28" xfId="0" applyFont="1" applyBorder="1"/>
    <xf numFmtId="0" fontId="8" fillId="0" borderId="15" xfId="0" applyFont="1" applyBorder="1" applyAlignment="1" applyProtection="1">
      <alignment horizontal="center"/>
      <protection locked="0"/>
    </xf>
    <xf numFmtId="0" fontId="8" fillId="4" borderId="15" xfId="0" applyFont="1" applyFill="1" applyBorder="1"/>
    <xf numFmtId="165" fontId="8" fillId="8" borderId="15" xfId="0" applyNumberFormat="1" applyFont="1" applyFill="1" applyBorder="1" applyAlignment="1">
      <alignment horizontal="center"/>
    </xf>
    <xf numFmtId="0" fontId="8" fillId="0" borderId="30" xfId="0" applyFont="1" applyBorder="1" applyAlignment="1">
      <alignment wrapText="1"/>
    </xf>
    <xf numFmtId="0" fontId="8" fillId="4" borderId="46" xfId="0" applyFont="1" applyFill="1" applyBorder="1" applyAlignment="1" applyProtection="1">
      <alignment horizontal="center" vertical="center"/>
    </xf>
    <xf numFmtId="1" fontId="8" fillId="8" borderId="34" xfId="0" applyNumberFormat="1" applyFont="1" applyFill="1" applyBorder="1" applyAlignment="1">
      <alignment horizontal="center" vertical="center"/>
    </xf>
    <xf numFmtId="165" fontId="8" fillId="8" borderId="11" xfId="0" applyNumberFormat="1" applyFont="1" applyFill="1" applyBorder="1" applyAlignment="1">
      <alignment horizontal="center" vertical="center"/>
    </xf>
    <xf numFmtId="165" fontId="8" fillId="9" borderId="1" xfId="0" applyNumberFormat="1" applyFont="1" applyFill="1" applyBorder="1" applyAlignment="1" applyProtection="1">
      <alignment horizontal="center" vertical="center" wrapText="1"/>
      <protection hidden="1"/>
    </xf>
    <xf numFmtId="2" fontId="8" fillId="9" borderId="1" xfId="0" applyNumberFormat="1" applyFont="1" applyFill="1" applyBorder="1" applyAlignment="1" applyProtection="1">
      <alignment horizontal="center" vertical="center" wrapText="1"/>
      <protection hidden="1"/>
    </xf>
    <xf numFmtId="2" fontId="8" fillId="9" borderId="1" xfId="0" applyNumberFormat="1" applyFont="1" applyFill="1" applyBorder="1" applyAlignment="1" applyProtection="1">
      <alignment horizontal="center" vertical="center"/>
      <protection hidden="1"/>
    </xf>
    <xf numFmtId="1" fontId="8" fillId="8" borderId="11" xfId="0" applyNumberFormat="1" applyFont="1" applyFill="1" applyBorder="1" applyAlignment="1">
      <alignment horizontal="center" vertical="center"/>
    </xf>
    <xf numFmtId="1" fontId="8" fillId="8" borderId="1" xfId="0" applyNumberFormat="1" applyFont="1" applyFill="1" applyBorder="1" applyAlignment="1">
      <alignment horizontal="center" vertical="center" wrapText="1"/>
    </xf>
    <xf numFmtId="165" fontId="8" fillId="8" borderId="34" xfId="0" applyNumberFormat="1" applyFont="1" applyFill="1" applyBorder="1" applyAlignment="1" applyProtection="1">
      <alignment horizontal="center" vertical="center" wrapText="1"/>
    </xf>
    <xf numFmtId="2" fontId="43" fillId="0" borderId="0" xfId="0" applyNumberFormat="1" applyFont="1" applyBorder="1"/>
    <xf numFmtId="165" fontId="43" fillId="0" borderId="0" xfId="0" applyNumberFormat="1" applyFont="1" applyBorder="1"/>
    <xf numFmtId="0" fontId="43" fillId="0" borderId="0" xfId="0" applyFont="1" applyBorder="1"/>
    <xf numFmtId="0" fontId="1" fillId="0" borderId="0" xfId="0" applyFont="1" applyFill="1"/>
    <xf numFmtId="0" fontId="41" fillId="0" borderId="0" xfId="0" applyFont="1" applyFill="1" applyBorder="1"/>
    <xf numFmtId="0" fontId="42" fillId="0" borderId="0" xfId="0" applyFont="1" applyFill="1" applyBorder="1"/>
    <xf numFmtId="0" fontId="14" fillId="0" borderId="0" xfId="0" applyFont="1" applyFill="1"/>
    <xf numFmtId="0" fontId="44" fillId="0" borderId="0" xfId="0" applyFont="1"/>
    <xf numFmtId="14" fontId="0" fillId="0" borderId="0" xfId="0" applyNumberFormat="1"/>
    <xf numFmtId="0" fontId="8" fillId="5" borderId="22" xfId="0" applyFont="1" applyFill="1" applyBorder="1" applyAlignment="1" applyProtection="1">
      <alignment horizontal="center" vertical="center" wrapText="1"/>
      <protection locked="0"/>
    </xf>
    <xf numFmtId="0" fontId="8" fillId="0" borderId="28" xfId="0" applyFont="1" applyBorder="1" applyAlignment="1">
      <alignment horizontal="left" vertical="center" wrapText="1"/>
    </xf>
    <xf numFmtId="0" fontId="8" fillId="4" borderId="15" xfId="0" applyFont="1" applyFill="1" applyBorder="1" applyAlignment="1">
      <alignment horizontal="center" vertical="center"/>
    </xf>
    <xf numFmtId="2" fontId="8" fillId="8" borderId="15" xfId="0" applyNumberFormat="1" applyFont="1" applyFill="1" applyBorder="1" applyAlignment="1">
      <alignment horizontal="center" vertical="center" wrapText="1"/>
    </xf>
    <xf numFmtId="0" fontId="8" fillId="0" borderId="15" xfId="0" applyFont="1" applyBorder="1" applyAlignment="1">
      <alignment horizontal="left" vertical="center" wrapText="1"/>
    </xf>
    <xf numFmtId="0" fontId="8" fillId="0" borderId="30" xfId="0" applyFont="1" applyBorder="1" applyAlignment="1">
      <alignment horizontal="left" vertical="center" wrapText="1"/>
    </xf>
    <xf numFmtId="1" fontId="8" fillId="8" borderId="1" xfId="0" applyNumberFormat="1" applyFont="1" applyFill="1" applyBorder="1" applyAlignment="1" applyProtection="1">
      <alignment horizontal="center" vertical="center"/>
    </xf>
    <xf numFmtId="2" fontId="8" fillId="9" borderId="8" xfId="0" applyNumberFormat="1" applyFont="1" applyFill="1" applyBorder="1" applyAlignment="1" applyProtection="1">
      <alignment horizontal="center" vertical="center"/>
    </xf>
    <xf numFmtId="0" fontId="8" fillId="0" borderId="21" xfId="0" applyFont="1" applyBorder="1" applyAlignment="1">
      <alignment horizontal="left" vertical="center" wrapText="1"/>
    </xf>
    <xf numFmtId="0" fontId="8" fillId="4" borderId="22" xfId="0" applyFont="1" applyFill="1" applyBorder="1" applyAlignment="1">
      <alignment horizontal="center" vertical="center"/>
    </xf>
    <xf numFmtId="0" fontId="8" fillId="0" borderId="22" xfId="0" applyFont="1" applyBorder="1" applyAlignment="1">
      <alignment horizontal="left" vertical="center" wrapText="1"/>
    </xf>
    <xf numFmtId="0" fontId="8" fillId="0" borderId="23" xfId="0" applyFont="1" applyBorder="1" applyAlignment="1">
      <alignment horizontal="left" vertical="center" wrapText="1"/>
    </xf>
    <xf numFmtId="0" fontId="12" fillId="0" borderId="36" xfId="0" applyFont="1" applyBorder="1"/>
    <xf numFmtId="0" fontId="12" fillId="0" borderId="47" xfId="0" applyFont="1" applyBorder="1"/>
    <xf numFmtId="0" fontId="12" fillId="0" borderId="37" xfId="0" applyFont="1" applyBorder="1"/>
    <xf numFmtId="0" fontId="18" fillId="0" borderId="0" xfId="0" applyFont="1"/>
    <xf numFmtId="0" fontId="8" fillId="0" borderId="0" xfId="0" applyFont="1"/>
    <xf numFmtId="0" fontId="8" fillId="2" borderId="34" xfId="0" applyFont="1" applyFill="1" applyBorder="1" applyAlignment="1" applyProtection="1">
      <alignment horizontal="left" vertical="center" wrapText="1"/>
    </xf>
    <xf numFmtId="0" fontId="8" fillId="0" borderId="35" xfId="0" applyFont="1" applyBorder="1" applyAlignment="1" applyProtection="1">
      <alignment horizontal="left" vertical="center" wrapText="1"/>
    </xf>
    <xf numFmtId="0" fontId="8" fillId="5" borderId="48" xfId="0" applyFont="1" applyFill="1" applyBorder="1" applyAlignment="1" applyProtection="1">
      <alignment horizontal="center" vertical="center"/>
      <protection locked="0"/>
    </xf>
    <xf numFmtId="0" fontId="8" fillId="2" borderId="1" xfId="0" applyFont="1" applyFill="1" applyBorder="1" applyAlignment="1" applyProtection="1">
      <alignment horizontal="left" vertical="center" wrapText="1"/>
    </xf>
    <xf numFmtId="0" fontId="8" fillId="5" borderId="49" xfId="0" applyFont="1" applyFill="1" applyBorder="1" applyAlignment="1" applyProtection="1">
      <alignment horizontal="center" vertical="center"/>
      <protection locked="0"/>
    </xf>
    <xf numFmtId="9" fontId="8" fillId="0" borderId="24" xfId="0" applyNumberFormat="1" applyFont="1" applyBorder="1" applyAlignment="1" applyProtection="1">
      <alignment horizontal="left" vertical="center" wrapText="1"/>
    </xf>
    <xf numFmtId="9" fontId="8" fillId="5" borderId="49" xfId="3" applyFont="1" applyFill="1" applyBorder="1" applyAlignment="1" applyProtection="1">
      <alignment horizontal="center" vertical="center"/>
      <protection locked="0"/>
    </xf>
    <xf numFmtId="0" fontId="8" fillId="0" borderId="23" xfId="0" applyFont="1" applyBorder="1" applyAlignment="1" applyProtection="1">
      <alignment horizontal="left" vertical="center" wrapText="1"/>
    </xf>
    <xf numFmtId="0" fontId="8" fillId="4" borderId="34" xfId="0" applyFont="1" applyFill="1" applyBorder="1" applyAlignment="1" applyProtection="1">
      <alignment horizontal="left" vertical="center" wrapText="1"/>
    </xf>
    <xf numFmtId="9" fontId="8" fillId="0" borderId="27" xfId="0" applyNumberFormat="1" applyFont="1" applyBorder="1" applyAlignment="1" applyProtection="1">
      <alignment horizontal="left" vertical="center" wrapText="1"/>
    </xf>
    <xf numFmtId="9" fontId="8" fillId="5" borderId="50" xfId="3" applyFont="1" applyFill="1" applyBorder="1" applyAlignment="1" applyProtection="1">
      <alignment horizontal="center" vertical="center"/>
      <protection locked="0"/>
    </xf>
    <xf numFmtId="0" fontId="8" fillId="0" borderId="46" xfId="0" applyFont="1" applyBorder="1" applyAlignment="1" applyProtection="1">
      <alignment horizontal="left" vertical="center" wrapText="1"/>
    </xf>
    <xf numFmtId="0" fontId="8" fillId="0" borderId="8" xfId="0" applyFont="1" applyBorder="1" applyAlignment="1" applyProtection="1">
      <alignment horizontal="left" vertical="center" wrapText="1"/>
    </xf>
    <xf numFmtId="165" fontId="8" fillId="5" borderId="49" xfId="0" applyNumberFormat="1" applyFont="1" applyFill="1" applyBorder="1" applyAlignment="1" applyProtection="1">
      <alignment horizontal="center" vertical="center"/>
      <protection locked="0"/>
    </xf>
    <xf numFmtId="9" fontId="8" fillId="0" borderId="8" xfId="0" applyNumberFormat="1" applyFont="1" applyBorder="1" applyAlignment="1" applyProtection="1">
      <alignment horizontal="left" vertical="center" wrapText="1"/>
    </xf>
    <xf numFmtId="11" fontId="8" fillId="0" borderId="0" xfId="0" applyNumberFormat="1" applyFont="1"/>
    <xf numFmtId="0" fontId="8" fillId="0" borderId="29" xfId="0" applyFont="1" applyBorder="1" applyAlignment="1" applyProtection="1">
      <alignment horizontal="left" vertical="center" wrapText="1"/>
    </xf>
    <xf numFmtId="0" fontId="8" fillId="0" borderId="29" xfId="0" applyFont="1" applyFill="1" applyBorder="1" applyAlignment="1" applyProtection="1">
      <alignment horizontal="left" vertical="center" wrapText="1"/>
    </xf>
    <xf numFmtId="165" fontId="8" fillId="5" borderId="52" xfId="0" applyNumberFormat="1" applyFont="1" applyFill="1" applyBorder="1" applyAlignment="1" applyProtection="1">
      <alignment horizontal="center" vertical="center"/>
      <protection locked="0"/>
    </xf>
    <xf numFmtId="0" fontId="8" fillId="0" borderId="53" xfId="0" applyFont="1" applyBorder="1" applyAlignment="1" applyProtection="1">
      <alignment horizontal="left" vertical="center" wrapText="1"/>
    </xf>
    <xf numFmtId="0" fontId="8" fillId="0" borderId="54" xfId="0" applyFont="1" applyBorder="1" applyAlignment="1" applyProtection="1">
      <alignment horizontal="left" vertical="center" wrapText="1"/>
    </xf>
    <xf numFmtId="9" fontId="8" fillId="0" borderId="55" xfId="0" applyNumberFormat="1" applyFont="1" applyBorder="1" applyAlignment="1" applyProtection="1">
      <alignment horizontal="left" vertical="center" wrapText="1"/>
    </xf>
    <xf numFmtId="9" fontId="8" fillId="5" borderId="49" xfId="0" applyNumberFormat="1" applyFont="1" applyFill="1" applyBorder="1" applyAlignment="1" applyProtection="1">
      <alignment horizontal="center" vertical="center"/>
      <protection locked="0"/>
    </xf>
    <xf numFmtId="2" fontId="8" fillId="5" borderId="48" xfId="0" applyNumberFormat="1" applyFont="1" applyFill="1" applyBorder="1" applyAlignment="1" applyProtection="1">
      <alignment horizontal="center" vertical="center" wrapText="1"/>
      <protection locked="0"/>
    </xf>
    <xf numFmtId="2" fontId="8" fillId="5" borderId="49" xfId="0" applyNumberFormat="1" applyFont="1" applyFill="1" applyBorder="1" applyAlignment="1" applyProtection="1">
      <alignment horizontal="center" vertical="center" wrapText="1"/>
      <protection locked="0"/>
    </xf>
    <xf numFmtId="0" fontId="8" fillId="5" borderId="52" xfId="0" applyNumberFormat="1" applyFont="1" applyFill="1" applyBorder="1" applyAlignment="1" applyProtection="1">
      <alignment horizontal="center" vertical="center" wrapText="1"/>
      <protection locked="0"/>
    </xf>
    <xf numFmtId="2" fontId="8" fillId="5" borderId="50" xfId="0" applyNumberFormat="1" applyFont="1" applyFill="1" applyBorder="1" applyAlignment="1" applyProtection="1">
      <alignment horizontal="center" vertical="center" wrapText="1"/>
      <protection locked="0"/>
    </xf>
    <xf numFmtId="0" fontId="8" fillId="0" borderId="11" xfId="0" applyFont="1" applyBorder="1"/>
    <xf numFmtId="0" fontId="8" fillId="0" borderId="27" xfId="0" applyFont="1" applyBorder="1"/>
    <xf numFmtId="0" fontId="8" fillId="0" borderId="56" xfId="0" applyFont="1" applyFill="1" applyBorder="1" applyAlignment="1" applyProtection="1">
      <alignment horizontal="left" vertical="center" wrapText="1"/>
    </xf>
    <xf numFmtId="0" fontId="8" fillId="5" borderId="52" xfId="0" applyFont="1" applyFill="1" applyBorder="1" applyAlignment="1" applyProtection="1">
      <alignment horizontal="center" vertical="center" wrapText="1"/>
      <protection locked="0"/>
    </xf>
    <xf numFmtId="164" fontId="8" fillId="5" borderId="49" xfId="3" applyNumberFormat="1" applyFont="1" applyFill="1" applyBorder="1" applyAlignment="1" applyProtection="1">
      <alignment horizontal="center" vertical="center"/>
      <protection locked="0"/>
    </xf>
    <xf numFmtId="165" fontId="8" fillId="5" borderId="49" xfId="0" applyNumberFormat="1" applyFont="1" applyFill="1" applyBorder="1" applyAlignment="1" applyProtection="1">
      <alignment horizontal="center" vertical="center" wrapText="1"/>
      <protection locked="0"/>
    </xf>
    <xf numFmtId="0" fontId="8" fillId="0" borderId="8" xfId="0" applyFont="1" applyFill="1" applyBorder="1" applyAlignment="1" applyProtection="1">
      <alignment horizontal="left" vertical="center" wrapText="1"/>
    </xf>
    <xf numFmtId="0" fontId="8" fillId="0" borderId="26" xfId="0" applyFont="1" applyBorder="1"/>
    <xf numFmtId="0" fontId="8" fillId="0" borderId="46" xfId="0" applyFont="1" applyFill="1" applyBorder="1" applyAlignment="1" applyProtection="1">
      <alignment horizontal="left" vertical="center" wrapText="1"/>
    </xf>
    <xf numFmtId="0" fontId="8" fillId="0" borderId="45" xfId="0" applyFont="1" applyBorder="1"/>
    <xf numFmtId="2" fontId="8" fillId="8" borderId="49" xfId="0" applyNumberFormat="1" applyFont="1" applyFill="1" applyBorder="1" applyAlignment="1" applyProtection="1">
      <alignment horizontal="center" vertical="center" wrapText="1"/>
      <protection locked="0"/>
    </xf>
    <xf numFmtId="9" fontId="8" fillId="5" borderId="1" xfId="0" applyNumberFormat="1" applyFont="1" applyFill="1" applyBorder="1" applyAlignment="1" applyProtection="1">
      <alignment horizontal="center" vertical="center" wrapText="1"/>
      <protection locked="0"/>
    </xf>
    <xf numFmtId="0" fontId="8" fillId="0" borderId="45" xfId="0" applyFont="1" applyFill="1" applyBorder="1" applyAlignment="1" applyProtection="1">
      <alignment horizontal="left" vertical="center" wrapText="1"/>
    </xf>
    <xf numFmtId="167" fontId="8" fillId="0" borderId="46" xfId="0" applyNumberFormat="1" applyFont="1" applyFill="1" applyBorder="1" applyAlignment="1" applyProtection="1">
      <alignment horizontal="left" vertical="center" wrapText="1"/>
    </xf>
    <xf numFmtId="1" fontId="8" fillId="8" borderId="49" xfId="0" applyNumberFormat="1" applyFont="1" applyFill="1" applyBorder="1" applyAlignment="1" applyProtection="1">
      <alignment horizontal="center" vertical="center"/>
      <protection locked="0"/>
    </xf>
    <xf numFmtId="1" fontId="8" fillId="8" borderId="51" xfId="0" applyNumberFormat="1" applyFont="1" applyFill="1" applyBorder="1" applyAlignment="1" applyProtection="1">
      <alignment horizontal="center" vertical="center"/>
      <protection locked="0"/>
    </xf>
    <xf numFmtId="165" fontId="8" fillId="8" borderId="50" xfId="0" applyNumberFormat="1" applyFont="1" applyFill="1" applyBorder="1" applyAlignment="1" applyProtection="1">
      <alignment horizontal="center" vertical="center"/>
      <protection locked="0"/>
    </xf>
    <xf numFmtId="165" fontId="8" fillId="8" borderId="51" xfId="0" applyNumberFormat="1" applyFont="1" applyFill="1" applyBorder="1" applyAlignment="1" applyProtection="1">
      <alignment horizontal="center" vertical="center"/>
      <protection locked="0"/>
    </xf>
    <xf numFmtId="165" fontId="8" fillId="8" borderId="49" xfId="0" applyNumberFormat="1" applyFont="1" applyFill="1" applyBorder="1" applyAlignment="1" applyProtection="1">
      <alignment horizontal="center" vertical="center"/>
      <protection locked="0"/>
    </xf>
    <xf numFmtId="0" fontId="8" fillId="8" borderId="50" xfId="0" applyFont="1" applyFill="1" applyBorder="1" applyAlignment="1" applyProtection="1">
      <alignment horizontal="center"/>
      <protection locked="0"/>
    </xf>
    <xf numFmtId="0" fontId="8" fillId="0" borderId="0" xfId="0" applyFont="1" applyProtection="1">
      <protection locked="0"/>
    </xf>
    <xf numFmtId="0" fontId="2" fillId="5" borderId="0" xfId="14" applyFont="1" applyFill="1" applyBorder="1"/>
    <xf numFmtId="0" fontId="2" fillId="5" borderId="0" xfId="35" applyFont="1" applyFill="1" applyBorder="1"/>
    <xf numFmtId="0" fontId="14" fillId="0" borderId="0" xfId="0" applyFont="1" applyBorder="1" applyAlignment="1">
      <alignment vertical="center"/>
    </xf>
    <xf numFmtId="0" fontId="14" fillId="0" borderId="0" xfId="0" applyFont="1" applyBorder="1"/>
    <xf numFmtId="165" fontId="14" fillId="0" borderId="0" xfId="0" applyNumberFormat="1" applyFont="1" applyBorder="1"/>
    <xf numFmtId="2" fontId="14" fillId="0" borderId="0" xfId="0" applyNumberFormat="1" applyFont="1" applyBorder="1"/>
    <xf numFmtId="0" fontId="12" fillId="21" borderId="0" xfId="0" applyFont="1" applyFill="1" applyBorder="1" applyAlignment="1" applyProtection="1">
      <alignment horizontal="center"/>
      <protection locked="0"/>
    </xf>
    <xf numFmtId="0" fontId="8" fillId="20" borderId="48" xfId="0" applyFont="1" applyFill="1" applyBorder="1" applyAlignment="1" applyProtection="1">
      <alignment horizontal="left" vertical="center" wrapText="1"/>
      <protection locked="0"/>
    </xf>
    <xf numFmtId="0" fontId="8" fillId="20" borderId="49" xfId="0" applyFont="1" applyFill="1" applyBorder="1" applyAlignment="1" applyProtection="1">
      <alignment horizontal="left" vertical="center" wrapText="1"/>
      <protection locked="0"/>
    </xf>
    <xf numFmtId="0" fontId="8" fillId="20" borderId="50" xfId="0" applyFont="1" applyFill="1" applyBorder="1" applyAlignment="1" applyProtection="1">
      <alignment horizontal="left" vertical="center" wrapText="1"/>
      <protection locked="0"/>
    </xf>
    <xf numFmtId="165" fontId="8" fillId="0" borderId="8" xfId="0" applyNumberFormat="1" applyFont="1" applyBorder="1" applyAlignment="1" applyProtection="1">
      <alignment horizontal="left" vertical="center" wrapText="1"/>
    </xf>
    <xf numFmtId="0" fontId="12" fillId="0" borderId="0" xfId="0" applyFont="1"/>
    <xf numFmtId="0" fontId="46" fillId="0" borderId="0" xfId="0" applyFont="1"/>
    <xf numFmtId="0" fontId="8" fillId="0" borderId="30" xfId="0" applyFont="1" applyBorder="1" applyAlignment="1" applyProtection="1">
      <alignment horizontal="left" vertical="center" wrapText="1"/>
    </xf>
    <xf numFmtId="0" fontId="8" fillId="4" borderId="22" xfId="0" applyFont="1" applyFill="1" applyBorder="1" applyAlignment="1" applyProtection="1">
      <alignment horizontal="left" vertical="center" wrapText="1"/>
    </xf>
    <xf numFmtId="0" fontId="8" fillId="0" borderId="45" xfId="0" applyFont="1" applyBorder="1" applyAlignment="1" applyProtection="1">
      <alignment horizontal="left" vertical="center" wrapText="1"/>
    </xf>
    <xf numFmtId="0" fontId="8" fillId="5" borderId="51" xfId="0" applyFont="1" applyFill="1" applyBorder="1" applyAlignment="1" applyProtection="1">
      <alignment horizontal="center" vertical="center"/>
      <protection locked="0"/>
    </xf>
    <xf numFmtId="164" fontId="8" fillId="5" borderId="52" xfId="0" applyNumberFormat="1" applyFont="1" applyFill="1" applyBorder="1" applyAlignment="1" applyProtection="1">
      <alignment horizontal="center" vertical="center"/>
      <protection locked="0"/>
    </xf>
    <xf numFmtId="0" fontId="8" fillId="5" borderId="49" xfId="0" applyFont="1" applyFill="1" applyBorder="1" applyAlignment="1" applyProtection="1">
      <alignment horizontal="center" vertical="center" wrapText="1"/>
      <protection locked="0"/>
    </xf>
    <xf numFmtId="1" fontId="8" fillId="8" borderId="50" xfId="0" applyNumberFormat="1" applyFont="1" applyFill="1" applyBorder="1" applyAlignment="1" applyProtection="1">
      <alignment horizontal="center" vertical="center"/>
      <protection locked="0"/>
    </xf>
    <xf numFmtId="0" fontId="8" fillId="0" borderId="46" xfId="0" applyFont="1" applyBorder="1" applyAlignment="1" applyProtection="1">
      <alignment horizontal="left" vertical="center"/>
    </xf>
    <xf numFmtId="0" fontId="8" fillId="21" borderId="49" xfId="0" applyFont="1" applyFill="1" applyBorder="1" applyAlignment="1" applyProtection="1">
      <alignment horizontal="left" vertical="center" wrapText="1"/>
      <protection locked="0"/>
    </xf>
    <xf numFmtId="0" fontId="8" fillId="22" borderId="48" xfId="0" applyFont="1" applyFill="1" applyBorder="1" applyAlignment="1" applyProtection="1">
      <alignment horizontal="center" vertical="center"/>
      <protection locked="0"/>
    </xf>
    <xf numFmtId="0" fontId="8" fillId="22" borderId="49" xfId="0" applyFont="1" applyFill="1" applyBorder="1" applyAlignment="1" applyProtection="1">
      <alignment horizontal="center" vertical="center"/>
      <protection locked="0"/>
    </xf>
    <xf numFmtId="165" fontId="8" fillId="22" borderId="49" xfId="0" applyNumberFormat="1" applyFont="1" applyFill="1" applyBorder="1" applyAlignment="1" applyProtection="1">
      <alignment horizontal="center" vertical="center"/>
      <protection locked="0"/>
    </xf>
    <xf numFmtId="2" fontId="8" fillId="22" borderId="48" xfId="0" applyNumberFormat="1" applyFont="1" applyFill="1" applyBorder="1" applyAlignment="1" applyProtection="1">
      <alignment horizontal="center" vertical="center" wrapText="1"/>
      <protection locked="0"/>
    </xf>
    <xf numFmtId="2" fontId="8" fillId="22" borderId="49" xfId="0" applyNumberFormat="1" applyFont="1" applyFill="1" applyBorder="1" applyAlignment="1" applyProtection="1">
      <alignment horizontal="center" vertical="center" wrapText="1"/>
      <protection locked="0"/>
    </xf>
    <xf numFmtId="1" fontId="8" fillId="22" borderId="49" xfId="0" applyNumberFormat="1" applyFont="1" applyFill="1" applyBorder="1" applyAlignment="1" applyProtection="1">
      <alignment horizontal="center" vertical="center" wrapText="1"/>
      <protection locked="0"/>
    </xf>
    <xf numFmtId="0" fontId="10" fillId="4" borderId="4" xfId="4" applyFont="1" applyFill="1" applyBorder="1" applyAlignment="1" applyProtection="1">
      <alignment vertical="center" wrapText="1"/>
    </xf>
    <xf numFmtId="0" fontId="10" fillId="4" borderId="5" xfId="4" applyFont="1" applyFill="1" applyBorder="1" applyAlignment="1" applyProtection="1">
      <alignment vertical="center" wrapText="1"/>
    </xf>
    <xf numFmtId="0" fontId="10" fillId="4" borderId="6" xfId="4" applyFont="1" applyFill="1" applyBorder="1" applyAlignment="1" applyProtection="1">
      <alignment vertical="center" wrapText="1"/>
    </xf>
    <xf numFmtId="0" fontId="10" fillId="4" borderId="18" xfId="0" applyFont="1" applyFill="1" applyBorder="1" applyAlignment="1">
      <alignment vertical="center" wrapText="1"/>
    </xf>
    <xf numFmtId="0" fontId="10" fillId="4" borderId="19" xfId="0" applyFont="1" applyFill="1" applyBorder="1" applyAlignment="1">
      <alignment vertical="center" wrapText="1"/>
    </xf>
    <xf numFmtId="0" fontId="10" fillId="4" borderId="20" xfId="0" applyFont="1" applyFill="1" applyBorder="1" applyAlignment="1">
      <alignment vertical="center" wrapText="1"/>
    </xf>
    <xf numFmtId="0" fontId="10" fillId="4" borderId="18" xfId="0" applyFont="1" applyFill="1" applyBorder="1" applyAlignment="1" applyProtection="1">
      <alignment vertical="center" wrapText="1"/>
    </xf>
    <xf numFmtId="0" fontId="10" fillId="4" borderId="19" xfId="0" applyFont="1" applyFill="1" applyBorder="1" applyAlignment="1" applyProtection="1">
      <alignment vertical="center" wrapText="1"/>
    </xf>
    <xf numFmtId="0" fontId="10" fillId="4" borderId="20" xfId="0" applyFont="1" applyFill="1" applyBorder="1" applyAlignment="1" applyProtection="1">
      <alignment vertical="center" wrapText="1"/>
    </xf>
    <xf numFmtId="0" fontId="8" fillId="4" borderId="31" xfId="0" applyFont="1" applyFill="1" applyBorder="1" applyAlignment="1" applyProtection="1">
      <alignment horizontal="left" vertical="center" wrapText="1"/>
    </xf>
    <xf numFmtId="0" fontId="8" fillId="4" borderId="16" xfId="0" applyFont="1" applyFill="1" applyBorder="1" applyAlignment="1" applyProtection="1">
      <alignment horizontal="left" vertical="center" wrapText="1"/>
    </xf>
    <xf numFmtId="0" fontId="8" fillId="4" borderId="32" xfId="0" applyFont="1" applyFill="1" applyBorder="1" applyAlignment="1" applyProtection="1">
      <alignment horizontal="left" vertical="center" wrapText="1"/>
    </xf>
    <xf numFmtId="0" fontId="10" fillId="4" borderId="4" xfId="0" applyFont="1" applyFill="1" applyBorder="1" applyAlignment="1" applyProtection="1">
      <alignment vertical="center" wrapText="1"/>
    </xf>
    <xf numFmtId="0" fontId="10" fillId="4" borderId="5" xfId="0" applyFont="1" applyFill="1" applyBorder="1" applyAlignment="1" applyProtection="1">
      <alignment vertical="center" wrapText="1"/>
    </xf>
    <xf numFmtId="0" fontId="10" fillId="4" borderId="6" xfId="0" applyFont="1" applyFill="1" applyBorder="1" applyAlignment="1" applyProtection="1">
      <alignment vertical="center" wrapText="1"/>
    </xf>
    <xf numFmtId="0" fontId="40" fillId="4" borderId="18" xfId="0" applyFont="1" applyFill="1" applyBorder="1" applyAlignment="1" applyProtection="1">
      <alignment vertical="center" wrapText="1"/>
    </xf>
    <xf numFmtId="0" fontId="40" fillId="4" borderId="19" xfId="0" applyFont="1" applyFill="1" applyBorder="1" applyAlignment="1" applyProtection="1">
      <alignment vertical="center" wrapText="1"/>
    </xf>
    <xf numFmtId="0" fontId="40" fillId="4" borderId="20" xfId="0" applyFont="1" applyFill="1" applyBorder="1" applyAlignment="1" applyProtection="1">
      <alignment vertical="center" wrapText="1"/>
    </xf>
    <xf numFmtId="0" fontId="40" fillId="4" borderId="4" xfId="0" applyFont="1" applyFill="1" applyBorder="1" applyAlignment="1" applyProtection="1">
      <alignment vertical="center" wrapText="1"/>
    </xf>
    <xf numFmtId="0" fontId="40" fillId="4" borderId="5" xfId="0" applyFont="1" applyFill="1" applyBorder="1" applyAlignment="1" applyProtection="1">
      <alignment vertical="center" wrapText="1"/>
    </xf>
    <xf numFmtId="0" fontId="40" fillId="4" borderId="6" xfId="0" applyFont="1" applyFill="1" applyBorder="1" applyAlignment="1" applyProtection="1">
      <alignment vertical="center" wrapText="1"/>
    </xf>
    <xf numFmtId="0" fontId="7" fillId="0" borderId="16" xfId="0" applyFont="1" applyBorder="1" applyAlignment="1" applyProtection="1">
      <alignment horizontal="center" vertical="center"/>
    </xf>
    <xf numFmtId="0" fontId="10" fillId="0" borderId="18" xfId="0" applyFont="1" applyFill="1" applyBorder="1" applyAlignment="1" applyProtection="1">
      <alignment vertical="center" wrapText="1"/>
    </xf>
    <xf numFmtId="0" fontId="10" fillId="0" borderId="19" xfId="0" applyFont="1" applyFill="1" applyBorder="1" applyAlignment="1" applyProtection="1">
      <alignment vertical="center" wrapText="1"/>
    </xf>
    <xf numFmtId="0" fontId="10" fillId="0" borderId="20" xfId="0" applyFont="1" applyFill="1" applyBorder="1" applyAlignment="1" applyProtection="1">
      <alignment vertical="center" wrapText="1"/>
    </xf>
    <xf numFmtId="0" fontId="10" fillId="0" borderId="18" xfId="4" applyFont="1" applyFill="1" applyBorder="1" applyAlignment="1" applyProtection="1">
      <alignment vertical="center" wrapText="1"/>
    </xf>
    <xf numFmtId="0" fontId="10" fillId="0" borderId="19" xfId="4" applyFont="1" applyFill="1" applyBorder="1" applyAlignment="1" applyProtection="1">
      <alignment vertical="center" wrapText="1"/>
    </xf>
    <xf numFmtId="0" fontId="10" fillId="0" borderId="20" xfId="4" applyFont="1" applyFill="1" applyBorder="1" applyAlignment="1" applyProtection="1">
      <alignment vertical="center" wrapText="1"/>
    </xf>
    <xf numFmtId="0" fontId="4" fillId="3" borderId="1" xfId="0" applyFont="1" applyFill="1" applyBorder="1" applyAlignment="1" applyProtection="1">
      <alignment horizontal="center" vertical="top" wrapText="1"/>
    </xf>
    <xf numFmtId="0" fontId="4" fillId="3" borderId="12" xfId="0" applyFont="1" applyFill="1" applyBorder="1" applyAlignment="1" applyProtection="1">
      <alignment horizontal="center" vertical="top" wrapText="1"/>
    </xf>
    <xf numFmtId="0" fontId="4" fillId="3" borderId="13" xfId="0" applyFont="1" applyFill="1" applyBorder="1" applyAlignment="1" applyProtection="1">
      <alignment horizontal="center" vertical="top" wrapText="1"/>
    </xf>
    <xf numFmtId="0" fontId="4" fillId="3" borderId="14" xfId="0" applyFont="1" applyFill="1" applyBorder="1" applyAlignment="1" applyProtection="1">
      <alignment horizontal="center" vertical="top" wrapText="1"/>
    </xf>
    <xf numFmtId="0" fontId="4" fillId="3" borderId="4"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4" fillId="3" borderId="9"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27" fillId="14" borderId="38" xfId="26" applyFont="1" applyFill="1" applyBorder="1" applyAlignment="1">
      <alignment horizontal="center" wrapText="1"/>
    </xf>
    <xf numFmtId="0" fontId="27" fillId="14" borderId="39" xfId="26" applyFont="1" applyFill="1" applyBorder="1" applyAlignment="1">
      <alignment horizontal="center" wrapText="1"/>
    </xf>
    <xf numFmtId="0" fontId="27" fillId="15" borderId="40" xfId="26" applyFont="1" applyFill="1" applyBorder="1" applyAlignment="1">
      <alignment horizontal="center" wrapText="1"/>
    </xf>
    <xf numFmtId="0" fontId="27" fillId="15" borderId="41" xfId="26" applyFont="1" applyFill="1" applyBorder="1" applyAlignment="1">
      <alignment horizontal="center" wrapText="1"/>
    </xf>
    <xf numFmtId="0" fontId="27" fillId="17" borderId="38" xfId="26" applyFont="1" applyFill="1" applyBorder="1" applyAlignment="1">
      <alignment horizontal="center" wrapText="1"/>
    </xf>
    <xf numFmtId="0" fontId="27" fillId="17" borderId="39" xfId="26" applyFont="1" applyFill="1" applyBorder="1" applyAlignment="1">
      <alignment horizontal="center" wrapText="1"/>
    </xf>
    <xf numFmtId="49" fontId="33" fillId="16" borderId="38" xfId="26" applyNumberFormat="1" applyFont="1" applyFill="1" applyBorder="1" applyAlignment="1">
      <alignment horizontal="center" wrapText="1"/>
    </xf>
    <xf numFmtId="49" fontId="33" fillId="16" borderId="0" xfId="26" applyNumberFormat="1" applyFont="1" applyFill="1" applyAlignment="1">
      <alignment horizontal="center" wrapText="1"/>
    </xf>
    <xf numFmtId="0" fontId="33" fillId="12" borderId="0" xfId="26" applyFont="1" applyFill="1" applyAlignment="1" applyProtection="1">
      <alignment horizontal="center" wrapText="1"/>
      <protection hidden="1"/>
    </xf>
  </cellXfs>
  <cellStyles count="38">
    <cellStyle name="Hyperlink" xfId="2" builtinId="8"/>
    <cellStyle name="Hyperlink 2" xfId="29"/>
    <cellStyle name="Hyperlink 3" xfId="30"/>
    <cellStyle name="Hyperlink 4" xfId="34"/>
    <cellStyle name="Hyperlink 4 2" xfId="37"/>
    <cellStyle name="Normal" xfId="0" builtinId="0"/>
    <cellStyle name="Normal 10" xfId="25"/>
    <cellStyle name="Normal 10 2" xfId="36"/>
    <cellStyle name="Normal 2" xfId="1"/>
    <cellStyle name="Normal 2 2" xfId="5"/>
    <cellStyle name="Normal 3" xfId="6"/>
    <cellStyle name="Normal 3 2" xfId="7"/>
    <cellStyle name="Normal 3 2 2" xfId="28"/>
    <cellStyle name="Normal 3 3" xfId="26"/>
    <cellStyle name="Normal 4" xfId="8"/>
    <cellStyle name="Normal 4 2" xfId="9"/>
    <cellStyle name="Normal 4 3" xfId="31"/>
    <cellStyle name="Normal 5" xfId="10"/>
    <cellStyle name="Normal 5 2" xfId="11"/>
    <cellStyle name="Normal 6" xfId="12"/>
    <cellStyle name="Normal 6 2" xfId="13"/>
    <cellStyle name="Normal 7" xfId="14"/>
    <cellStyle name="Normal 8" xfId="4"/>
    <cellStyle name="Normal 9" xfId="15"/>
    <cellStyle name="Normal 9 2" xfId="35"/>
    <cellStyle name="Percent" xfId="3" builtinId="5"/>
    <cellStyle name="Percent 2" xfId="16"/>
    <cellStyle name="Percent 2 2" xfId="17"/>
    <cellStyle name="Percent 2 3" xfId="32"/>
    <cellStyle name="Percent 3" xfId="18"/>
    <cellStyle name="Percent 3 2" xfId="19"/>
    <cellStyle name="Percent 4" xfId="20"/>
    <cellStyle name="Percent 4 2" xfId="21"/>
    <cellStyle name="Percent 5" xfId="22"/>
    <cellStyle name="Percent 5 2" xfId="23"/>
    <cellStyle name="Percent 5 3" xfId="33"/>
    <cellStyle name="Percent 6" xfId="24"/>
    <cellStyle name="Percent 7" xfId="27"/>
  </cellStyles>
  <dxfs count="37">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6"/>
        </patternFill>
      </fill>
    </dxf>
    <dxf>
      <fill>
        <patternFill>
          <bgColor theme="0" tint="-0.14996795556505021"/>
        </patternFill>
      </fill>
    </dxf>
    <dxf>
      <fill>
        <patternFill>
          <bgColor theme="6"/>
        </patternFill>
      </fill>
    </dxf>
    <dxf>
      <fill>
        <patternFill>
          <bgColor theme="0" tint="-0.14996795556505021"/>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ont>
        <color rgb="FF9C0006"/>
      </font>
      <fill>
        <patternFill>
          <bgColor rgb="FFFFC7CE"/>
        </patternFill>
      </fill>
    </dxf>
    <dxf>
      <font>
        <color rgb="FF9C6500"/>
      </font>
      <fill>
        <patternFill>
          <bgColor rgb="FFFFEB9C"/>
        </patternFill>
      </fill>
    </dxf>
    <dxf>
      <font>
        <color rgb="FF9C0006"/>
      </font>
    </dxf>
    <dxf>
      <font>
        <color rgb="FF9C0006"/>
      </font>
    </dxf>
    <dxf>
      <font>
        <color rgb="FF9C0006"/>
      </font>
      <fill>
        <patternFill>
          <bgColor rgb="FFFFC7CE"/>
        </patternFill>
      </fill>
    </dxf>
  </dxfs>
  <tableStyles count="0" defaultTableStyle="TableStyleMedium2" defaultPivotStyle="PivotStyleLight16"/>
  <colors>
    <mruColors>
      <color rgb="FFFF3B3B"/>
      <color rgb="FFFF4B4B"/>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Frequency Response</a:t>
            </a:r>
          </a:p>
        </c:rich>
      </c:tx>
      <c:layout>
        <c:manualLayout>
          <c:xMode val="edge"/>
          <c:yMode val="edge"/>
          <c:x val="0.42647068353928524"/>
          <c:y val="2.7950247416256069E-2"/>
        </c:manualLayout>
      </c:layout>
      <c:overlay val="0"/>
      <c:spPr>
        <a:noFill/>
        <a:ln w="25400">
          <a:noFill/>
        </a:ln>
      </c:spPr>
    </c:title>
    <c:autoTitleDeleted val="0"/>
    <c:plotArea>
      <c:layout>
        <c:manualLayout>
          <c:layoutTarget val="inner"/>
          <c:xMode val="edge"/>
          <c:yMode val="edge"/>
          <c:x val="6.1320945251672705E-2"/>
          <c:y val="7.3230459293368758E-2"/>
          <c:w val="0.85446114412090191"/>
          <c:h val="0.7726367637425674"/>
        </c:manualLayout>
      </c:layout>
      <c:scatterChart>
        <c:scatterStyle val="smoothMarker"/>
        <c:varyColors val="0"/>
        <c:ser>
          <c:idx val="2"/>
          <c:order val="0"/>
          <c:tx>
            <c:v>Overall Gain </c:v>
          </c:tx>
          <c:spPr>
            <a:ln w="38100">
              <a:solidFill>
                <a:srgbClr val="000000"/>
              </a:solidFill>
              <a:prstDash val="solid"/>
            </a:ln>
          </c:spPr>
          <c:marker>
            <c:symbol val="none"/>
          </c:marker>
          <c:xVal>
            <c:numRef>
              <c:f>'Small Signal'!$L$2:$L$212</c:f>
              <c:numCache>
                <c:formatCode>General</c:formatCode>
                <c:ptCount val="211"/>
                <c:pt idx="0">
                  <c:v>1</c:v>
                </c:pt>
                <c:pt idx="1">
                  <c:v>1.0797751623277096</c:v>
                </c:pt>
                <c:pt idx="2">
                  <c:v>1.1659144011798317</c:v>
                </c:pt>
                <c:pt idx="3">
                  <c:v>1.2589254117941673</c:v>
                </c:pt>
                <c:pt idx="4">
                  <c:v>1.3593563908785258</c:v>
                </c:pt>
                <c:pt idx="5">
                  <c:v>1.4677992676220697</c:v>
                </c:pt>
                <c:pt idx="6">
                  <c:v>1.5848931924611136</c:v>
                </c:pt>
                <c:pt idx="7">
                  <c:v>1.7113283041617808</c:v>
                </c:pt>
                <c:pt idx="8">
                  <c:v>1.8478497974222912</c:v>
                </c:pt>
                <c:pt idx="9">
                  <c:v>1.9952623149688797</c:v>
                </c:pt>
                <c:pt idx="10">
                  <c:v>2.1544346900318838</c:v>
                </c:pt>
                <c:pt idx="11">
                  <c:v>2.3263050671536263</c:v>
                </c:pt>
                <c:pt idx="12">
                  <c:v>2.5118864315095806</c:v>
                </c:pt>
                <c:pt idx="13">
                  <c:v>2.7122725793320286</c:v>
                </c:pt>
                <c:pt idx="14">
                  <c:v>2.9286445646252366</c:v>
                </c:pt>
                <c:pt idx="15">
                  <c:v>3.1622776601683795</c:v>
                </c:pt>
                <c:pt idx="16">
                  <c:v>3.4145488738336023</c:v>
                </c:pt>
                <c:pt idx="17">
                  <c:v>3.6869450645195756</c:v>
                </c:pt>
                <c:pt idx="18">
                  <c:v>3.9810717055349727</c:v>
                </c:pt>
                <c:pt idx="19">
                  <c:v>4.2986623470822769</c:v>
                </c:pt>
                <c:pt idx="20">
                  <c:v>4.6415888336127793</c:v>
                </c:pt>
                <c:pt idx="21">
                  <c:v>5.0118723362727229</c:v>
                </c:pt>
                <c:pt idx="22">
                  <c:v>5.4116952654646369</c:v>
                </c:pt>
                <c:pt idx="23">
                  <c:v>5.8434141337351777</c:v>
                </c:pt>
                <c:pt idx="24">
                  <c:v>6.3095734448019343</c:v>
                </c:pt>
                <c:pt idx="25">
                  <c:v>6.812920690579614</c:v>
                </c:pt>
                <c:pt idx="26">
                  <c:v>7.3564225445964153</c:v>
                </c:pt>
                <c:pt idx="27">
                  <c:v>7.9432823472428176</c:v>
                </c:pt>
                <c:pt idx="28">
                  <c:v>8.5769589859089415</c:v>
                </c:pt>
                <c:pt idx="29">
                  <c:v>9.2611872812879383</c:v>
                </c:pt>
                <c:pt idx="30">
                  <c:v>10</c:v>
                </c:pt>
                <c:pt idx="31">
                  <c:v>10.797751623277103</c:v>
                </c:pt>
                <c:pt idx="32">
                  <c:v>11.659144011798322</c:v>
                </c:pt>
                <c:pt idx="33">
                  <c:v>12.58925411794168</c:v>
                </c:pt>
                <c:pt idx="34">
                  <c:v>13.593563908785256</c:v>
                </c:pt>
                <c:pt idx="35">
                  <c:v>14.677992676220699</c:v>
                </c:pt>
                <c:pt idx="36">
                  <c:v>15.848931924611136</c:v>
                </c:pt>
                <c:pt idx="37">
                  <c:v>17.113283041617812</c:v>
                </c:pt>
                <c:pt idx="38">
                  <c:v>18.478497974222911</c:v>
                </c:pt>
                <c:pt idx="39">
                  <c:v>19.952623149688804</c:v>
                </c:pt>
                <c:pt idx="40">
                  <c:v>21.544346900318843</c:v>
                </c:pt>
                <c:pt idx="41">
                  <c:v>23.263050671536273</c:v>
                </c:pt>
                <c:pt idx="42">
                  <c:v>25.118864315095799</c:v>
                </c:pt>
                <c:pt idx="43">
                  <c:v>27.122725793320289</c:v>
                </c:pt>
                <c:pt idx="44">
                  <c:v>29.286445646252368</c:v>
                </c:pt>
                <c:pt idx="45">
                  <c:v>31.622776601683803</c:v>
                </c:pt>
                <c:pt idx="46">
                  <c:v>34.145488738336034</c:v>
                </c:pt>
                <c:pt idx="47">
                  <c:v>36.869450645195769</c:v>
                </c:pt>
                <c:pt idx="48">
                  <c:v>39.810717055349755</c:v>
                </c:pt>
                <c:pt idx="49">
                  <c:v>42.986623470822771</c:v>
                </c:pt>
                <c:pt idx="50">
                  <c:v>46.415888336127807</c:v>
                </c:pt>
                <c:pt idx="51">
                  <c:v>50.118723362727238</c:v>
                </c:pt>
                <c:pt idx="52">
                  <c:v>54.11695265464639</c:v>
                </c:pt>
                <c:pt idx="53">
                  <c:v>58.434141337351775</c:v>
                </c:pt>
                <c:pt idx="54">
                  <c:v>63.095734448019364</c:v>
                </c:pt>
                <c:pt idx="55">
                  <c:v>68.129206905796124</c:v>
                </c:pt>
                <c:pt idx="56">
                  <c:v>73.564225445964155</c:v>
                </c:pt>
                <c:pt idx="57">
                  <c:v>79.432823472428197</c:v>
                </c:pt>
                <c:pt idx="58">
                  <c:v>85.769589859089479</c:v>
                </c:pt>
                <c:pt idx="59">
                  <c:v>92.611872812879369</c:v>
                </c:pt>
                <c:pt idx="60">
                  <c:v>100</c:v>
                </c:pt>
                <c:pt idx="61">
                  <c:v>107.97751623277095</c:v>
                </c:pt>
                <c:pt idx="62">
                  <c:v>116.59144011798328</c:v>
                </c:pt>
                <c:pt idx="63">
                  <c:v>125.89254117941677</c:v>
                </c:pt>
                <c:pt idx="64">
                  <c:v>135.93563908785265</c:v>
                </c:pt>
                <c:pt idx="65">
                  <c:v>146.77992676220697</c:v>
                </c:pt>
                <c:pt idx="66">
                  <c:v>158.48931924611153</c:v>
                </c:pt>
                <c:pt idx="67">
                  <c:v>171.13283041617817</c:v>
                </c:pt>
                <c:pt idx="68">
                  <c:v>184.7849797422291</c:v>
                </c:pt>
                <c:pt idx="69">
                  <c:v>199.52623149688802</c:v>
                </c:pt>
                <c:pt idx="70">
                  <c:v>215.44346900318848</c:v>
                </c:pt>
                <c:pt idx="71">
                  <c:v>232.6305067153628</c:v>
                </c:pt>
                <c:pt idx="72">
                  <c:v>251.18864315095806</c:v>
                </c:pt>
                <c:pt idx="73">
                  <c:v>271.22725793320296</c:v>
                </c:pt>
                <c:pt idx="74">
                  <c:v>292.86445646252383</c:v>
                </c:pt>
                <c:pt idx="75">
                  <c:v>316.22776601683825</c:v>
                </c:pt>
                <c:pt idx="76">
                  <c:v>341.4548873833603</c:v>
                </c:pt>
                <c:pt idx="77">
                  <c:v>368.69450645195781</c:v>
                </c:pt>
                <c:pt idx="78">
                  <c:v>398.10717055349761</c:v>
                </c:pt>
                <c:pt idx="79">
                  <c:v>429.86623470822781</c:v>
                </c:pt>
                <c:pt idx="80">
                  <c:v>464.15888336127819</c:v>
                </c:pt>
                <c:pt idx="81">
                  <c:v>501.18723362727269</c:v>
                </c:pt>
                <c:pt idx="82">
                  <c:v>541.16952654646434</c:v>
                </c:pt>
                <c:pt idx="83">
                  <c:v>584.34141337351787</c:v>
                </c:pt>
                <c:pt idx="84">
                  <c:v>630.95734448019323</c:v>
                </c:pt>
                <c:pt idx="85">
                  <c:v>681.29206905796195</c:v>
                </c:pt>
                <c:pt idx="86">
                  <c:v>735.64225445964166</c:v>
                </c:pt>
                <c:pt idx="87">
                  <c:v>794.32823472428208</c:v>
                </c:pt>
                <c:pt idx="88">
                  <c:v>857.69589859089422</c:v>
                </c:pt>
                <c:pt idx="89">
                  <c:v>926.11872812879471</c:v>
                </c:pt>
                <c:pt idx="90">
                  <c:v>1000</c:v>
                </c:pt>
                <c:pt idx="91">
                  <c:v>1079.7751623277097</c:v>
                </c:pt>
                <c:pt idx="92">
                  <c:v>1165.914401179833</c:v>
                </c:pt>
                <c:pt idx="93">
                  <c:v>1258.925411794168</c:v>
                </c:pt>
                <c:pt idx="94">
                  <c:v>1359.3563908785268</c:v>
                </c:pt>
                <c:pt idx="95">
                  <c:v>1467.7992676220699</c:v>
                </c:pt>
                <c:pt idx="96">
                  <c:v>1584.8931924611156</c:v>
                </c:pt>
                <c:pt idx="97">
                  <c:v>1711.3283041617822</c:v>
                </c:pt>
                <c:pt idx="98">
                  <c:v>1847.8497974222912</c:v>
                </c:pt>
                <c:pt idx="99">
                  <c:v>1995.2623149688804</c:v>
                </c:pt>
                <c:pt idx="100">
                  <c:v>2154.4346900318851</c:v>
                </c:pt>
                <c:pt idx="101">
                  <c:v>2326.3050671536284</c:v>
                </c:pt>
                <c:pt idx="102">
                  <c:v>2511.8864315095811</c:v>
                </c:pt>
                <c:pt idx="103">
                  <c:v>2712.2725793320301</c:v>
                </c:pt>
                <c:pt idx="104">
                  <c:v>2928.6445646252391</c:v>
                </c:pt>
                <c:pt idx="105">
                  <c:v>3162.2776601683804</c:v>
                </c:pt>
                <c:pt idx="106">
                  <c:v>3414.5488738336035</c:v>
                </c:pt>
                <c:pt idx="107">
                  <c:v>3686.9450645195784</c:v>
                </c:pt>
                <c:pt idx="108">
                  <c:v>3981.0717055349769</c:v>
                </c:pt>
                <c:pt idx="109">
                  <c:v>4298.6623470822833</c:v>
                </c:pt>
                <c:pt idx="110">
                  <c:v>4641.5888336127782</c:v>
                </c:pt>
                <c:pt idx="111">
                  <c:v>5011.8723362727324</c:v>
                </c:pt>
                <c:pt idx="112">
                  <c:v>5411.6952654646393</c:v>
                </c:pt>
                <c:pt idx="113">
                  <c:v>5843.4141337351803</c:v>
                </c:pt>
                <c:pt idx="114">
                  <c:v>6309.5734448019384</c:v>
                </c:pt>
                <c:pt idx="115">
                  <c:v>6812.9206905796218</c:v>
                </c:pt>
                <c:pt idx="116">
                  <c:v>7356.4225445964248</c:v>
                </c:pt>
                <c:pt idx="117">
                  <c:v>7943.2823472428154</c:v>
                </c:pt>
                <c:pt idx="118">
                  <c:v>8576.9589859089447</c:v>
                </c:pt>
                <c:pt idx="119">
                  <c:v>9261.187281287941</c:v>
                </c:pt>
                <c:pt idx="120">
                  <c:v>10000</c:v>
                </c:pt>
                <c:pt idx="121">
                  <c:v>10797.751623277109</c:v>
                </c:pt>
                <c:pt idx="122">
                  <c:v>11659.144011798313</c:v>
                </c:pt>
                <c:pt idx="123">
                  <c:v>12589.254117941671</c:v>
                </c:pt>
                <c:pt idx="124">
                  <c:v>13593.563908785283</c:v>
                </c:pt>
                <c:pt idx="125">
                  <c:v>14677.992676220729</c:v>
                </c:pt>
                <c:pt idx="126">
                  <c:v>15848.931924611146</c:v>
                </c:pt>
                <c:pt idx="127">
                  <c:v>17113.283041617826</c:v>
                </c:pt>
                <c:pt idx="128">
                  <c:v>18478.497974222933</c:v>
                </c:pt>
                <c:pt idx="129">
                  <c:v>19952.623149688792</c:v>
                </c:pt>
                <c:pt idx="130">
                  <c:v>21544.346900318837</c:v>
                </c:pt>
                <c:pt idx="131">
                  <c:v>23263.050671536268</c:v>
                </c:pt>
                <c:pt idx="132">
                  <c:v>25118.86431509586</c:v>
                </c:pt>
                <c:pt idx="133">
                  <c:v>27122.725793320307</c:v>
                </c:pt>
                <c:pt idx="134">
                  <c:v>29286.445646252399</c:v>
                </c:pt>
                <c:pt idx="135">
                  <c:v>31622.77660168384</c:v>
                </c:pt>
                <c:pt idx="136">
                  <c:v>34145.488738336011</c:v>
                </c:pt>
                <c:pt idx="137">
                  <c:v>36869.450645195764</c:v>
                </c:pt>
                <c:pt idx="138">
                  <c:v>39810.717055349742</c:v>
                </c:pt>
                <c:pt idx="139">
                  <c:v>42986.62347082288</c:v>
                </c:pt>
                <c:pt idx="140">
                  <c:v>46415.888336127835</c:v>
                </c:pt>
                <c:pt idx="141">
                  <c:v>50118.723362727294</c:v>
                </c:pt>
                <c:pt idx="142">
                  <c:v>54116.952654646455</c:v>
                </c:pt>
                <c:pt idx="143">
                  <c:v>58434.141337351764</c:v>
                </c:pt>
                <c:pt idx="144">
                  <c:v>63095.734448019342</c:v>
                </c:pt>
                <c:pt idx="145">
                  <c:v>68129.206905796163</c:v>
                </c:pt>
                <c:pt idx="146">
                  <c:v>73564.225445964199</c:v>
                </c:pt>
                <c:pt idx="147">
                  <c:v>79432.823472428237</c:v>
                </c:pt>
                <c:pt idx="148">
                  <c:v>85769.589859089538</c:v>
                </c:pt>
                <c:pt idx="149">
                  <c:v>92611.872812879505</c:v>
                </c:pt>
                <c:pt idx="150">
                  <c:v>100000</c:v>
                </c:pt>
                <c:pt idx="151">
                  <c:v>107977.51623277101</c:v>
                </c:pt>
                <c:pt idx="152">
                  <c:v>116591.44011798326</c:v>
                </c:pt>
                <c:pt idx="153">
                  <c:v>125892.54117941685</c:v>
                </c:pt>
                <c:pt idx="154">
                  <c:v>135935.63908785273</c:v>
                </c:pt>
                <c:pt idx="155">
                  <c:v>146779.92676220718</c:v>
                </c:pt>
                <c:pt idx="156">
                  <c:v>158489.31924611164</c:v>
                </c:pt>
                <c:pt idx="157">
                  <c:v>171132.83041617845</c:v>
                </c:pt>
                <c:pt idx="158">
                  <c:v>184784.97974222922</c:v>
                </c:pt>
                <c:pt idx="159">
                  <c:v>199526.23149688813</c:v>
                </c:pt>
                <c:pt idx="160">
                  <c:v>215443.46900318863</c:v>
                </c:pt>
                <c:pt idx="161">
                  <c:v>232630.50671536254</c:v>
                </c:pt>
                <c:pt idx="162">
                  <c:v>251188.64315095844</c:v>
                </c:pt>
                <c:pt idx="163">
                  <c:v>271227.25793320336</c:v>
                </c:pt>
                <c:pt idx="164">
                  <c:v>292864.45646252431</c:v>
                </c:pt>
                <c:pt idx="165">
                  <c:v>316227.7660168382</c:v>
                </c:pt>
                <c:pt idx="166">
                  <c:v>341454.88738336053</c:v>
                </c:pt>
                <c:pt idx="167">
                  <c:v>368694.50645195803</c:v>
                </c:pt>
                <c:pt idx="168">
                  <c:v>398107.17055349716</c:v>
                </c:pt>
                <c:pt idx="169">
                  <c:v>429866.2347082285</c:v>
                </c:pt>
                <c:pt idx="170">
                  <c:v>464158.88336127886</c:v>
                </c:pt>
                <c:pt idx="171">
                  <c:v>501187.23362727347</c:v>
                </c:pt>
                <c:pt idx="172">
                  <c:v>541169.52654646419</c:v>
                </c:pt>
                <c:pt idx="173">
                  <c:v>584341.41337351827</c:v>
                </c:pt>
                <c:pt idx="174">
                  <c:v>630957.34448019415</c:v>
                </c:pt>
                <c:pt idx="175">
                  <c:v>681292.06905796123</c:v>
                </c:pt>
                <c:pt idx="176">
                  <c:v>735642.25445964152</c:v>
                </c:pt>
                <c:pt idx="177">
                  <c:v>794328.23472428333</c:v>
                </c:pt>
                <c:pt idx="178">
                  <c:v>857695.89859089628</c:v>
                </c:pt>
                <c:pt idx="179">
                  <c:v>926118.72812879446</c:v>
                </c:pt>
                <c:pt idx="180">
                  <c:v>1000000</c:v>
                </c:pt>
                <c:pt idx="181">
                  <c:v>1079775.1623277115</c:v>
                </c:pt>
                <c:pt idx="182">
                  <c:v>1165914.4011798317</c:v>
                </c:pt>
                <c:pt idx="183">
                  <c:v>1258925.4117941677</c:v>
                </c:pt>
                <c:pt idx="184">
                  <c:v>1359356.3908785288</c:v>
                </c:pt>
                <c:pt idx="185">
                  <c:v>1467799.2676220734</c:v>
                </c:pt>
                <c:pt idx="186">
                  <c:v>1584893.1924611153</c:v>
                </c:pt>
                <c:pt idx="187">
                  <c:v>1711328.3041617833</c:v>
                </c:pt>
                <c:pt idx="188">
                  <c:v>1847849.797422294</c:v>
                </c:pt>
                <c:pt idx="189">
                  <c:v>1995262.31496888</c:v>
                </c:pt>
                <c:pt idx="190">
                  <c:v>2154434.6900318847</c:v>
                </c:pt>
                <c:pt idx="191">
                  <c:v>2326305.067153628</c:v>
                </c:pt>
                <c:pt idx="192">
                  <c:v>2511886.431509587</c:v>
                </c:pt>
                <c:pt idx="193">
                  <c:v>2712272.5793320318</c:v>
                </c:pt>
                <c:pt idx="194">
                  <c:v>2928644.5646252413</c:v>
                </c:pt>
                <c:pt idx="195">
                  <c:v>3162277.6601683851</c:v>
                </c:pt>
                <c:pt idx="196">
                  <c:v>3414548.8738336028</c:v>
                </c:pt>
                <c:pt idx="197">
                  <c:v>3686945.0645195777</c:v>
                </c:pt>
                <c:pt idx="198">
                  <c:v>3981071.705534976</c:v>
                </c:pt>
                <c:pt idx="199">
                  <c:v>4298662.3470822899</c:v>
                </c:pt>
                <c:pt idx="200">
                  <c:v>4641588.8336127857</c:v>
                </c:pt>
                <c:pt idx="201">
                  <c:v>5011872.3362727314</c:v>
                </c:pt>
                <c:pt idx="202">
                  <c:v>5411695.2654646477</c:v>
                </c:pt>
                <c:pt idx="203">
                  <c:v>5843414.133735179</c:v>
                </c:pt>
                <c:pt idx="204">
                  <c:v>6309573.4448019378</c:v>
                </c:pt>
                <c:pt idx="205">
                  <c:v>6812920.6905796202</c:v>
                </c:pt>
                <c:pt idx="206">
                  <c:v>7356422.5445964225</c:v>
                </c:pt>
                <c:pt idx="207">
                  <c:v>7943282.3472428275</c:v>
                </c:pt>
                <c:pt idx="208">
                  <c:v>8576958.9859089572</c:v>
                </c:pt>
                <c:pt idx="209">
                  <c:v>9261187.2812879551</c:v>
                </c:pt>
                <c:pt idx="210">
                  <c:v>10000000</c:v>
                </c:pt>
              </c:numCache>
            </c:numRef>
          </c:xVal>
          <c:yVal>
            <c:numRef>
              <c:f>'Small Signal'!$P$2:$P$212</c:f>
              <c:numCache>
                <c:formatCode>General</c:formatCode>
                <c:ptCount val="211"/>
                <c:pt idx="0">
                  <c:v>68.889720152258874</c:v>
                </c:pt>
                <c:pt idx="1">
                  <c:v>68.887266602607525</c:v>
                </c:pt>
                <c:pt idx="2">
                  <c:v>68.884407722762973</c:v>
                </c:pt>
                <c:pt idx="3">
                  <c:v>68.881076887981209</c:v>
                </c:pt>
                <c:pt idx="4">
                  <c:v>68.877196642411462</c:v>
                </c:pt>
                <c:pt idx="5">
                  <c:v>68.87267698109784</c:v>
                </c:pt>
                <c:pt idx="6">
                  <c:v>68.867413374726056</c:v>
                </c:pt>
                <c:pt idx="7">
                  <c:v>68.861284504070525</c:v>
                </c:pt>
                <c:pt idx="8">
                  <c:v>68.854149668867976</c:v>
                </c:pt>
                <c:pt idx="9">
                  <c:v>68.845845834314019</c:v>
                </c:pt>
                <c:pt idx="10">
                  <c:v>68.836184277967462</c:v>
                </c:pt>
                <c:pt idx="11">
                  <c:v>68.824946801144932</c:v>
                </c:pt>
                <c:pt idx="12">
                  <c:v>68.811881472661469</c:v>
                </c:pt>
                <c:pt idx="13">
                  <c:v>68.796697880033506</c:v>
                </c:pt>
                <c:pt idx="14">
                  <c:v>68.779061875265825</c:v>
                </c:pt>
                <c:pt idx="15">
                  <c:v>68.758589820654151</c:v>
                </c:pt>
                <c:pt idx="16">
                  <c:v>68.73484236648919</c:v>
                </c:pt>
                <c:pt idx="17">
                  <c:v>68.707317829241262</c:v>
                </c:pt>
                <c:pt idx="18">
                  <c:v>68.67544528795635</c:v>
                </c:pt>
                <c:pt idx="19">
                  <c:v>68.638577580298517</c:v>
                </c:pt>
                <c:pt idx="20">
                  <c:v>68.595984459558281</c:v>
                </c:pt>
                <c:pt idx="21">
                  <c:v>68.546846270499685</c:v>
                </c:pt>
                <c:pt idx="22">
                  <c:v>68.490248613671056</c:v>
                </c:pt>
                <c:pt idx="23">
                  <c:v>68.425178590224689</c:v>
                </c:pt>
                <c:pt idx="24">
                  <c:v>68.35052334341124</c:v>
                </c:pt>
                <c:pt idx="25">
                  <c:v>68.265071724129527</c:v>
                </c:pt>
                <c:pt idx="26">
                  <c:v>68.167519984923246</c:v>
                </c:pt>
                <c:pt idx="27">
                  <c:v>68.056482421750886</c:v>
                </c:pt>
                <c:pt idx="28">
                  <c:v>67.930507802943097</c:v>
                </c:pt>
                <c:pt idx="29">
                  <c:v>67.788102216651993</c:v>
                </c:pt>
                <c:pt idx="30">
                  <c:v>67.627758605175146</c:v>
                </c:pt>
                <c:pt idx="31">
                  <c:v>67.447992727177279</c:v>
                </c:pt>
                <c:pt idx="32">
                  <c:v>67.247384615734944</c:v>
                </c:pt>
                <c:pt idx="33">
                  <c:v>67.024623837901729</c:v>
                </c:pt>
                <c:pt idx="34">
                  <c:v>66.778556107461469</c:v>
                </c:pt>
                <c:pt idx="35">
                  <c:v>66.508228186450538</c:v>
                </c:pt>
                <c:pt idx="36">
                  <c:v>66.212927673075626</c:v>
                </c:pt>
                <c:pt idx="37">
                  <c:v>65.89221433104268</c:v>
                </c:pt>
                <c:pt idx="38">
                  <c:v>65.545940125716271</c:v>
                </c:pt>
                <c:pt idx="39">
                  <c:v>65.174256066663119</c:v>
                </c:pt>
                <c:pt idx="40">
                  <c:v>64.777605191990915</c:v>
                </c:pt>
                <c:pt idx="41">
                  <c:v>64.356702374313514</c:v>
                </c:pt>
                <c:pt idx="42">
                  <c:v>63.912502861503604</c:v>
                </c:pt>
                <c:pt idx="43">
                  <c:v>63.446162395091562</c:v>
                </c:pt>
                <c:pt idx="44">
                  <c:v>62.958992254223112</c:v>
                </c:pt>
                <c:pt idx="45">
                  <c:v>62.452412625343747</c:v>
                </c:pt>
                <c:pt idx="46">
                  <c:v>61.927907355761192</c:v>
                </c:pt>
                <c:pt idx="47">
                  <c:v>61.386982530677159</c:v>
                </c:pt>
                <c:pt idx="48">
                  <c:v>60.831130558388502</c:v>
                </c:pt>
                <c:pt idx="49">
                  <c:v>60.26180068662179</c:v>
                </c:pt>
                <c:pt idx="50">
                  <c:v>59.680376201253367</c:v>
                </c:pt>
                <c:pt idx="51">
                  <c:v>59.088158033086714</c:v>
                </c:pt>
                <c:pt idx="52">
                  <c:v>58.48635413724913</c:v>
                </c:pt>
                <c:pt idx="53">
                  <c:v>57.87607380320744</c:v>
                </c:pt>
                <c:pt idx="54">
                  <c:v>57.258325974643256</c:v>
                </c:pt>
                <c:pt idx="55">
                  <c:v>56.634020674104413</c:v>
                </c:pt>
                <c:pt idx="56">
                  <c:v>56.003972704708708</c:v>
                </c:pt>
                <c:pt idx="57">
                  <c:v>55.368906912411823</c:v>
                </c:pt>
                <c:pt idx="58">
                  <c:v>54.729464416265536</c:v>
                </c:pt>
                <c:pt idx="59">
                  <c:v>54.086209336112802</c:v>
                </c:pt>
                <c:pt idx="60">
                  <c:v>53.439635658412243</c:v>
                </c:pt>
                <c:pt idx="61">
                  <c:v>52.79017397684914</c:v>
                </c:pt>
                <c:pt idx="62">
                  <c:v>52.138197923613603</c:v>
                </c:pt>
                <c:pt idx="63">
                  <c:v>51.484030170254726</c:v>
                </c:pt>
                <c:pt idx="64">
                  <c:v>50.827947925427573</c:v>
                </c:pt>
                <c:pt idx="65">
                  <c:v>50.170187892787936</c:v>
                </c:pt>
                <c:pt idx="66">
                  <c:v>49.510950677938403</c:v>
                </c:pt>
                <c:pt idx="67">
                  <c:v>48.850404650814355</c:v>
                </c:pt>
                <c:pt idx="68">
                  <c:v>48.188689281048227</c:v>
                </c:pt>
                <c:pt idx="69">
                  <c:v>47.525917970251676</c:v>
                </c:pt>
                <c:pt idx="70">
                  <c:v>46.862180408100933</c:v>
                </c:pt>
                <c:pt idx="71">
                  <c:v>46.197544479639618</c:v>
                </c:pt>
                <c:pt idx="72">
                  <c:v>45.532057750190873</c:v>
                </c:pt>
                <c:pt idx="73">
                  <c:v>44.86574855235957</c:v>
                </c:pt>
                <c:pt idx="74">
                  <c:v>44.198626697404379</c:v>
                </c:pt>
                <c:pt idx="75">
                  <c:v>43.530683831267211</c:v>
                </c:pt>
                <c:pt idx="76">
                  <c:v>42.861893454254918</c:v>
                </c:pt>
                <c:pt idx="77">
                  <c:v>42.192210623290798</c:v>
                </c:pt>
                <c:pt idx="78">
                  <c:v>41.521571357332654</c:v>
                </c:pt>
                <c:pt idx="79">
                  <c:v>40.84989177065615</c:v>
                </c:pt>
                <c:pt idx="80">
                  <c:v>40.177066965970056</c:v>
                </c:pt>
                <c:pt idx="81">
                  <c:v>39.502969730651046</c:v>
                </c:pt>
                <c:pt idx="82">
                  <c:v>38.827449095764919</c:v>
                </c:pt>
                <c:pt idx="83">
                  <c:v>38.150328840050925</c:v>
                </c:pt>
                <c:pt idx="84">
                  <c:v>37.471406050742004</c:v>
                </c:pt>
                <c:pt idx="85">
                  <c:v>36.790449890852152</c:v>
                </c:pt>
                <c:pt idx="86">
                  <c:v>36.107200768744001</c:v>
                </c:pt>
                <c:pt idx="87">
                  <c:v>35.421370159881263</c:v>
                </c:pt>
                <c:pt idx="88">
                  <c:v>34.732641390605316</c:v>
                </c:pt>
                <c:pt idx="89">
                  <c:v>34.04067175520359</c:v>
                </c:pt>
                <c:pt idx="90">
                  <c:v>33.345096392904338</c:v>
                </c:pt>
                <c:pt idx="91">
                  <c:v>32.645534389085483</c:v>
                </c:pt>
                <c:pt idx="92">
                  <c:v>31.941597568604863</c:v>
                </c:pt>
                <c:pt idx="93">
                  <c:v>31.2329023979024</c:v>
                </c:pt>
                <c:pt idx="94">
                  <c:v>30.519085282578217</c:v>
                </c:pt>
                <c:pt idx="95">
                  <c:v>29.799821315395224</c:v>
                </c:pt>
                <c:pt idx="96">
                  <c:v>29.074846179866828</c:v>
                </c:pt>
                <c:pt idx="97">
                  <c:v>28.343980446413788</c:v>
                </c:pt>
                <c:pt idx="98">
                  <c:v>27.607154937263886</c:v>
                </c:pt>
                <c:pt idx="99">
                  <c:v>26.864435243723182</c:v>
                </c:pt>
                <c:pt idx="100">
                  <c:v>26.116042954443891</c:v>
                </c:pt>
                <c:pt idx="101">
                  <c:v>25.36237082584119</c:v>
                </c:pt>
                <c:pt idx="102">
                  <c:v>24.603989134169883</c:v>
                </c:pt>
                <c:pt idx="103">
                  <c:v>23.841640903037732</c:v>
                </c:pt>
                <c:pt idx="104">
                  <c:v>23.076224638692008</c:v>
                </c:pt>
                <c:pt idx="105">
                  <c:v>22.308764559070994</c:v>
                </c:pt>
                <c:pt idx="106">
                  <c:v>21.540369883323113</c:v>
                </c:pt>
                <c:pt idx="107">
                  <c:v>20.772186275684575</c:v>
                </c:pt>
                <c:pt idx="108">
                  <c:v>20.005343701484378</c:v>
                </c:pt>
                <c:pt idx="109">
                  <c:v>19.240905498718238</c:v>
                </c:pt>
                <c:pt idx="110">
                  <c:v>18.47982327178488</c:v>
                </c:pt>
                <c:pt idx="111">
                  <c:v>17.722901319495303</c:v>
                </c:pt>
                <c:pt idx="112">
                  <c:v>16.970772917377069</c:v>
                </c:pt>
                <c:pt idx="113">
                  <c:v>16.223889178788973</c:v>
                </c:pt>
                <c:pt idx="114">
                  <c:v>15.482519724787432</c:v>
                </c:pt>
                <c:pt idx="115">
                  <c:v>14.746763237242517</c:v>
                </c:pt>
                <c:pt idx="116">
                  <c:v>14.016565280323348</c:v>
                </c:pt>
                <c:pt idx="117">
                  <c:v>13.291740562093084</c:v>
                </c:pt>
                <c:pt idx="118">
                  <c:v>12.571996989606902</c:v>
                </c:pt>
                <c:pt idx="119">
                  <c:v>11.856959317730769</c:v>
                </c:pt>
                <c:pt idx="120">
                  <c:v>11.146190766412452</c:v>
                </c:pt>
                <c:pt idx="121">
                  <c:v>10.439211567787481</c:v>
                </c:pt>
                <c:pt idx="122">
                  <c:v>9.7355139242884157</c:v>
                </c:pt>
                <c:pt idx="123">
                  <c:v>9.034573270606959</c:v>
                </c:pt>
                <c:pt idx="124">
                  <c:v>8.3358560257627516</c:v>
                </c:pt>
                <c:pt idx="125">
                  <c:v>7.6388242073378896</c:v>
                </c:pt>
                <c:pt idx="126">
                  <c:v>6.9429373799101555</c:v>
                </c:pt>
                <c:pt idx="127">
                  <c:v>6.2476524491255621</c:v>
                </c:pt>
                <c:pt idx="128">
                  <c:v>5.5524218155236449</c:v>
                </c:pt>
                <c:pt idx="129">
                  <c:v>4.8566903880266112</c:v>
                </c:pt>
                <c:pt idx="130">
                  <c:v>4.159891940828027</c:v>
                </c:pt>
                <c:pt idx="131">
                  <c:v>3.4614452892318748</c:v>
                </c:pt>
                <c:pt idx="132">
                  <c:v>2.7607507650531451</c:v>
                </c:pt>
                <c:pt idx="133">
                  <c:v>2.0571874913395498</c:v>
                </c:pt>
                <c:pt idx="134">
                  <c:v>1.3501119856989678</c:v>
                </c:pt>
                <c:pt idx="135">
                  <c:v>0.6388586529227287</c:v>
                </c:pt>
                <c:pt idx="136">
                  <c:v>-7.7257253079055399E-2</c:v>
                </c:pt>
                <c:pt idx="137">
                  <c:v>-0.79893363037432341</c:v>
                </c:pt>
                <c:pt idx="138">
                  <c:v>-1.5268719946109588</c:v>
                </c:pt>
                <c:pt idx="139">
                  <c:v>-2.261764065069245</c:v>
                </c:pt>
                <c:pt idx="140">
                  <c:v>-3.0042743950678825</c:v>
                </c:pt>
                <c:pt idx="141">
                  <c:v>-3.7550193726713648</c:v>
                </c:pt>
                <c:pt idx="142">
                  <c:v>-4.5145434569106211</c:v>
                </c:pt>
                <c:pt idx="143">
                  <c:v>-5.2832941652385461</c:v>
                </c:pt>
                <c:pt idx="144">
                  <c:v>-6.0615980241066945</c:v>
                </c:pt>
                <c:pt idx="145">
                  <c:v>-6.8496403267711585</c:v>
                </c:pt>
                <c:pt idx="146">
                  <c:v>-7.647451964210692</c:v>
                </c:pt>
                <c:pt idx="147">
                  <c:v>-8.4549066459614526</c:v>
                </c:pt>
                <c:pt idx="148">
                  <c:v>-9.2717313721548482</c:v>
                </c:pt>
                <c:pt idx="149">
                  <c:v>-10.097531992753661</c:v>
                </c:pt>
                <c:pt idx="150">
                  <c:v>-10.931834145488317</c:v>
                </c:pt>
                <c:pt idx="151">
                  <c:v>-11.774137982892299</c:v>
                </c:pt>
                <c:pt idx="152">
                  <c:v>-12.62398317616567</c:v>
                </c:pt>
                <c:pt idx="153">
                  <c:v>-13.48101906714599</c:v>
                </c:pt>
                <c:pt idx="154">
                  <c:v>-14.345073844337456</c:v>
                </c:pt>
                <c:pt idx="155">
                  <c:v>-15.216216441938723</c:v>
                </c:pt>
                <c:pt idx="156">
                  <c:v>-16.094805528012312</c:v>
                </c:pt>
                <c:pt idx="157">
                  <c:v>-16.981521311433308</c:v>
                </c:pt>
                <c:pt idx="158">
                  <c:v>-17.877377684514279</c:v>
                </c:pt>
                <c:pt idx="159">
                  <c:v>-18.783714114016782</c:v>
                </c:pt>
                <c:pt idx="160">
                  <c:v>-19.702168423447173</c:v>
                </c:pt>
                <c:pt idx="161">
                  <c:v>-20.634632998132574</c:v>
                </c:pt>
                <c:pt idx="162">
                  <c:v>-21.583197928752643</c:v>
                </c:pt>
                <c:pt idx="163">
                  <c:v>-22.550085214180807</c:v>
                </c:pt>
                <c:pt idx="164">
                  <c:v>-23.537578436061711</c:v>
                </c:pt>
                <c:pt idx="165">
                  <c:v>-24.547952351953629</c:v>
                </c:pt>
                <c:pt idx="166">
                  <c:v>-25.583406648761752</c:v>
                </c:pt>
                <c:pt idx="167">
                  <c:v>-26.646007631647024</c:v>
                </c:pt>
                <c:pt idx="168">
                  <c:v>-27.737640860684415</c:v>
                </c:pt>
                <c:pt idx="169">
                  <c:v>-28.859976681160102</c:v>
                </c:pt>
                <c:pt idx="170">
                  <c:v>-30.014449281059129</c:v>
                </c:pt>
                <c:pt idx="171">
                  <c:v>-31.202248488370543</c:v>
                </c:pt>
                <c:pt idx="172">
                  <c:v>-32.424322193160172</c:v>
                </c:pt>
                <c:pt idx="173">
                  <c:v>-33.681386268673613</c:v>
                </c:pt>
                <c:pt idx="174">
                  <c:v>-34.973938361599153</c:v>
                </c:pt>
                <c:pt idx="175">
                  <c:v>-36.302272028828156</c:v>
                </c:pt>
                <c:pt idx="176">
                  <c:v>-37.66648840634182</c:v>
                </c:pt>
                <c:pt idx="177">
                  <c:v>-39.066503777180912</c:v>
                </c:pt>
                <c:pt idx="178">
                  <c:v>-40.502052836787115</c:v>
                </c:pt>
                <c:pt idx="179">
                  <c:v>-41.972688858694191</c:v>
                </c:pt>
                <c:pt idx="180">
                  <c:v>-43.477783063033463</c:v>
                </c:pt>
                <c:pt idx="181">
                  <c:v>-45.016526058308273</c:v>
                </c:pt>
                <c:pt idx="182">
                  <c:v>-46.587934137747204</c:v>
                </c:pt>
                <c:pt idx="183">
                  <c:v>-48.190862473250853</c:v>
                </c:pt>
                <c:pt idx="184">
                  <c:v>-49.82402601143378</c:v>
                </c:pt>
                <c:pt idx="185">
                  <c:v>-51.486027402326435</c:v>
                </c:pt>
                <c:pt idx="186">
                  <c:v>-53.175389906258481</c:v>
                </c:pt>
                <c:pt idx="187">
                  <c:v>-54.890592236176801</c:v>
                </c:pt>
                <c:pt idx="188">
                  <c:v>-56.630101916507783</c:v>
                </c:pt>
                <c:pt idx="189">
                  <c:v>-58.392404044216242</c:v>
                </c:pt>
                <c:pt idx="190">
                  <c:v>-60.176023228677039</c:v>
                </c:pt>
                <c:pt idx="191">
                  <c:v>-61.979537735456006</c:v>
                </c:pt>
                <c:pt idx="192">
                  <c:v>-63.801586166103768</c:v>
                </c:pt>
                <c:pt idx="193">
                  <c:v>-65.640868084644637</c:v>
                </c:pt>
                <c:pt idx="194">
                  <c:v>-67.49614065061661</c:v>
                </c:pt>
                <c:pt idx="195">
                  <c:v>-69.366213466707308</c:v>
                </c:pt>
                <c:pt idx="196">
                  <c:v>-71.249943554985052</c:v>
                </c:pt>
                <c:pt idx="197">
                  <c:v>-73.146231791335779</c:v>
                </c:pt>
                <c:pt idx="198">
                  <c:v>-75.054021440075161</c:v>
                </c:pt>
                <c:pt idx="199">
                  <c:v>-76.972298805958062</c:v>
                </c:pt>
                <c:pt idx="200">
                  <c:v>-78.900095567314764</c:v>
                </c:pt>
                <c:pt idx="201">
                  <c:v>-80.836492111692294</c:v>
                </c:pt>
                <c:pt idx="202">
                  <c:v>-82.780621146710047</c:v>
                </c:pt>
                <c:pt idx="203">
                  <c:v>-84.731670951902487</c:v>
                </c:pt>
                <c:pt idx="204">
                  <c:v>-86.688887809319795</c:v>
                </c:pt>
                <c:pt idx="205">
                  <c:v>-88.651577345742112</c:v>
                </c:pt>
                <c:pt idx="206">
                  <c:v>-90.619104697666472</c:v>
                </c:pt>
                <c:pt idx="207">
                  <c:v>-92.590893549735796</c:v>
                </c:pt>
                <c:pt idx="208">
                  <c:v>-94.566424190903177</c:v>
                </c:pt>
                <c:pt idx="209">
                  <c:v>-96.545230783355464</c:v>
                </c:pt>
                <c:pt idx="210">
                  <c:v>-98.52689805542694</c:v>
                </c:pt>
              </c:numCache>
            </c:numRef>
          </c:yVal>
          <c:smooth val="1"/>
          <c:extLst xmlns:c16r2="http://schemas.microsoft.com/office/drawing/2015/06/chart">
            <c:ext xmlns:c16="http://schemas.microsoft.com/office/drawing/2014/chart" uri="{C3380CC4-5D6E-409C-BE32-E72D297353CC}">
              <c16:uniqueId val="{00000000-026D-4A13-8F5F-FC28F04B1015}"/>
            </c:ext>
          </c:extLst>
        </c:ser>
        <c:ser>
          <c:idx val="1"/>
          <c:order val="2"/>
          <c:tx>
            <c:v>Power Stage Gain</c:v>
          </c:tx>
          <c:spPr>
            <a:ln w="25400">
              <a:solidFill>
                <a:srgbClr val="000080"/>
              </a:solidFill>
              <a:prstDash val="solid"/>
            </a:ln>
          </c:spPr>
          <c:marker>
            <c:symbol val="none"/>
          </c:marker>
          <c:xVal>
            <c:numRef>
              <c:f>'Small Signal'!$L$2:$L$212</c:f>
              <c:numCache>
                <c:formatCode>General</c:formatCode>
                <c:ptCount val="211"/>
                <c:pt idx="0">
                  <c:v>1</c:v>
                </c:pt>
                <c:pt idx="1">
                  <c:v>1.0797751623277096</c:v>
                </c:pt>
                <c:pt idx="2">
                  <c:v>1.1659144011798317</c:v>
                </c:pt>
                <c:pt idx="3">
                  <c:v>1.2589254117941673</c:v>
                </c:pt>
                <c:pt idx="4">
                  <c:v>1.3593563908785258</c:v>
                </c:pt>
                <c:pt idx="5">
                  <c:v>1.4677992676220697</c:v>
                </c:pt>
                <c:pt idx="6">
                  <c:v>1.5848931924611136</c:v>
                </c:pt>
                <c:pt idx="7">
                  <c:v>1.7113283041617808</c:v>
                </c:pt>
                <c:pt idx="8">
                  <c:v>1.8478497974222912</c:v>
                </c:pt>
                <c:pt idx="9">
                  <c:v>1.9952623149688797</c:v>
                </c:pt>
                <c:pt idx="10">
                  <c:v>2.1544346900318838</c:v>
                </c:pt>
                <c:pt idx="11">
                  <c:v>2.3263050671536263</c:v>
                </c:pt>
                <c:pt idx="12">
                  <c:v>2.5118864315095806</c:v>
                </c:pt>
                <c:pt idx="13">
                  <c:v>2.7122725793320286</c:v>
                </c:pt>
                <c:pt idx="14">
                  <c:v>2.9286445646252366</c:v>
                </c:pt>
                <c:pt idx="15">
                  <c:v>3.1622776601683795</c:v>
                </c:pt>
                <c:pt idx="16">
                  <c:v>3.4145488738336023</c:v>
                </c:pt>
                <c:pt idx="17">
                  <c:v>3.6869450645195756</c:v>
                </c:pt>
                <c:pt idx="18">
                  <c:v>3.9810717055349727</c:v>
                </c:pt>
                <c:pt idx="19">
                  <c:v>4.2986623470822769</c:v>
                </c:pt>
                <c:pt idx="20">
                  <c:v>4.6415888336127793</c:v>
                </c:pt>
                <c:pt idx="21">
                  <c:v>5.0118723362727229</c:v>
                </c:pt>
                <c:pt idx="22">
                  <c:v>5.4116952654646369</c:v>
                </c:pt>
                <c:pt idx="23">
                  <c:v>5.8434141337351777</c:v>
                </c:pt>
                <c:pt idx="24">
                  <c:v>6.3095734448019343</c:v>
                </c:pt>
                <c:pt idx="25">
                  <c:v>6.812920690579614</c:v>
                </c:pt>
                <c:pt idx="26">
                  <c:v>7.3564225445964153</c:v>
                </c:pt>
                <c:pt idx="27">
                  <c:v>7.9432823472428176</c:v>
                </c:pt>
                <c:pt idx="28">
                  <c:v>8.5769589859089415</c:v>
                </c:pt>
                <c:pt idx="29">
                  <c:v>9.2611872812879383</c:v>
                </c:pt>
                <c:pt idx="30">
                  <c:v>10</c:v>
                </c:pt>
                <c:pt idx="31">
                  <c:v>10.797751623277103</c:v>
                </c:pt>
                <c:pt idx="32">
                  <c:v>11.659144011798322</c:v>
                </c:pt>
                <c:pt idx="33">
                  <c:v>12.58925411794168</c:v>
                </c:pt>
                <c:pt idx="34">
                  <c:v>13.593563908785256</c:v>
                </c:pt>
                <c:pt idx="35">
                  <c:v>14.677992676220699</c:v>
                </c:pt>
                <c:pt idx="36">
                  <c:v>15.848931924611136</c:v>
                </c:pt>
                <c:pt idx="37">
                  <c:v>17.113283041617812</c:v>
                </c:pt>
                <c:pt idx="38">
                  <c:v>18.478497974222911</c:v>
                </c:pt>
                <c:pt idx="39">
                  <c:v>19.952623149688804</c:v>
                </c:pt>
                <c:pt idx="40">
                  <c:v>21.544346900318843</c:v>
                </c:pt>
                <c:pt idx="41">
                  <c:v>23.263050671536273</c:v>
                </c:pt>
                <c:pt idx="42">
                  <c:v>25.118864315095799</c:v>
                </c:pt>
                <c:pt idx="43">
                  <c:v>27.122725793320289</c:v>
                </c:pt>
                <c:pt idx="44">
                  <c:v>29.286445646252368</c:v>
                </c:pt>
                <c:pt idx="45">
                  <c:v>31.622776601683803</c:v>
                </c:pt>
                <c:pt idx="46">
                  <c:v>34.145488738336034</c:v>
                </c:pt>
                <c:pt idx="47">
                  <c:v>36.869450645195769</c:v>
                </c:pt>
                <c:pt idx="48">
                  <c:v>39.810717055349755</c:v>
                </c:pt>
                <c:pt idx="49">
                  <c:v>42.986623470822771</c:v>
                </c:pt>
                <c:pt idx="50">
                  <c:v>46.415888336127807</c:v>
                </c:pt>
                <c:pt idx="51">
                  <c:v>50.118723362727238</c:v>
                </c:pt>
                <c:pt idx="52">
                  <c:v>54.11695265464639</c:v>
                </c:pt>
                <c:pt idx="53">
                  <c:v>58.434141337351775</c:v>
                </c:pt>
                <c:pt idx="54">
                  <c:v>63.095734448019364</c:v>
                </c:pt>
                <c:pt idx="55">
                  <c:v>68.129206905796124</c:v>
                </c:pt>
                <c:pt idx="56">
                  <c:v>73.564225445964155</c:v>
                </c:pt>
                <c:pt idx="57">
                  <c:v>79.432823472428197</c:v>
                </c:pt>
                <c:pt idx="58">
                  <c:v>85.769589859089479</c:v>
                </c:pt>
                <c:pt idx="59">
                  <c:v>92.611872812879369</c:v>
                </c:pt>
                <c:pt idx="60">
                  <c:v>100</c:v>
                </c:pt>
                <c:pt idx="61">
                  <c:v>107.97751623277095</c:v>
                </c:pt>
                <c:pt idx="62">
                  <c:v>116.59144011798328</c:v>
                </c:pt>
                <c:pt idx="63">
                  <c:v>125.89254117941677</c:v>
                </c:pt>
                <c:pt idx="64">
                  <c:v>135.93563908785265</c:v>
                </c:pt>
                <c:pt idx="65">
                  <c:v>146.77992676220697</c:v>
                </c:pt>
                <c:pt idx="66">
                  <c:v>158.48931924611153</c:v>
                </c:pt>
                <c:pt idx="67">
                  <c:v>171.13283041617817</c:v>
                </c:pt>
                <c:pt idx="68">
                  <c:v>184.7849797422291</c:v>
                </c:pt>
                <c:pt idx="69">
                  <c:v>199.52623149688802</c:v>
                </c:pt>
                <c:pt idx="70">
                  <c:v>215.44346900318848</c:v>
                </c:pt>
                <c:pt idx="71">
                  <c:v>232.6305067153628</c:v>
                </c:pt>
                <c:pt idx="72">
                  <c:v>251.18864315095806</c:v>
                </c:pt>
                <c:pt idx="73">
                  <c:v>271.22725793320296</c:v>
                </c:pt>
                <c:pt idx="74">
                  <c:v>292.86445646252383</c:v>
                </c:pt>
                <c:pt idx="75">
                  <c:v>316.22776601683825</c:v>
                </c:pt>
                <c:pt idx="76">
                  <c:v>341.4548873833603</c:v>
                </c:pt>
                <c:pt idx="77">
                  <c:v>368.69450645195781</c:v>
                </c:pt>
                <c:pt idx="78">
                  <c:v>398.10717055349761</c:v>
                </c:pt>
                <c:pt idx="79">
                  <c:v>429.86623470822781</c:v>
                </c:pt>
                <c:pt idx="80">
                  <c:v>464.15888336127819</c:v>
                </c:pt>
                <c:pt idx="81">
                  <c:v>501.18723362727269</c:v>
                </c:pt>
                <c:pt idx="82">
                  <c:v>541.16952654646434</c:v>
                </c:pt>
                <c:pt idx="83">
                  <c:v>584.34141337351787</c:v>
                </c:pt>
                <c:pt idx="84">
                  <c:v>630.95734448019323</c:v>
                </c:pt>
                <c:pt idx="85">
                  <c:v>681.29206905796195</c:v>
                </c:pt>
                <c:pt idx="86">
                  <c:v>735.64225445964166</c:v>
                </c:pt>
                <c:pt idx="87">
                  <c:v>794.32823472428208</c:v>
                </c:pt>
                <c:pt idx="88">
                  <c:v>857.69589859089422</c:v>
                </c:pt>
                <c:pt idx="89">
                  <c:v>926.11872812879471</c:v>
                </c:pt>
                <c:pt idx="90">
                  <c:v>1000</c:v>
                </c:pt>
                <c:pt idx="91">
                  <c:v>1079.7751623277097</c:v>
                </c:pt>
                <c:pt idx="92">
                  <c:v>1165.914401179833</c:v>
                </c:pt>
                <c:pt idx="93">
                  <c:v>1258.925411794168</c:v>
                </c:pt>
                <c:pt idx="94">
                  <c:v>1359.3563908785268</c:v>
                </c:pt>
                <c:pt idx="95">
                  <c:v>1467.7992676220699</c:v>
                </c:pt>
                <c:pt idx="96">
                  <c:v>1584.8931924611156</c:v>
                </c:pt>
                <c:pt idx="97">
                  <c:v>1711.3283041617822</c:v>
                </c:pt>
                <c:pt idx="98">
                  <c:v>1847.8497974222912</c:v>
                </c:pt>
                <c:pt idx="99">
                  <c:v>1995.2623149688804</c:v>
                </c:pt>
                <c:pt idx="100">
                  <c:v>2154.4346900318851</c:v>
                </c:pt>
                <c:pt idx="101">
                  <c:v>2326.3050671536284</c:v>
                </c:pt>
                <c:pt idx="102">
                  <c:v>2511.8864315095811</c:v>
                </c:pt>
                <c:pt idx="103">
                  <c:v>2712.2725793320301</c:v>
                </c:pt>
                <c:pt idx="104">
                  <c:v>2928.6445646252391</c:v>
                </c:pt>
                <c:pt idx="105">
                  <c:v>3162.2776601683804</c:v>
                </c:pt>
                <c:pt idx="106">
                  <c:v>3414.5488738336035</c:v>
                </c:pt>
                <c:pt idx="107">
                  <c:v>3686.9450645195784</c:v>
                </c:pt>
                <c:pt idx="108">
                  <c:v>3981.0717055349769</c:v>
                </c:pt>
                <c:pt idx="109">
                  <c:v>4298.6623470822833</c:v>
                </c:pt>
                <c:pt idx="110">
                  <c:v>4641.5888336127782</c:v>
                </c:pt>
                <c:pt idx="111">
                  <c:v>5011.8723362727324</c:v>
                </c:pt>
                <c:pt idx="112">
                  <c:v>5411.6952654646393</c:v>
                </c:pt>
                <c:pt idx="113">
                  <c:v>5843.4141337351803</c:v>
                </c:pt>
                <c:pt idx="114">
                  <c:v>6309.5734448019384</c:v>
                </c:pt>
                <c:pt idx="115">
                  <c:v>6812.9206905796218</c:v>
                </c:pt>
                <c:pt idx="116">
                  <c:v>7356.4225445964248</c:v>
                </c:pt>
                <c:pt idx="117">
                  <c:v>7943.2823472428154</c:v>
                </c:pt>
                <c:pt idx="118">
                  <c:v>8576.9589859089447</c:v>
                </c:pt>
                <c:pt idx="119">
                  <c:v>9261.187281287941</c:v>
                </c:pt>
                <c:pt idx="120">
                  <c:v>10000</c:v>
                </c:pt>
                <c:pt idx="121">
                  <c:v>10797.751623277109</c:v>
                </c:pt>
                <c:pt idx="122">
                  <c:v>11659.144011798313</c:v>
                </c:pt>
                <c:pt idx="123">
                  <c:v>12589.254117941671</c:v>
                </c:pt>
                <c:pt idx="124">
                  <c:v>13593.563908785283</c:v>
                </c:pt>
                <c:pt idx="125">
                  <c:v>14677.992676220729</c:v>
                </c:pt>
                <c:pt idx="126">
                  <c:v>15848.931924611146</c:v>
                </c:pt>
                <c:pt idx="127">
                  <c:v>17113.283041617826</c:v>
                </c:pt>
                <c:pt idx="128">
                  <c:v>18478.497974222933</c:v>
                </c:pt>
                <c:pt idx="129">
                  <c:v>19952.623149688792</c:v>
                </c:pt>
                <c:pt idx="130">
                  <c:v>21544.346900318837</c:v>
                </c:pt>
                <c:pt idx="131">
                  <c:v>23263.050671536268</c:v>
                </c:pt>
                <c:pt idx="132">
                  <c:v>25118.86431509586</c:v>
                </c:pt>
                <c:pt idx="133">
                  <c:v>27122.725793320307</c:v>
                </c:pt>
                <c:pt idx="134">
                  <c:v>29286.445646252399</c:v>
                </c:pt>
                <c:pt idx="135">
                  <c:v>31622.77660168384</c:v>
                </c:pt>
                <c:pt idx="136">
                  <c:v>34145.488738336011</c:v>
                </c:pt>
                <c:pt idx="137">
                  <c:v>36869.450645195764</c:v>
                </c:pt>
                <c:pt idx="138">
                  <c:v>39810.717055349742</c:v>
                </c:pt>
                <c:pt idx="139">
                  <c:v>42986.62347082288</c:v>
                </c:pt>
                <c:pt idx="140">
                  <c:v>46415.888336127835</c:v>
                </c:pt>
                <c:pt idx="141">
                  <c:v>50118.723362727294</c:v>
                </c:pt>
                <c:pt idx="142">
                  <c:v>54116.952654646455</c:v>
                </c:pt>
                <c:pt idx="143">
                  <c:v>58434.141337351764</c:v>
                </c:pt>
                <c:pt idx="144">
                  <c:v>63095.734448019342</c:v>
                </c:pt>
                <c:pt idx="145">
                  <c:v>68129.206905796163</c:v>
                </c:pt>
                <c:pt idx="146">
                  <c:v>73564.225445964199</c:v>
                </c:pt>
                <c:pt idx="147">
                  <c:v>79432.823472428237</c:v>
                </c:pt>
                <c:pt idx="148">
                  <c:v>85769.589859089538</c:v>
                </c:pt>
                <c:pt idx="149">
                  <c:v>92611.872812879505</c:v>
                </c:pt>
                <c:pt idx="150">
                  <c:v>100000</c:v>
                </c:pt>
                <c:pt idx="151">
                  <c:v>107977.51623277101</c:v>
                </c:pt>
                <c:pt idx="152">
                  <c:v>116591.44011798326</c:v>
                </c:pt>
                <c:pt idx="153">
                  <c:v>125892.54117941685</c:v>
                </c:pt>
                <c:pt idx="154">
                  <c:v>135935.63908785273</c:v>
                </c:pt>
                <c:pt idx="155">
                  <c:v>146779.92676220718</c:v>
                </c:pt>
                <c:pt idx="156">
                  <c:v>158489.31924611164</c:v>
                </c:pt>
                <c:pt idx="157">
                  <c:v>171132.83041617845</c:v>
                </c:pt>
                <c:pt idx="158">
                  <c:v>184784.97974222922</c:v>
                </c:pt>
                <c:pt idx="159">
                  <c:v>199526.23149688813</c:v>
                </c:pt>
                <c:pt idx="160">
                  <c:v>215443.46900318863</c:v>
                </c:pt>
                <c:pt idx="161">
                  <c:v>232630.50671536254</c:v>
                </c:pt>
                <c:pt idx="162">
                  <c:v>251188.64315095844</c:v>
                </c:pt>
                <c:pt idx="163">
                  <c:v>271227.25793320336</c:v>
                </c:pt>
                <c:pt idx="164">
                  <c:v>292864.45646252431</c:v>
                </c:pt>
                <c:pt idx="165">
                  <c:v>316227.7660168382</c:v>
                </c:pt>
                <c:pt idx="166">
                  <c:v>341454.88738336053</c:v>
                </c:pt>
                <c:pt idx="167">
                  <c:v>368694.50645195803</c:v>
                </c:pt>
                <c:pt idx="168">
                  <c:v>398107.17055349716</c:v>
                </c:pt>
                <c:pt idx="169">
                  <c:v>429866.2347082285</c:v>
                </c:pt>
                <c:pt idx="170">
                  <c:v>464158.88336127886</c:v>
                </c:pt>
                <c:pt idx="171">
                  <c:v>501187.23362727347</c:v>
                </c:pt>
                <c:pt idx="172">
                  <c:v>541169.52654646419</c:v>
                </c:pt>
                <c:pt idx="173">
                  <c:v>584341.41337351827</c:v>
                </c:pt>
                <c:pt idx="174">
                  <c:v>630957.34448019415</c:v>
                </c:pt>
                <c:pt idx="175">
                  <c:v>681292.06905796123</c:v>
                </c:pt>
                <c:pt idx="176">
                  <c:v>735642.25445964152</c:v>
                </c:pt>
                <c:pt idx="177">
                  <c:v>794328.23472428333</c:v>
                </c:pt>
                <c:pt idx="178">
                  <c:v>857695.89859089628</c:v>
                </c:pt>
                <c:pt idx="179">
                  <c:v>926118.72812879446</c:v>
                </c:pt>
                <c:pt idx="180">
                  <c:v>1000000</c:v>
                </c:pt>
                <c:pt idx="181">
                  <c:v>1079775.1623277115</c:v>
                </c:pt>
                <c:pt idx="182">
                  <c:v>1165914.4011798317</c:v>
                </c:pt>
                <c:pt idx="183">
                  <c:v>1258925.4117941677</c:v>
                </c:pt>
                <c:pt idx="184">
                  <c:v>1359356.3908785288</c:v>
                </c:pt>
                <c:pt idx="185">
                  <c:v>1467799.2676220734</c:v>
                </c:pt>
                <c:pt idx="186">
                  <c:v>1584893.1924611153</c:v>
                </c:pt>
                <c:pt idx="187">
                  <c:v>1711328.3041617833</c:v>
                </c:pt>
                <c:pt idx="188">
                  <c:v>1847849.797422294</c:v>
                </c:pt>
                <c:pt idx="189">
                  <c:v>1995262.31496888</c:v>
                </c:pt>
                <c:pt idx="190">
                  <c:v>2154434.6900318847</c:v>
                </c:pt>
                <c:pt idx="191">
                  <c:v>2326305.067153628</c:v>
                </c:pt>
                <c:pt idx="192">
                  <c:v>2511886.431509587</c:v>
                </c:pt>
                <c:pt idx="193">
                  <c:v>2712272.5793320318</c:v>
                </c:pt>
                <c:pt idx="194">
                  <c:v>2928644.5646252413</c:v>
                </c:pt>
                <c:pt idx="195">
                  <c:v>3162277.6601683851</c:v>
                </c:pt>
                <c:pt idx="196">
                  <c:v>3414548.8738336028</c:v>
                </c:pt>
                <c:pt idx="197">
                  <c:v>3686945.0645195777</c:v>
                </c:pt>
                <c:pt idx="198">
                  <c:v>3981071.705534976</c:v>
                </c:pt>
                <c:pt idx="199">
                  <c:v>4298662.3470822899</c:v>
                </c:pt>
                <c:pt idx="200">
                  <c:v>4641588.8336127857</c:v>
                </c:pt>
                <c:pt idx="201">
                  <c:v>5011872.3362727314</c:v>
                </c:pt>
                <c:pt idx="202">
                  <c:v>5411695.2654646477</c:v>
                </c:pt>
                <c:pt idx="203">
                  <c:v>5843414.133735179</c:v>
                </c:pt>
                <c:pt idx="204">
                  <c:v>6309573.4448019378</c:v>
                </c:pt>
                <c:pt idx="205">
                  <c:v>6812920.6905796202</c:v>
                </c:pt>
                <c:pt idx="206">
                  <c:v>7356422.5445964225</c:v>
                </c:pt>
                <c:pt idx="207">
                  <c:v>7943282.3472428275</c:v>
                </c:pt>
                <c:pt idx="208">
                  <c:v>8576958.9859089572</c:v>
                </c:pt>
                <c:pt idx="209">
                  <c:v>9261187.2812879551</c:v>
                </c:pt>
                <c:pt idx="210">
                  <c:v>10000000</c:v>
                </c:pt>
              </c:numCache>
            </c:numRef>
          </c:xVal>
          <c:yVal>
            <c:numRef>
              <c:f>'Small Signal'!$N$2:$N$212</c:f>
              <c:numCache>
                <c:formatCode>General</c:formatCode>
                <c:ptCount val="21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numCache>
            </c:numRef>
          </c:yVal>
          <c:smooth val="1"/>
          <c:extLst xmlns:c16r2="http://schemas.microsoft.com/office/drawing/2015/06/chart">
            <c:ext xmlns:c16="http://schemas.microsoft.com/office/drawing/2014/chart" uri="{C3380CC4-5D6E-409C-BE32-E72D297353CC}">
              <c16:uniqueId val="{00000001-026D-4A13-8F5F-FC28F04B1015}"/>
            </c:ext>
          </c:extLst>
        </c:ser>
        <c:ser>
          <c:idx val="0"/>
          <c:order val="4"/>
          <c:tx>
            <c:v>Compensation Gain</c:v>
          </c:tx>
          <c:spPr>
            <a:ln w="25400">
              <a:solidFill>
                <a:srgbClr val="FF0000"/>
              </a:solidFill>
              <a:prstDash val="solid"/>
            </a:ln>
          </c:spPr>
          <c:marker>
            <c:symbol val="none"/>
          </c:marker>
          <c:xVal>
            <c:numRef>
              <c:f>'Small Signal'!$L$2:$L$212</c:f>
              <c:numCache>
                <c:formatCode>General</c:formatCode>
                <c:ptCount val="211"/>
                <c:pt idx="0">
                  <c:v>1</c:v>
                </c:pt>
                <c:pt idx="1">
                  <c:v>1.0797751623277096</c:v>
                </c:pt>
                <c:pt idx="2">
                  <c:v>1.1659144011798317</c:v>
                </c:pt>
                <c:pt idx="3">
                  <c:v>1.2589254117941673</c:v>
                </c:pt>
                <c:pt idx="4">
                  <c:v>1.3593563908785258</c:v>
                </c:pt>
                <c:pt idx="5">
                  <c:v>1.4677992676220697</c:v>
                </c:pt>
                <c:pt idx="6">
                  <c:v>1.5848931924611136</c:v>
                </c:pt>
                <c:pt idx="7">
                  <c:v>1.7113283041617808</c:v>
                </c:pt>
                <c:pt idx="8">
                  <c:v>1.8478497974222912</c:v>
                </c:pt>
                <c:pt idx="9">
                  <c:v>1.9952623149688797</c:v>
                </c:pt>
                <c:pt idx="10">
                  <c:v>2.1544346900318838</c:v>
                </c:pt>
                <c:pt idx="11">
                  <c:v>2.3263050671536263</c:v>
                </c:pt>
                <c:pt idx="12">
                  <c:v>2.5118864315095806</c:v>
                </c:pt>
                <c:pt idx="13">
                  <c:v>2.7122725793320286</c:v>
                </c:pt>
                <c:pt idx="14">
                  <c:v>2.9286445646252366</c:v>
                </c:pt>
                <c:pt idx="15">
                  <c:v>3.1622776601683795</c:v>
                </c:pt>
                <c:pt idx="16">
                  <c:v>3.4145488738336023</c:v>
                </c:pt>
                <c:pt idx="17">
                  <c:v>3.6869450645195756</c:v>
                </c:pt>
                <c:pt idx="18">
                  <c:v>3.9810717055349727</c:v>
                </c:pt>
                <c:pt idx="19">
                  <c:v>4.2986623470822769</c:v>
                </c:pt>
                <c:pt idx="20">
                  <c:v>4.6415888336127793</c:v>
                </c:pt>
                <c:pt idx="21">
                  <c:v>5.0118723362727229</c:v>
                </c:pt>
                <c:pt idx="22">
                  <c:v>5.4116952654646369</c:v>
                </c:pt>
                <c:pt idx="23">
                  <c:v>5.8434141337351777</c:v>
                </c:pt>
                <c:pt idx="24">
                  <c:v>6.3095734448019343</c:v>
                </c:pt>
                <c:pt idx="25">
                  <c:v>6.812920690579614</c:v>
                </c:pt>
                <c:pt idx="26">
                  <c:v>7.3564225445964153</c:v>
                </c:pt>
                <c:pt idx="27">
                  <c:v>7.9432823472428176</c:v>
                </c:pt>
                <c:pt idx="28">
                  <c:v>8.5769589859089415</c:v>
                </c:pt>
                <c:pt idx="29">
                  <c:v>9.2611872812879383</c:v>
                </c:pt>
                <c:pt idx="30">
                  <c:v>10</c:v>
                </c:pt>
                <c:pt idx="31">
                  <c:v>10.797751623277103</c:v>
                </c:pt>
                <c:pt idx="32">
                  <c:v>11.659144011798322</c:v>
                </c:pt>
                <c:pt idx="33">
                  <c:v>12.58925411794168</c:v>
                </c:pt>
                <c:pt idx="34">
                  <c:v>13.593563908785256</c:v>
                </c:pt>
                <c:pt idx="35">
                  <c:v>14.677992676220699</c:v>
                </c:pt>
                <c:pt idx="36">
                  <c:v>15.848931924611136</c:v>
                </c:pt>
                <c:pt idx="37">
                  <c:v>17.113283041617812</c:v>
                </c:pt>
                <c:pt idx="38">
                  <c:v>18.478497974222911</c:v>
                </c:pt>
                <c:pt idx="39">
                  <c:v>19.952623149688804</c:v>
                </c:pt>
                <c:pt idx="40">
                  <c:v>21.544346900318843</c:v>
                </c:pt>
                <c:pt idx="41">
                  <c:v>23.263050671536273</c:v>
                </c:pt>
                <c:pt idx="42">
                  <c:v>25.118864315095799</c:v>
                </c:pt>
                <c:pt idx="43">
                  <c:v>27.122725793320289</c:v>
                </c:pt>
                <c:pt idx="44">
                  <c:v>29.286445646252368</c:v>
                </c:pt>
                <c:pt idx="45">
                  <c:v>31.622776601683803</c:v>
                </c:pt>
                <c:pt idx="46">
                  <c:v>34.145488738336034</c:v>
                </c:pt>
                <c:pt idx="47">
                  <c:v>36.869450645195769</c:v>
                </c:pt>
                <c:pt idx="48">
                  <c:v>39.810717055349755</c:v>
                </c:pt>
                <c:pt idx="49">
                  <c:v>42.986623470822771</c:v>
                </c:pt>
                <c:pt idx="50">
                  <c:v>46.415888336127807</c:v>
                </c:pt>
                <c:pt idx="51">
                  <c:v>50.118723362727238</c:v>
                </c:pt>
                <c:pt idx="52">
                  <c:v>54.11695265464639</c:v>
                </c:pt>
                <c:pt idx="53">
                  <c:v>58.434141337351775</c:v>
                </c:pt>
                <c:pt idx="54">
                  <c:v>63.095734448019364</c:v>
                </c:pt>
                <c:pt idx="55">
                  <c:v>68.129206905796124</c:v>
                </c:pt>
                <c:pt idx="56">
                  <c:v>73.564225445964155</c:v>
                </c:pt>
                <c:pt idx="57">
                  <c:v>79.432823472428197</c:v>
                </c:pt>
                <c:pt idx="58">
                  <c:v>85.769589859089479</c:v>
                </c:pt>
                <c:pt idx="59">
                  <c:v>92.611872812879369</c:v>
                </c:pt>
                <c:pt idx="60">
                  <c:v>100</c:v>
                </c:pt>
                <c:pt idx="61">
                  <c:v>107.97751623277095</c:v>
                </c:pt>
                <c:pt idx="62">
                  <c:v>116.59144011798328</c:v>
                </c:pt>
                <c:pt idx="63">
                  <c:v>125.89254117941677</c:v>
                </c:pt>
                <c:pt idx="64">
                  <c:v>135.93563908785265</c:v>
                </c:pt>
                <c:pt idx="65">
                  <c:v>146.77992676220697</c:v>
                </c:pt>
                <c:pt idx="66">
                  <c:v>158.48931924611153</c:v>
                </c:pt>
                <c:pt idx="67">
                  <c:v>171.13283041617817</c:v>
                </c:pt>
                <c:pt idx="68">
                  <c:v>184.7849797422291</c:v>
                </c:pt>
                <c:pt idx="69">
                  <c:v>199.52623149688802</c:v>
                </c:pt>
                <c:pt idx="70">
                  <c:v>215.44346900318848</c:v>
                </c:pt>
                <c:pt idx="71">
                  <c:v>232.6305067153628</c:v>
                </c:pt>
                <c:pt idx="72">
                  <c:v>251.18864315095806</c:v>
                </c:pt>
                <c:pt idx="73">
                  <c:v>271.22725793320296</c:v>
                </c:pt>
                <c:pt idx="74">
                  <c:v>292.86445646252383</c:v>
                </c:pt>
                <c:pt idx="75">
                  <c:v>316.22776601683825</c:v>
                </c:pt>
                <c:pt idx="76">
                  <c:v>341.4548873833603</c:v>
                </c:pt>
                <c:pt idx="77">
                  <c:v>368.69450645195781</c:v>
                </c:pt>
                <c:pt idx="78">
                  <c:v>398.10717055349761</c:v>
                </c:pt>
                <c:pt idx="79">
                  <c:v>429.86623470822781</c:v>
                </c:pt>
                <c:pt idx="80">
                  <c:v>464.15888336127819</c:v>
                </c:pt>
                <c:pt idx="81">
                  <c:v>501.18723362727269</c:v>
                </c:pt>
                <c:pt idx="82">
                  <c:v>541.16952654646434</c:v>
                </c:pt>
                <c:pt idx="83">
                  <c:v>584.34141337351787</c:v>
                </c:pt>
                <c:pt idx="84">
                  <c:v>630.95734448019323</c:v>
                </c:pt>
                <c:pt idx="85">
                  <c:v>681.29206905796195</c:v>
                </c:pt>
                <c:pt idx="86">
                  <c:v>735.64225445964166</c:v>
                </c:pt>
                <c:pt idx="87">
                  <c:v>794.32823472428208</c:v>
                </c:pt>
                <c:pt idx="88">
                  <c:v>857.69589859089422</c:v>
                </c:pt>
                <c:pt idx="89">
                  <c:v>926.11872812879471</c:v>
                </c:pt>
                <c:pt idx="90">
                  <c:v>1000</c:v>
                </c:pt>
                <c:pt idx="91">
                  <c:v>1079.7751623277097</c:v>
                </c:pt>
                <c:pt idx="92">
                  <c:v>1165.914401179833</c:v>
                </c:pt>
                <c:pt idx="93">
                  <c:v>1258.925411794168</c:v>
                </c:pt>
                <c:pt idx="94">
                  <c:v>1359.3563908785268</c:v>
                </c:pt>
                <c:pt idx="95">
                  <c:v>1467.7992676220699</c:v>
                </c:pt>
                <c:pt idx="96">
                  <c:v>1584.8931924611156</c:v>
                </c:pt>
                <c:pt idx="97">
                  <c:v>1711.3283041617822</c:v>
                </c:pt>
                <c:pt idx="98">
                  <c:v>1847.8497974222912</c:v>
                </c:pt>
                <c:pt idx="99">
                  <c:v>1995.2623149688804</c:v>
                </c:pt>
                <c:pt idx="100">
                  <c:v>2154.4346900318851</c:v>
                </c:pt>
                <c:pt idx="101">
                  <c:v>2326.3050671536284</c:v>
                </c:pt>
                <c:pt idx="102">
                  <c:v>2511.8864315095811</c:v>
                </c:pt>
                <c:pt idx="103">
                  <c:v>2712.2725793320301</c:v>
                </c:pt>
                <c:pt idx="104">
                  <c:v>2928.6445646252391</c:v>
                </c:pt>
                <c:pt idx="105">
                  <c:v>3162.2776601683804</c:v>
                </c:pt>
                <c:pt idx="106">
                  <c:v>3414.5488738336035</c:v>
                </c:pt>
                <c:pt idx="107">
                  <c:v>3686.9450645195784</c:v>
                </c:pt>
                <c:pt idx="108">
                  <c:v>3981.0717055349769</c:v>
                </c:pt>
                <c:pt idx="109">
                  <c:v>4298.6623470822833</c:v>
                </c:pt>
                <c:pt idx="110">
                  <c:v>4641.5888336127782</c:v>
                </c:pt>
                <c:pt idx="111">
                  <c:v>5011.8723362727324</c:v>
                </c:pt>
                <c:pt idx="112">
                  <c:v>5411.6952654646393</c:v>
                </c:pt>
                <c:pt idx="113">
                  <c:v>5843.4141337351803</c:v>
                </c:pt>
                <c:pt idx="114">
                  <c:v>6309.5734448019384</c:v>
                </c:pt>
                <c:pt idx="115">
                  <c:v>6812.9206905796218</c:v>
                </c:pt>
                <c:pt idx="116">
                  <c:v>7356.4225445964248</c:v>
                </c:pt>
                <c:pt idx="117">
                  <c:v>7943.2823472428154</c:v>
                </c:pt>
                <c:pt idx="118">
                  <c:v>8576.9589859089447</c:v>
                </c:pt>
                <c:pt idx="119">
                  <c:v>9261.187281287941</c:v>
                </c:pt>
                <c:pt idx="120">
                  <c:v>10000</c:v>
                </c:pt>
                <c:pt idx="121">
                  <c:v>10797.751623277109</c:v>
                </c:pt>
                <c:pt idx="122">
                  <c:v>11659.144011798313</c:v>
                </c:pt>
                <c:pt idx="123">
                  <c:v>12589.254117941671</c:v>
                </c:pt>
                <c:pt idx="124">
                  <c:v>13593.563908785283</c:v>
                </c:pt>
                <c:pt idx="125">
                  <c:v>14677.992676220729</c:v>
                </c:pt>
                <c:pt idx="126">
                  <c:v>15848.931924611146</c:v>
                </c:pt>
                <c:pt idx="127">
                  <c:v>17113.283041617826</c:v>
                </c:pt>
                <c:pt idx="128">
                  <c:v>18478.497974222933</c:v>
                </c:pt>
                <c:pt idx="129">
                  <c:v>19952.623149688792</c:v>
                </c:pt>
                <c:pt idx="130">
                  <c:v>21544.346900318837</c:v>
                </c:pt>
                <c:pt idx="131">
                  <c:v>23263.050671536268</c:v>
                </c:pt>
                <c:pt idx="132">
                  <c:v>25118.86431509586</c:v>
                </c:pt>
                <c:pt idx="133">
                  <c:v>27122.725793320307</c:v>
                </c:pt>
                <c:pt idx="134">
                  <c:v>29286.445646252399</c:v>
                </c:pt>
                <c:pt idx="135">
                  <c:v>31622.77660168384</c:v>
                </c:pt>
                <c:pt idx="136">
                  <c:v>34145.488738336011</c:v>
                </c:pt>
                <c:pt idx="137">
                  <c:v>36869.450645195764</c:v>
                </c:pt>
                <c:pt idx="138">
                  <c:v>39810.717055349742</c:v>
                </c:pt>
                <c:pt idx="139">
                  <c:v>42986.62347082288</c:v>
                </c:pt>
                <c:pt idx="140">
                  <c:v>46415.888336127835</c:v>
                </c:pt>
                <c:pt idx="141">
                  <c:v>50118.723362727294</c:v>
                </c:pt>
                <c:pt idx="142">
                  <c:v>54116.952654646455</c:v>
                </c:pt>
                <c:pt idx="143">
                  <c:v>58434.141337351764</c:v>
                </c:pt>
                <c:pt idx="144">
                  <c:v>63095.734448019342</c:v>
                </c:pt>
                <c:pt idx="145">
                  <c:v>68129.206905796163</c:v>
                </c:pt>
                <c:pt idx="146">
                  <c:v>73564.225445964199</c:v>
                </c:pt>
                <c:pt idx="147">
                  <c:v>79432.823472428237</c:v>
                </c:pt>
                <c:pt idx="148">
                  <c:v>85769.589859089538</c:v>
                </c:pt>
                <c:pt idx="149">
                  <c:v>92611.872812879505</c:v>
                </c:pt>
                <c:pt idx="150">
                  <c:v>100000</c:v>
                </c:pt>
                <c:pt idx="151">
                  <c:v>107977.51623277101</c:v>
                </c:pt>
                <c:pt idx="152">
                  <c:v>116591.44011798326</c:v>
                </c:pt>
                <c:pt idx="153">
                  <c:v>125892.54117941685</c:v>
                </c:pt>
                <c:pt idx="154">
                  <c:v>135935.63908785273</c:v>
                </c:pt>
                <c:pt idx="155">
                  <c:v>146779.92676220718</c:v>
                </c:pt>
                <c:pt idx="156">
                  <c:v>158489.31924611164</c:v>
                </c:pt>
                <c:pt idx="157">
                  <c:v>171132.83041617845</c:v>
                </c:pt>
                <c:pt idx="158">
                  <c:v>184784.97974222922</c:v>
                </c:pt>
                <c:pt idx="159">
                  <c:v>199526.23149688813</c:v>
                </c:pt>
                <c:pt idx="160">
                  <c:v>215443.46900318863</c:v>
                </c:pt>
                <c:pt idx="161">
                  <c:v>232630.50671536254</c:v>
                </c:pt>
                <c:pt idx="162">
                  <c:v>251188.64315095844</c:v>
                </c:pt>
                <c:pt idx="163">
                  <c:v>271227.25793320336</c:v>
                </c:pt>
                <c:pt idx="164">
                  <c:v>292864.45646252431</c:v>
                </c:pt>
                <c:pt idx="165">
                  <c:v>316227.7660168382</c:v>
                </c:pt>
                <c:pt idx="166">
                  <c:v>341454.88738336053</c:v>
                </c:pt>
                <c:pt idx="167">
                  <c:v>368694.50645195803</c:v>
                </c:pt>
                <c:pt idx="168">
                  <c:v>398107.17055349716</c:v>
                </c:pt>
                <c:pt idx="169">
                  <c:v>429866.2347082285</c:v>
                </c:pt>
                <c:pt idx="170">
                  <c:v>464158.88336127886</c:v>
                </c:pt>
                <c:pt idx="171">
                  <c:v>501187.23362727347</c:v>
                </c:pt>
                <c:pt idx="172">
                  <c:v>541169.52654646419</c:v>
                </c:pt>
                <c:pt idx="173">
                  <c:v>584341.41337351827</c:v>
                </c:pt>
                <c:pt idx="174">
                  <c:v>630957.34448019415</c:v>
                </c:pt>
                <c:pt idx="175">
                  <c:v>681292.06905796123</c:v>
                </c:pt>
                <c:pt idx="176">
                  <c:v>735642.25445964152</c:v>
                </c:pt>
                <c:pt idx="177">
                  <c:v>794328.23472428333</c:v>
                </c:pt>
                <c:pt idx="178">
                  <c:v>857695.89859089628</c:v>
                </c:pt>
                <c:pt idx="179">
                  <c:v>926118.72812879446</c:v>
                </c:pt>
                <c:pt idx="180">
                  <c:v>1000000</c:v>
                </c:pt>
                <c:pt idx="181">
                  <c:v>1079775.1623277115</c:v>
                </c:pt>
                <c:pt idx="182">
                  <c:v>1165914.4011798317</c:v>
                </c:pt>
                <c:pt idx="183">
                  <c:v>1258925.4117941677</c:v>
                </c:pt>
                <c:pt idx="184">
                  <c:v>1359356.3908785288</c:v>
                </c:pt>
                <c:pt idx="185">
                  <c:v>1467799.2676220734</c:v>
                </c:pt>
                <c:pt idx="186">
                  <c:v>1584893.1924611153</c:v>
                </c:pt>
                <c:pt idx="187">
                  <c:v>1711328.3041617833</c:v>
                </c:pt>
                <c:pt idx="188">
                  <c:v>1847849.797422294</c:v>
                </c:pt>
                <c:pt idx="189">
                  <c:v>1995262.31496888</c:v>
                </c:pt>
                <c:pt idx="190">
                  <c:v>2154434.6900318847</c:v>
                </c:pt>
                <c:pt idx="191">
                  <c:v>2326305.067153628</c:v>
                </c:pt>
                <c:pt idx="192">
                  <c:v>2511886.431509587</c:v>
                </c:pt>
                <c:pt idx="193">
                  <c:v>2712272.5793320318</c:v>
                </c:pt>
                <c:pt idx="194">
                  <c:v>2928644.5646252413</c:v>
                </c:pt>
                <c:pt idx="195">
                  <c:v>3162277.6601683851</c:v>
                </c:pt>
                <c:pt idx="196">
                  <c:v>3414548.8738336028</c:v>
                </c:pt>
                <c:pt idx="197">
                  <c:v>3686945.0645195777</c:v>
                </c:pt>
                <c:pt idx="198">
                  <c:v>3981071.705534976</c:v>
                </c:pt>
                <c:pt idx="199">
                  <c:v>4298662.3470822899</c:v>
                </c:pt>
                <c:pt idx="200">
                  <c:v>4641588.8336127857</c:v>
                </c:pt>
                <c:pt idx="201">
                  <c:v>5011872.3362727314</c:v>
                </c:pt>
                <c:pt idx="202">
                  <c:v>5411695.2654646477</c:v>
                </c:pt>
                <c:pt idx="203">
                  <c:v>5843414.133735179</c:v>
                </c:pt>
                <c:pt idx="204">
                  <c:v>6309573.4448019378</c:v>
                </c:pt>
                <c:pt idx="205">
                  <c:v>6812920.6905796202</c:v>
                </c:pt>
                <c:pt idx="206">
                  <c:v>7356422.5445964225</c:v>
                </c:pt>
                <c:pt idx="207">
                  <c:v>7943282.3472428275</c:v>
                </c:pt>
                <c:pt idx="208">
                  <c:v>8576958.9859089572</c:v>
                </c:pt>
                <c:pt idx="209">
                  <c:v>9261187.2812879551</c:v>
                </c:pt>
                <c:pt idx="210">
                  <c:v>10000000</c:v>
                </c:pt>
              </c:numCache>
            </c:numRef>
          </c:xVal>
          <c:yVal>
            <c:numRef>
              <c:f>'Small Signal'!$X$2:$X$212</c:f>
              <c:numCache>
                <c:formatCode>General</c:formatCode>
                <c:ptCount val="21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numCache>
            </c:numRef>
          </c:yVal>
          <c:smooth val="1"/>
          <c:extLst xmlns:c16r2="http://schemas.microsoft.com/office/drawing/2015/06/chart">
            <c:ext xmlns:c16="http://schemas.microsoft.com/office/drawing/2014/chart" uri="{C3380CC4-5D6E-409C-BE32-E72D297353CC}">
              <c16:uniqueId val="{00000002-026D-4A13-8F5F-FC28F04B1015}"/>
            </c:ext>
          </c:extLst>
        </c:ser>
        <c:dLbls>
          <c:showLegendKey val="0"/>
          <c:showVal val="0"/>
          <c:showCatName val="0"/>
          <c:showSerName val="0"/>
          <c:showPercent val="0"/>
          <c:showBubbleSize val="0"/>
        </c:dLbls>
        <c:axId val="491298816"/>
        <c:axId val="494080000"/>
      </c:scatterChart>
      <c:scatterChart>
        <c:scatterStyle val="smoothMarker"/>
        <c:varyColors val="0"/>
        <c:ser>
          <c:idx val="5"/>
          <c:order val="1"/>
          <c:tx>
            <c:v>Overall Phase</c:v>
          </c:tx>
          <c:spPr>
            <a:ln w="38100">
              <a:solidFill>
                <a:srgbClr val="000000"/>
              </a:solidFill>
              <a:prstDash val="sysDash"/>
            </a:ln>
          </c:spPr>
          <c:marker>
            <c:symbol val="none"/>
          </c:marker>
          <c:xVal>
            <c:numRef>
              <c:f>'Small Signal'!$L$2:$L$212</c:f>
              <c:numCache>
                <c:formatCode>General</c:formatCode>
                <c:ptCount val="211"/>
                <c:pt idx="0">
                  <c:v>1</c:v>
                </c:pt>
                <c:pt idx="1">
                  <c:v>1.0797751623277096</c:v>
                </c:pt>
                <c:pt idx="2">
                  <c:v>1.1659144011798317</c:v>
                </c:pt>
                <c:pt idx="3">
                  <c:v>1.2589254117941673</c:v>
                </c:pt>
                <c:pt idx="4">
                  <c:v>1.3593563908785258</c:v>
                </c:pt>
                <c:pt idx="5">
                  <c:v>1.4677992676220697</c:v>
                </c:pt>
                <c:pt idx="6">
                  <c:v>1.5848931924611136</c:v>
                </c:pt>
                <c:pt idx="7">
                  <c:v>1.7113283041617808</c:v>
                </c:pt>
                <c:pt idx="8">
                  <c:v>1.8478497974222912</c:v>
                </c:pt>
                <c:pt idx="9">
                  <c:v>1.9952623149688797</c:v>
                </c:pt>
                <c:pt idx="10">
                  <c:v>2.1544346900318838</c:v>
                </c:pt>
                <c:pt idx="11">
                  <c:v>2.3263050671536263</c:v>
                </c:pt>
                <c:pt idx="12">
                  <c:v>2.5118864315095806</c:v>
                </c:pt>
                <c:pt idx="13">
                  <c:v>2.7122725793320286</c:v>
                </c:pt>
                <c:pt idx="14">
                  <c:v>2.9286445646252366</c:v>
                </c:pt>
                <c:pt idx="15">
                  <c:v>3.1622776601683795</c:v>
                </c:pt>
                <c:pt idx="16">
                  <c:v>3.4145488738336023</c:v>
                </c:pt>
                <c:pt idx="17">
                  <c:v>3.6869450645195756</c:v>
                </c:pt>
                <c:pt idx="18">
                  <c:v>3.9810717055349727</c:v>
                </c:pt>
                <c:pt idx="19">
                  <c:v>4.2986623470822769</c:v>
                </c:pt>
                <c:pt idx="20">
                  <c:v>4.6415888336127793</c:v>
                </c:pt>
                <c:pt idx="21">
                  <c:v>5.0118723362727229</c:v>
                </c:pt>
                <c:pt idx="22">
                  <c:v>5.4116952654646369</c:v>
                </c:pt>
                <c:pt idx="23">
                  <c:v>5.8434141337351777</c:v>
                </c:pt>
                <c:pt idx="24">
                  <c:v>6.3095734448019343</c:v>
                </c:pt>
                <c:pt idx="25">
                  <c:v>6.812920690579614</c:v>
                </c:pt>
                <c:pt idx="26">
                  <c:v>7.3564225445964153</c:v>
                </c:pt>
                <c:pt idx="27">
                  <c:v>7.9432823472428176</c:v>
                </c:pt>
                <c:pt idx="28">
                  <c:v>8.5769589859089415</c:v>
                </c:pt>
                <c:pt idx="29">
                  <c:v>9.2611872812879383</c:v>
                </c:pt>
                <c:pt idx="30">
                  <c:v>10</c:v>
                </c:pt>
                <c:pt idx="31">
                  <c:v>10.797751623277103</c:v>
                </c:pt>
                <c:pt idx="32">
                  <c:v>11.659144011798322</c:v>
                </c:pt>
                <c:pt idx="33">
                  <c:v>12.58925411794168</c:v>
                </c:pt>
                <c:pt idx="34">
                  <c:v>13.593563908785256</c:v>
                </c:pt>
                <c:pt idx="35">
                  <c:v>14.677992676220699</c:v>
                </c:pt>
                <c:pt idx="36">
                  <c:v>15.848931924611136</c:v>
                </c:pt>
                <c:pt idx="37">
                  <c:v>17.113283041617812</c:v>
                </c:pt>
                <c:pt idx="38">
                  <c:v>18.478497974222911</c:v>
                </c:pt>
                <c:pt idx="39">
                  <c:v>19.952623149688804</c:v>
                </c:pt>
                <c:pt idx="40">
                  <c:v>21.544346900318843</c:v>
                </c:pt>
                <c:pt idx="41">
                  <c:v>23.263050671536273</c:v>
                </c:pt>
                <c:pt idx="42">
                  <c:v>25.118864315095799</c:v>
                </c:pt>
                <c:pt idx="43">
                  <c:v>27.122725793320289</c:v>
                </c:pt>
                <c:pt idx="44">
                  <c:v>29.286445646252368</c:v>
                </c:pt>
                <c:pt idx="45">
                  <c:v>31.622776601683803</c:v>
                </c:pt>
                <c:pt idx="46">
                  <c:v>34.145488738336034</c:v>
                </c:pt>
                <c:pt idx="47">
                  <c:v>36.869450645195769</c:v>
                </c:pt>
                <c:pt idx="48">
                  <c:v>39.810717055349755</c:v>
                </c:pt>
                <c:pt idx="49">
                  <c:v>42.986623470822771</c:v>
                </c:pt>
                <c:pt idx="50">
                  <c:v>46.415888336127807</c:v>
                </c:pt>
                <c:pt idx="51">
                  <c:v>50.118723362727238</c:v>
                </c:pt>
                <c:pt idx="52">
                  <c:v>54.11695265464639</c:v>
                </c:pt>
                <c:pt idx="53">
                  <c:v>58.434141337351775</c:v>
                </c:pt>
                <c:pt idx="54">
                  <c:v>63.095734448019364</c:v>
                </c:pt>
                <c:pt idx="55">
                  <c:v>68.129206905796124</c:v>
                </c:pt>
                <c:pt idx="56">
                  <c:v>73.564225445964155</c:v>
                </c:pt>
                <c:pt idx="57">
                  <c:v>79.432823472428197</c:v>
                </c:pt>
                <c:pt idx="58">
                  <c:v>85.769589859089479</c:v>
                </c:pt>
                <c:pt idx="59">
                  <c:v>92.611872812879369</c:v>
                </c:pt>
                <c:pt idx="60">
                  <c:v>100</c:v>
                </c:pt>
                <c:pt idx="61">
                  <c:v>107.97751623277095</c:v>
                </c:pt>
                <c:pt idx="62">
                  <c:v>116.59144011798328</c:v>
                </c:pt>
                <c:pt idx="63">
                  <c:v>125.89254117941677</c:v>
                </c:pt>
                <c:pt idx="64">
                  <c:v>135.93563908785265</c:v>
                </c:pt>
                <c:pt idx="65">
                  <c:v>146.77992676220697</c:v>
                </c:pt>
                <c:pt idx="66">
                  <c:v>158.48931924611153</c:v>
                </c:pt>
                <c:pt idx="67">
                  <c:v>171.13283041617817</c:v>
                </c:pt>
                <c:pt idx="68">
                  <c:v>184.7849797422291</c:v>
                </c:pt>
                <c:pt idx="69">
                  <c:v>199.52623149688802</c:v>
                </c:pt>
                <c:pt idx="70">
                  <c:v>215.44346900318848</c:v>
                </c:pt>
                <c:pt idx="71">
                  <c:v>232.6305067153628</c:v>
                </c:pt>
                <c:pt idx="72">
                  <c:v>251.18864315095806</c:v>
                </c:pt>
                <c:pt idx="73">
                  <c:v>271.22725793320296</c:v>
                </c:pt>
                <c:pt idx="74">
                  <c:v>292.86445646252383</c:v>
                </c:pt>
                <c:pt idx="75">
                  <c:v>316.22776601683825</c:v>
                </c:pt>
                <c:pt idx="76">
                  <c:v>341.4548873833603</c:v>
                </c:pt>
                <c:pt idx="77">
                  <c:v>368.69450645195781</c:v>
                </c:pt>
                <c:pt idx="78">
                  <c:v>398.10717055349761</c:v>
                </c:pt>
                <c:pt idx="79">
                  <c:v>429.86623470822781</c:v>
                </c:pt>
                <c:pt idx="80">
                  <c:v>464.15888336127819</c:v>
                </c:pt>
                <c:pt idx="81">
                  <c:v>501.18723362727269</c:v>
                </c:pt>
                <c:pt idx="82">
                  <c:v>541.16952654646434</c:v>
                </c:pt>
                <c:pt idx="83">
                  <c:v>584.34141337351787</c:v>
                </c:pt>
                <c:pt idx="84">
                  <c:v>630.95734448019323</c:v>
                </c:pt>
                <c:pt idx="85">
                  <c:v>681.29206905796195</c:v>
                </c:pt>
                <c:pt idx="86">
                  <c:v>735.64225445964166</c:v>
                </c:pt>
                <c:pt idx="87">
                  <c:v>794.32823472428208</c:v>
                </c:pt>
                <c:pt idx="88">
                  <c:v>857.69589859089422</c:v>
                </c:pt>
                <c:pt idx="89">
                  <c:v>926.11872812879471</c:v>
                </c:pt>
                <c:pt idx="90">
                  <c:v>1000</c:v>
                </c:pt>
                <c:pt idx="91">
                  <c:v>1079.7751623277097</c:v>
                </c:pt>
                <c:pt idx="92">
                  <c:v>1165.914401179833</c:v>
                </c:pt>
                <c:pt idx="93">
                  <c:v>1258.925411794168</c:v>
                </c:pt>
                <c:pt idx="94">
                  <c:v>1359.3563908785268</c:v>
                </c:pt>
                <c:pt idx="95">
                  <c:v>1467.7992676220699</c:v>
                </c:pt>
                <c:pt idx="96">
                  <c:v>1584.8931924611156</c:v>
                </c:pt>
                <c:pt idx="97">
                  <c:v>1711.3283041617822</c:v>
                </c:pt>
                <c:pt idx="98">
                  <c:v>1847.8497974222912</c:v>
                </c:pt>
                <c:pt idx="99">
                  <c:v>1995.2623149688804</c:v>
                </c:pt>
                <c:pt idx="100">
                  <c:v>2154.4346900318851</c:v>
                </c:pt>
                <c:pt idx="101">
                  <c:v>2326.3050671536284</c:v>
                </c:pt>
                <c:pt idx="102">
                  <c:v>2511.8864315095811</c:v>
                </c:pt>
                <c:pt idx="103">
                  <c:v>2712.2725793320301</c:v>
                </c:pt>
                <c:pt idx="104">
                  <c:v>2928.6445646252391</c:v>
                </c:pt>
                <c:pt idx="105">
                  <c:v>3162.2776601683804</c:v>
                </c:pt>
                <c:pt idx="106">
                  <c:v>3414.5488738336035</c:v>
                </c:pt>
                <c:pt idx="107">
                  <c:v>3686.9450645195784</c:v>
                </c:pt>
                <c:pt idx="108">
                  <c:v>3981.0717055349769</c:v>
                </c:pt>
                <c:pt idx="109">
                  <c:v>4298.6623470822833</c:v>
                </c:pt>
                <c:pt idx="110">
                  <c:v>4641.5888336127782</c:v>
                </c:pt>
                <c:pt idx="111">
                  <c:v>5011.8723362727324</c:v>
                </c:pt>
                <c:pt idx="112">
                  <c:v>5411.6952654646393</c:v>
                </c:pt>
                <c:pt idx="113">
                  <c:v>5843.4141337351803</c:v>
                </c:pt>
                <c:pt idx="114">
                  <c:v>6309.5734448019384</c:v>
                </c:pt>
                <c:pt idx="115">
                  <c:v>6812.9206905796218</c:v>
                </c:pt>
                <c:pt idx="116">
                  <c:v>7356.4225445964248</c:v>
                </c:pt>
                <c:pt idx="117">
                  <c:v>7943.2823472428154</c:v>
                </c:pt>
                <c:pt idx="118">
                  <c:v>8576.9589859089447</c:v>
                </c:pt>
                <c:pt idx="119">
                  <c:v>9261.187281287941</c:v>
                </c:pt>
                <c:pt idx="120">
                  <c:v>10000</c:v>
                </c:pt>
                <c:pt idx="121">
                  <c:v>10797.751623277109</c:v>
                </c:pt>
                <c:pt idx="122">
                  <c:v>11659.144011798313</c:v>
                </c:pt>
                <c:pt idx="123">
                  <c:v>12589.254117941671</c:v>
                </c:pt>
                <c:pt idx="124">
                  <c:v>13593.563908785283</c:v>
                </c:pt>
                <c:pt idx="125">
                  <c:v>14677.992676220729</c:v>
                </c:pt>
                <c:pt idx="126">
                  <c:v>15848.931924611146</c:v>
                </c:pt>
                <c:pt idx="127">
                  <c:v>17113.283041617826</c:v>
                </c:pt>
                <c:pt idx="128">
                  <c:v>18478.497974222933</c:v>
                </c:pt>
                <c:pt idx="129">
                  <c:v>19952.623149688792</c:v>
                </c:pt>
                <c:pt idx="130">
                  <c:v>21544.346900318837</c:v>
                </c:pt>
                <c:pt idx="131">
                  <c:v>23263.050671536268</c:v>
                </c:pt>
                <c:pt idx="132">
                  <c:v>25118.86431509586</c:v>
                </c:pt>
                <c:pt idx="133">
                  <c:v>27122.725793320307</c:v>
                </c:pt>
                <c:pt idx="134">
                  <c:v>29286.445646252399</c:v>
                </c:pt>
                <c:pt idx="135">
                  <c:v>31622.77660168384</c:v>
                </c:pt>
                <c:pt idx="136">
                  <c:v>34145.488738336011</c:v>
                </c:pt>
                <c:pt idx="137">
                  <c:v>36869.450645195764</c:v>
                </c:pt>
                <c:pt idx="138">
                  <c:v>39810.717055349742</c:v>
                </c:pt>
                <c:pt idx="139">
                  <c:v>42986.62347082288</c:v>
                </c:pt>
                <c:pt idx="140">
                  <c:v>46415.888336127835</c:v>
                </c:pt>
                <c:pt idx="141">
                  <c:v>50118.723362727294</c:v>
                </c:pt>
                <c:pt idx="142">
                  <c:v>54116.952654646455</c:v>
                </c:pt>
                <c:pt idx="143">
                  <c:v>58434.141337351764</c:v>
                </c:pt>
                <c:pt idx="144">
                  <c:v>63095.734448019342</c:v>
                </c:pt>
                <c:pt idx="145">
                  <c:v>68129.206905796163</c:v>
                </c:pt>
                <c:pt idx="146">
                  <c:v>73564.225445964199</c:v>
                </c:pt>
                <c:pt idx="147">
                  <c:v>79432.823472428237</c:v>
                </c:pt>
                <c:pt idx="148">
                  <c:v>85769.589859089538</c:v>
                </c:pt>
                <c:pt idx="149">
                  <c:v>92611.872812879505</c:v>
                </c:pt>
                <c:pt idx="150">
                  <c:v>100000</c:v>
                </c:pt>
                <c:pt idx="151">
                  <c:v>107977.51623277101</c:v>
                </c:pt>
                <c:pt idx="152">
                  <c:v>116591.44011798326</c:v>
                </c:pt>
                <c:pt idx="153">
                  <c:v>125892.54117941685</c:v>
                </c:pt>
                <c:pt idx="154">
                  <c:v>135935.63908785273</c:v>
                </c:pt>
                <c:pt idx="155">
                  <c:v>146779.92676220718</c:v>
                </c:pt>
                <c:pt idx="156">
                  <c:v>158489.31924611164</c:v>
                </c:pt>
                <c:pt idx="157">
                  <c:v>171132.83041617845</c:v>
                </c:pt>
                <c:pt idx="158">
                  <c:v>184784.97974222922</c:v>
                </c:pt>
                <c:pt idx="159">
                  <c:v>199526.23149688813</c:v>
                </c:pt>
                <c:pt idx="160">
                  <c:v>215443.46900318863</c:v>
                </c:pt>
                <c:pt idx="161">
                  <c:v>232630.50671536254</c:v>
                </c:pt>
                <c:pt idx="162">
                  <c:v>251188.64315095844</c:v>
                </c:pt>
                <c:pt idx="163">
                  <c:v>271227.25793320336</c:v>
                </c:pt>
                <c:pt idx="164">
                  <c:v>292864.45646252431</c:v>
                </c:pt>
                <c:pt idx="165">
                  <c:v>316227.7660168382</c:v>
                </c:pt>
                <c:pt idx="166">
                  <c:v>341454.88738336053</c:v>
                </c:pt>
                <c:pt idx="167">
                  <c:v>368694.50645195803</c:v>
                </c:pt>
                <c:pt idx="168">
                  <c:v>398107.17055349716</c:v>
                </c:pt>
                <c:pt idx="169">
                  <c:v>429866.2347082285</c:v>
                </c:pt>
                <c:pt idx="170">
                  <c:v>464158.88336127886</c:v>
                </c:pt>
                <c:pt idx="171">
                  <c:v>501187.23362727347</c:v>
                </c:pt>
                <c:pt idx="172">
                  <c:v>541169.52654646419</c:v>
                </c:pt>
                <c:pt idx="173">
                  <c:v>584341.41337351827</c:v>
                </c:pt>
                <c:pt idx="174">
                  <c:v>630957.34448019415</c:v>
                </c:pt>
                <c:pt idx="175">
                  <c:v>681292.06905796123</c:v>
                </c:pt>
                <c:pt idx="176">
                  <c:v>735642.25445964152</c:v>
                </c:pt>
                <c:pt idx="177">
                  <c:v>794328.23472428333</c:v>
                </c:pt>
                <c:pt idx="178">
                  <c:v>857695.89859089628</c:v>
                </c:pt>
                <c:pt idx="179">
                  <c:v>926118.72812879446</c:v>
                </c:pt>
                <c:pt idx="180">
                  <c:v>1000000</c:v>
                </c:pt>
                <c:pt idx="181">
                  <c:v>1079775.1623277115</c:v>
                </c:pt>
                <c:pt idx="182">
                  <c:v>1165914.4011798317</c:v>
                </c:pt>
                <c:pt idx="183">
                  <c:v>1258925.4117941677</c:v>
                </c:pt>
                <c:pt idx="184">
                  <c:v>1359356.3908785288</c:v>
                </c:pt>
                <c:pt idx="185">
                  <c:v>1467799.2676220734</c:v>
                </c:pt>
                <c:pt idx="186">
                  <c:v>1584893.1924611153</c:v>
                </c:pt>
                <c:pt idx="187">
                  <c:v>1711328.3041617833</c:v>
                </c:pt>
                <c:pt idx="188">
                  <c:v>1847849.797422294</c:v>
                </c:pt>
                <c:pt idx="189">
                  <c:v>1995262.31496888</c:v>
                </c:pt>
                <c:pt idx="190">
                  <c:v>2154434.6900318847</c:v>
                </c:pt>
                <c:pt idx="191">
                  <c:v>2326305.067153628</c:v>
                </c:pt>
                <c:pt idx="192">
                  <c:v>2511886.431509587</c:v>
                </c:pt>
                <c:pt idx="193">
                  <c:v>2712272.5793320318</c:v>
                </c:pt>
                <c:pt idx="194">
                  <c:v>2928644.5646252413</c:v>
                </c:pt>
                <c:pt idx="195">
                  <c:v>3162277.6601683851</c:v>
                </c:pt>
                <c:pt idx="196">
                  <c:v>3414548.8738336028</c:v>
                </c:pt>
                <c:pt idx="197">
                  <c:v>3686945.0645195777</c:v>
                </c:pt>
                <c:pt idx="198">
                  <c:v>3981071.705534976</c:v>
                </c:pt>
                <c:pt idx="199">
                  <c:v>4298662.3470822899</c:v>
                </c:pt>
                <c:pt idx="200">
                  <c:v>4641588.8336127857</c:v>
                </c:pt>
                <c:pt idx="201">
                  <c:v>5011872.3362727314</c:v>
                </c:pt>
                <c:pt idx="202">
                  <c:v>5411695.2654646477</c:v>
                </c:pt>
                <c:pt idx="203">
                  <c:v>5843414.133735179</c:v>
                </c:pt>
                <c:pt idx="204">
                  <c:v>6309573.4448019378</c:v>
                </c:pt>
                <c:pt idx="205">
                  <c:v>6812920.6905796202</c:v>
                </c:pt>
                <c:pt idx="206">
                  <c:v>7356422.5445964225</c:v>
                </c:pt>
                <c:pt idx="207">
                  <c:v>7943282.3472428275</c:v>
                </c:pt>
                <c:pt idx="208">
                  <c:v>8576958.9859089572</c:v>
                </c:pt>
                <c:pt idx="209">
                  <c:v>9261187.2812879551</c:v>
                </c:pt>
                <c:pt idx="210">
                  <c:v>10000000</c:v>
                </c:pt>
              </c:numCache>
            </c:numRef>
          </c:xVal>
          <c:yVal>
            <c:numRef>
              <c:f>'Small Signal'!$Q$2:$Q$212</c:f>
              <c:numCache>
                <c:formatCode>General</c:formatCode>
                <c:ptCount val="211"/>
                <c:pt idx="0">
                  <c:v>176.64861200375321</c:v>
                </c:pt>
                <c:pt idx="1">
                  <c:v>176.38193506206588</c:v>
                </c:pt>
                <c:pt idx="2">
                  <c:v>176.0941595147095</c:v>
                </c:pt>
                <c:pt idx="3">
                  <c:v>175.78364738905628</c:v>
                </c:pt>
                <c:pt idx="4">
                  <c:v>175.44864160308998</c:v>
                </c:pt>
                <c:pt idx="5">
                  <c:v>175.08725939366093</c:v>
                </c:pt>
                <c:pt idx="6">
                  <c:v>174.69748595018228</c:v>
                </c:pt>
                <c:pt idx="7">
                  <c:v>174.27716844585152</c:v>
                </c:pt>
                <c:pt idx="8">
                  <c:v>173.82401071332154</c:v>
                </c:pt>
                <c:pt idx="9">
                  <c:v>173.33556887856207</c:v>
                </c:pt>
                <c:pt idx="10">
                  <c:v>172.80924834722754</c:v>
                </c:pt>
                <c:pt idx="11">
                  <c:v>172.24230263388557</c:v>
                </c:pt>
                <c:pt idx="12">
                  <c:v>171.63183463732554</c:v>
                </c:pt>
                <c:pt idx="13">
                  <c:v>170.97480109552174</c:v>
                </c:pt>
                <c:pt idx="14">
                  <c:v>170.26802110111765</c:v>
                </c:pt>
                <c:pt idx="15">
                  <c:v>169.50818971997654</c:v>
                </c:pt>
                <c:pt idx="16">
                  <c:v>168.69189792586207</c:v>
                </c:pt>
                <c:pt idx="17">
                  <c:v>167.8156602338108</c:v>
                </c:pt>
                <c:pt idx="18">
                  <c:v>166.87595156742623</c:v>
                </c:pt>
                <c:pt idx="19">
                  <c:v>165.86925500759571</c:v>
                </c:pt>
                <c:pt idx="20">
                  <c:v>164.79212210883742</c:v>
                </c:pt>
                <c:pt idx="21">
                  <c:v>163.6412473903907</c:v>
                </c:pt>
                <c:pt idx="22">
                  <c:v>162.41355835668091</c:v>
                </c:pt>
                <c:pt idx="23">
                  <c:v>161.10632191063178</c:v>
                </c:pt>
                <c:pt idx="24">
                  <c:v>159.71726722386555</c:v>
                </c:pt>
                <c:pt idx="25">
                  <c:v>158.24472395637784</c:v>
                </c:pt>
                <c:pt idx="26">
                  <c:v>156.68777313371234</c:v>
                </c:pt>
                <c:pt idx="27">
                  <c:v>155.04640599707349</c:v>
                </c:pt>
                <c:pt idx="28">
                  <c:v>153.32168382116723</c:v>
                </c:pt>
                <c:pt idx="29">
                  <c:v>151.515889229679</c:v>
                </c:pt>
                <c:pt idx="30">
                  <c:v>149.63265723661451</c:v>
                </c:pt>
                <c:pt idx="31">
                  <c:v>147.6770725315381</c:v>
                </c:pt>
                <c:pt idx="32">
                  <c:v>145.65571891749437</c:v>
                </c:pt>
                <c:pt idx="33">
                  <c:v>143.57666780575542</c:v>
                </c:pt>
                <c:pt idx="34">
                  <c:v>141.44939563872879</c:v>
                </c:pt>
                <c:pt idx="35">
                  <c:v>139.28462513139442</c:v>
                </c:pt>
                <c:pt idx="36">
                  <c:v>137.09409196002838</c:v>
                </c:pt>
                <c:pt idx="37">
                  <c:v>134.89024619779539</c:v>
                </c:pt>
                <c:pt idx="38">
                  <c:v>132.68590524590982</c:v>
                </c:pt>
                <c:pt idx="39">
                  <c:v>130.49388093913134</c:v>
                </c:pt>
                <c:pt idx="40">
                  <c:v>128.32660678715112</c:v>
                </c:pt>
                <c:pt idx="41">
                  <c:v>126.19579129328929</c:v>
                </c:pt>
                <c:pt idx="42">
                  <c:v>124.11211997301223</c:v>
                </c:pt>
                <c:pt idx="43">
                  <c:v>122.08502273950795</c:v>
                </c:pt>
                <c:pt idx="44">
                  <c:v>120.12251586417052</c:v>
                </c:pt>
                <c:pt idx="45">
                  <c:v>118.2311200535995</c:v>
                </c:pt>
                <c:pt idx="46">
                  <c:v>116.41584946259879</c:v>
                </c:pt>
                <c:pt idx="47">
                  <c:v>114.68026146644786</c:v>
                </c:pt>
                <c:pt idx="48">
                  <c:v>113.02655407262314</c:v>
                </c:pt>
                <c:pt idx="49">
                  <c:v>111.45569687795764</c:v>
                </c:pt>
                <c:pt idx="50">
                  <c:v>109.96758210229362</c:v>
                </c:pt>
                <c:pt idx="51">
                  <c:v>108.5611839495304</c:v>
                </c:pt>
                <c:pt idx="52">
                  <c:v>107.2347168527601</c:v>
                </c:pt>
                <c:pt idx="53">
                  <c:v>105.98578562487175</c:v>
                </c:pt>
                <c:pt idx="54">
                  <c:v>104.81152285366882</c:v>
                </c:pt>
                <c:pt idx="55">
                  <c:v>103.70871086874389</c:v>
                </c:pt>
                <c:pt idx="56">
                  <c:v>102.67388718719315</c:v>
                </c:pt>
                <c:pt idx="57">
                  <c:v>101.70343351237109</c:v>
                </c:pt>
                <c:pt idx="58">
                  <c:v>100.79364915581492</c:v>
                </c:pt>
                <c:pt idx="59">
                  <c:v>99.940810241126485</c:v>
                </c:pt>
                <c:pt idx="60">
                  <c:v>99.141216299668443</c:v>
                </c:pt>
                <c:pt idx="61">
                  <c:v>98.391225946655098</c:v>
                </c:pt>
                <c:pt idx="62">
                  <c:v>97.687283288166554</c:v>
                </c:pt>
                <c:pt idx="63">
                  <c:v>97.02593659898595</c:v>
                </c:pt>
                <c:pt idx="64">
                  <c:v>96.4038506611451</c:v>
                </c:pt>
                <c:pt idx="65">
                  <c:v>95.817813987302998</c:v>
                </c:pt>
                <c:pt idx="66">
                  <c:v>95.264741987498496</c:v>
                </c:pt>
                <c:pt idx="67">
                  <c:v>94.741676982487022</c:v>
                </c:pt>
                <c:pt idx="68">
                  <c:v>94.245785827586985</c:v>
                </c:pt>
                <c:pt idx="69">
                  <c:v>93.774355790624895</c:v>
                </c:pt>
                <c:pt idx="70">
                  <c:v>93.32478922713598</c:v>
                </c:pt>
                <c:pt idx="71">
                  <c:v>92.89459751529786</c:v>
                </c:pt>
                <c:pt idx="72">
                  <c:v>92.48139465133859</c:v>
                </c:pt>
                <c:pt idx="73">
                  <c:v>92.082890862315836</c:v>
                </c:pt>
                <c:pt idx="74">
                  <c:v>91.696886566120568</c:v>
                </c:pt>
                <c:pt idx="75">
                  <c:v>91.321266997250476</c:v>
                </c:pt>
                <c:pt idx="76">
                  <c:v>90.953997820380607</c:v>
                </c:pt>
                <c:pt idx="77">
                  <c:v>90.593122071059966</c:v>
                </c:pt>
                <c:pt idx="78">
                  <c:v>90.23675879288642</c:v>
                </c:pt>
                <c:pt idx="79">
                  <c:v>89.883103781761392</c:v>
                </c:pt>
                <c:pt idx="80">
                  <c:v>89.530432898046541</c:v>
                </c:pt>
                <c:pt idx="81">
                  <c:v>89.177108463119566</c:v>
                </c:pt>
                <c:pt idx="82">
                  <c:v>88.821589312501288</c:v>
                </c:pt>
                <c:pt idx="83">
                  <c:v>88.462445125179698</c:v>
                </c:pt>
                <c:pt idx="84">
                  <c:v>88.098375675976499</c:v>
                </c:pt>
                <c:pt idx="85">
                  <c:v>87.728235647865574</c:v>
                </c:pt>
                <c:pt idx="86">
                  <c:v>87.351065571228304</c:v>
                </c:pt>
                <c:pt idx="87">
                  <c:v>86.966129297561608</c:v>
                </c:pt>
                <c:pt idx="88">
                  <c:v>86.572958130167478</c:v>
                </c:pt>
                <c:pt idx="89">
                  <c:v>86.171401282990871</c:v>
                </c:pt>
                <c:pt idx="90">
                  <c:v>85.761681679864253</c:v>
                </c:pt>
                <c:pt idx="91">
                  <c:v>85.344455206405513</c:v>
                </c:pt>
                <c:pt idx="92">
                  <c:v>84.920870372965723</c:v>
                </c:pt>
                <c:pt idx="93">
                  <c:v>84.492623965610633</c:v>
                </c:pt>
                <c:pt idx="94">
                  <c:v>84.062006741153269</c:v>
                </c:pt>
                <c:pt idx="95">
                  <c:v>83.631931734349095</c:v>
                </c:pt>
                <c:pt idx="96">
                  <c:v>83.205936563681135</c:v>
                </c:pt>
                <c:pt idx="97">
                  <c:v>82.788150617367791</c:v>
                </c:pt>
                <c:pt idx="98">
                  <c:v>82.383218605700677</c:v>
                </c:pt>
                <c:pt idx="99">
                  <c:v>81.996174093334446</c:v>
                </c:pt>
                <c:pt idx="100">
                  <c:v>81.632260544256724</c:v>
                </c:pt>
                <c:pt idx="101">
                  <c:v>81.296703092337651</c:v>
                </c:pt>
                <c:pt idx="102">
                  <c:v>80.994441223104076</c:v>
                </c:pt>
                <c:pt idx="103">
                  <c:v>80.729839853248265</c:v>
                </c:pt>
                <c:pt idx="104">
                  <c:v>80.506402548797524</c:v>
                </c:pt>
                <c:pt idx="105">
                  <c:v>80.326514308202107</c:v>
                </c:pt>
                <c:pt idx="106">
                  <c:v>80.191241184301703</c:v>
                </c:pt>
                <c:pt idx="107">
                  <c:v>80.100209444244655</c:v>
                </c:pt>
                <c:pt idx="108">
                  <c:v>80.051578363464017</c:v>
                </c:pt>
                <c:pt idx="109">
                  <c:v>80.042109513021558</c:v>
                </c:pt>
                <c:pt idx="110">
                  <c:v>80.06732361777496</c:v>
                </c:pt>
                <c:pt idx="111">
                  <c:v>80.121725972150671</c:v>
                </c:pt>
                <c:pt idx="112">
                  <c:v>80.199074784647905</c:v>
                </c:pt>
                <c:pt idx="113">
                  <c:v>80.292664573469565</c:v>
                </c:pt>
                <c:pt idx="114">
                  <c:v>80.39559871637907</c:v>
                </c:pt>
                <c:pt idx="115">
                  <c:v>80.501030478344134</c:v>
                </c:pt>
                <c:pt idx="116">
                  <c:v>80.602358845191688</c:v>
                </c:pt>
                <c:pt idx="117">
                  <c:v>80.693372792348953</c:v>
                </c:pt>
                <c:pt idx="118">
                  <c:v>80.768344033008873</c:v>
                </c:pt>
                <c:pt idx="119">
                  <c:v>80.822073113889772</c:v>
                </c:pt>
                <c:pt idx="120">
                  <c:v>80.849896733602776</c:v>
                </c:pt>
                <c:pt idx="121">
                  <c:v>80.847665493954381</c:v>
                </c:pt>
                <c:pt idx="122">
                  <c:v>80.81170132140376</c:v>
                </c:pt>
                <c:pt idx="123">
                  <c:v>80.738742951082827</c:v>
                </c:pt>
                <c:pt idx="124">
                  <c:v>80.625886556264263</c:v>
                </c:pt>
                <c:pt idx="125">
                  <c:v>80.470527152563122</c:v>
                </c:pt>
                <c:pt idx="126">
                  <c:v>80.270305025212636</c:v>
                </c:pt>
                <c:pt idx="127">
                  <c:v>80.023060240100662</c:v>
                </c:pt>
                <c:pt idx="128">
                  <c:v>79.726797349188487</c:v>
                </c:pt>
                <c:pt idx="129">
                  <c:v>79.37966167877795</c:v>
                </c:pt>
                <c:pt idx="130">
                  <c:v>78.979928050476673</c:v>
                </c:pt>
                <c:pt idx="131">
                  <c:v>78.526002365068578</c:v>
                </c:pt>
                <c:pt idx="132">
                  <c:v>78.016436103436291</c:v>
                </c:pt>
                <c:pt idx="133">
                  <c:v>77.449953386233332</c:v>
                </c:pt>
                <c:pt idx="134">
                  <c:v>76.825489705303966</c:v>
                </c:pt>
                <c:pt idx="135">
                  <c:v>76.142240720885766</c:v>
                </c:pt>
                <c:pt idx="136">
                  <c:v>75.399718549967076</c:v>
                </c:pt>
                <c:pt idx="137">
                  <c:v>74.597811721930853</c:v>
                </c:pt>
                <c:pt idx="138">
                  <c:v>73.736843465137014</c:v>
                </c:pt>
                <c:pt idx="139">
                  <c:v>72.817621302758866</c:v>
                </c:pt>
                <c:pt idx="140">
                  <c:v>71.841469267117759</c:v>
                </c:pt>
                <c:pt idx="141">
                  <c:v>70.810232695018627</c:v>
                </c:pt>
                <c:pt idx="142">
                  <c:v>69.726244963306399</c:v>
                </c:pt>
                <c:pt idx="143">
                  <c:v>68.592246162285136</c:v>
                </c:pt>
                <c:pt idx="144">
                  <c:v>67.411246073497495</c:v>
                </c:pt>
                <c:pt idx="145">
                  <c:v>66.186328258449024</c:v>
                </c:pt>
                <c:pt idx="146">
                  <c:v>64.920398597878602</c:v>
                </c:pt>
                <c:pt idx="147">
                  <c:v>63.615889790300848</c:v>
                </c:pt>
                <c:pt idx="148">
                  <c:v>62.274442108570881</c:v>
                </c:pt>
                <c:pt idx="149">
                  <c:v>60.896588619242152</c:v>
                </c:pt>
                <c:pt idx="150">
                  <c:v>59.481478352492509</c:v>
                </c:pt>
                <c:pt idx="151">
                  <c:v>58.026672011200198</c:v>
                </c:pt>
                <c:pt idx="152">
                  <c:v>56.528040814680715</c:v>
                </c:pt>
                <c:pt idx="153">
                  <c:v>54.979790082094731</c:v>
                </c:pt>
                <c:pt idx="154">
                  <c:v>53.374616378868538</c:v>
                </c:pt>
                <c:pt idx="155">
                  <c:v>51.70399256144524</c:v>
                </c:pt>
                <c:pt idx="156">
                  <c:v>49.95856131261931</c:v>
                </c:pt>
                <c:pt idx="157">
                  <c:v>48.128606952539862</c:v>
                </c:pt>
                <c:pt idx="158">
                  <c:v>46.204568845836</c:v>
                </c:pt>
                <c:pt idx="159">
                  <c:v>44.177557977014771</c:v>
                </c:pt>
                <c:pt idx="160">
                  <c:v>42.039840664099053</c:v>
                </c:pt>
                <c:pt idx="161">
                  <c:v>39.785258763623865</c:v>
                </c:pt>
                <c:pt idx="162">
                  <c:v>37.409562795363385</c:v>
                </c:pt>
                <c:pt idx="163">
                  <c:v>34.910642140378812</c:v>
                </c:pt>
                <c:pt idx="164">
                  <c:v>32.28864423646197</c:v>
                </c:pt>
                <c:pt idx="165">
                  <c:v>29.545982300302182</c:v>
                </c:pt>
                <c:pt idx="166">
                  <c:v>26.687238513857711</c:v>
                </c:pt>
                <c:pt idx="167">
                  <c:v>23.718976699849616</c:v>
                </c:pt>
                <c:pt idx="168">
                  <c:v>20.64948486336062</c:v>
                </c:pt>
                <c:pt idx="169">
                  <c:v>17.48847285489467</c:v>
                </c:pt>
                <c:pt idx="170">
                  <c:v>14.246752910665403</c:v>
                </c:pt>
                <c:pt idx="171">
                  <c:v>10.935930173844369</c:v>
                </c:pt>
                <c:pt idx="172">
                  <c:v>7.5681261712940087</c:v>
                </c:pt>
                <c:pt idx="173">
                  <c:v>4.1557509565827386</c:v>
                </c:pt>
                <c:pt idx="174">
                  <c:v>0.71133027074314559</c:v>
                </c:pt>
                <c:pt idx="175">
                  <c:v>-2.7526158225885307</c:v>
                </c:pt>
                <c:pt idx="176">
                  <c:v>-6.2236550400487776</c:v>
                </c:pt>
                <c:pt idx="177">
                  <c:v>-9.6895037836990774</c:v>
                </c:pt>
                <c:pt idx="178">
                  <c:v>-13.138086855967575</c:v>
                </c:pt>
                <c:pt idx="179">
                  <c:v>-16.557613662603892</c:v>
                </c:pt>
                <c:pt idx="180">
                  <c:v>-19.936682438366873</c:v>
                </c:pt>
                <c:pt idx="181">
                  <c:v>-23.264415301050523</c:v>
                </c:pt>
                <c:pt idx="182">
                  <c:v>-26.53061742227009</c:v>
                </c:pt>
                <c:pt idx="183">
                  <c:v>-29.725945326291875</c:v>
                </c:pt>
                <c:pt idx="184">
                  <c:v>-32.842064121707217</c:v>
                </c:pt>
                <c:pt idx="185">
                  <c:v>-35.871772538287054</c:v>
                </c:pt>
                <c:pt idx="186">
                  <c:v>-38.809078242494756</c:v>
                </c:pt>
                <c:pt idx="187">
                  <c:v>-41.64921325665965</c:v>
                </c:pt>
                <c:pt idx="188">
                  <c:v>-44.388588750411607</c:v>
                </c:pt>
                <c:pt idx="189">
                  <c:v>-47.024697882050312</c:v>
                </c:pt>
                <c:pt idx="190">
                  <c:v>-49.555982685895238</c:v>
                </c:pt>
                <c:pt idx="191">
                  <c:v>-51.98168476517732</c:v>
                </c:pt>
                <c:pt idx="192">
                  <c:v>-54.301699236290119</c:v>
                </c:pt>
                <c:pt idx="193">
                  <c:v>-56.516447474757925</c:v>
                </c:pt>
                <c:pt idx="194">
                  <c:v>-58.626778031966687</c:v>
                </c:pt>
                <c:pt idx="195">
                  <c:v>-60.633898290987119</c:v>
                </c:pt>
                <c:pt idx="196">
                  <c:v>-62.539333555779422</c:v>
                </c:pt>
                <c:pt idx="197">
                  <c:v>-64.344906359958571</c:v>
                </c:pt>
                <c:pt idx="198">
                  <c:v>-66.052727199437598</c:v>
                </c:pt>
                <c:pt idx="199">
                  <c:v>-67.665188379084128</c:v>
                </c:pt>
                <c:pt idx="200">
                  <c:v>-69.184954561489135</c:v>
                </c:pt>
                <c:pt idx="201">
                  <c:v>-70.614946137380656</c:v>
                </c:pt>
                <c:pt idx="202">
                  <c:v>-71.95831402543206</c:v>
                </c:pt>
                <c:pt idx="203">
                  <c:v>-73.218406505524513</c:v>
                </c:pt>
                <c:pt idx="204">
                  <c:v>-74.398729995809518</c:v>
                </c:pt>
                <c:pt idx="205">
                  <c:v>-75.502906305135909</c:v>
                </c:pt>
                <c:pt idx="206">
                  <c:v>-76.534628958725975</c:v>
                </c:pt>
                <c:pt idx="207">
                  <c:v>-77.497620886293475</c:v>
                </c:pt>
                <c:pt idx="208">
                  <c:v>-78.395595253154468</c:v>
                </c:pt>
                <c:pt idx="209">
                  <c:v>-79.232220645958634</c:v>
                </c:pt>
                <c:pt idx="210">
                  <c:v>-80.011091290016338</c:v>
                </c:pt>
              </c:numCache>
            </c:numRef>
          </c:yVal>
          <c:smooth val="1"/>
          <c:extLst xmlns:c16r2="http://schemas.microsoft.com/office/drawing/2015/06/chart">
            <c:ext xmlns:c16="http://schemas.microsoft.com/office/drawing/2014/chart" uri="{C3380CC4-5D6E-409C-BE32-E72D297353CC}">
              <c16:uniqueId val="{00000003-026D-4A13-8F5F-FC28F04B1015}"/>
            </c:ext>
          </c:extLst>
        </c:ser>
        <c:ser>
          <c:idx val="3"/>
          <c:order val="3"/>
          <c:tx>
            <c:v>Power Stage Phase</c:v>
          </c:tx>
          <c:spPr>
            <a:ln w="25400">
              <a:solidFill>
                <a:srgbClr val="000080"/>
              </a:solidFill>
              <a:prstDash val="sysDash"/>
            </a:ln>
          </c:spPr>
          <c:marker>
            <c:symbol val="none"/>
          </c:marker>
          <c:xVal>
            <c:numRef>
              <c:f>'Small Signal'!$L$2:$L$212</c:f>
              <c:numCache>
                <c:formatCode>General</c:formatCode>
                <c:ptCount val="211"/>
                <c:pt idx="0">
                  <c:v>1</c:v>
                </c:pt>
                <c:pt idx="1">
                  <c:v>1.0797751623277096</c:v>
                </c:pt>
                <c:pt idx="2">
                  <c:v>1.1659144011798317</c:v>
                </c:pt>
                <c:pt idx="3">
                  <c:v>1.2589254117941673</c:v>
                </c:pt>
                <c:pt idx="4">
                  <c:v>1.3593563908785258</c:v>
                </c:pt>
                <c:pt idx="5">
                  <c:v>1.4677992676220697</c:v>
                </c:pt>
                <c:pt idx="6">
                  <c:v>1.5848931924611136</c:v>
                </c:pt>
                <c:pt idx="7">
                  <c:v>1.7113283041617808</c:v>
                </c:pt>
                <c:pt idx="8">
                  <c:v>1.8478497974222912</c:v>
                </c:pt>
                <c:pt idx="9">
                  <c:v>1.9952623149688797</c:v>
                </c:pt>
                <c:pt idx="10">
                  <c:v>2.1544346900318838</c:v>
                </c:pt>
                <c:pt idx="11">
                  <c:v>2.3263050671536263</c:v>
                </c:pt>
                <c:pt idx="12">
                  <c:v>2.5118864315095806</c:v>
                </c:pt>
                <c:pt idx="13">
                  <c:v>2.7122725793320286</c:v>
                </c:pt>
                <c:pt idx="14">
                  <c:v>2.9286445646252366</c:v>
                </c:pt>
                <c:pt idx="15">
                  <c:v>3.1622776601683795</c:v>
                </c:pt>
                <c:pt idx="16">
                  <c:v>3.4145488738336023</c:v>
                </c:pt>
                <c:pt idx="17">
                  <c:v>3.6869450645195756</c:v>
                </c:pt>
                <c:pt idx="18">
                  <c:v>3.9810717055349727</c:v>
                </c:pt>
                <c:pt idx="19">
                  <c:v>4.2986623470822769</c:v>
                </c:pt>
                <c:pt idx="20">
                  <c:v>4.6415888336127793</c:v>
                </c:pt>
                <c:pt idx="21">
                  <c:v>5.0118723362727229</c:v>
                </c:pt>
                <c:pt idx="22">
                  <c:v>5.4116952654646369</c:v>
                </c:pt>
                <c:pt idx="23">
                  <c:v>5.8434141337351777</c:v>
                </c:pt>
                <c:pt idx="24">
                  <c:v>6.3095734448019343</c:v>
                </c:pt>
                <c:pt idx="25">
                  <c:v>6.812920690579614</c:v>
                </c:pt>
                <c:pt idx="26">
                  <c:v>7.3564225445964153</c:v>
                </c:pt>
                <c:pt idx="27">
                  <c:v>7.9432823472428176</c:v>
                </c:pt>
                <c:pt idx="28">
                  <c:v>8.5769589859089415</c:v>
                </c:pt>
                <c:pt idx="29">
                  <c:v>9.2611872812879383</c:v>
                </c:pt>
                <c:pt idx="30">
                  <c:v>10</c:v>
                </c:pt>
                <c:pt idx="31">
                  <c:v>10.797751623277103</c:v>
                </c:pt>
                <c:pt idx="32">
                  <c:v>11.659144011798322</c:v>
                </c:pt>
                <c:pt idx="33">
                  <c:v>12.58925411794168</c:v>
                </c:pt>
                <c:pt idx="34">
                  <c:v>13.593563908785256</c:v>
                </c:pt>
                <c:pt idx="35">
                  <c:v>14.677992676220699</c:v>
                </c:pt>
                <c:pt idx="36">
                  <c:v>15.848931924611136</c:v>
                </c:pt>
                <c:pt idx="37">
                  <c:v>17.113283041617812</c:v>
                </c:pt>
                <c:pt idx="38">
                  <c:v>18.478497974222911</c:v>
                </c:pt>
                <c:pt idx="39">
                  <c:v>19.952623149688804</c:v>
                </c:pt>
                <c:pt idx="40">
                  <c:v>21.544346900318843</c:v>
                </c:pt>
                <c:pt idx="41">
                  <c:v>23.263050671536273</c:v>
                </c:pt>
                <c:pt idx="42">
                  <c:v>25.118864315095799</c:v>
                </c:pt>
                <c:pt idx="43">
                  <c:v>27.122725793320289</c:v>
                </c:pt>
                <c:pt idx="44">
                  <c:v>29.286445646252368</c:v>
                </c:pt>
                <c:pt idx="45">
                  <c:v>31.622776601683803</c:v>
                </c:pt>
                <c:pt idx="46">
                  <c:v>34.145488738336034</c:v>
                </c:pt>
                <c:pt idx="47">
                  <c:v>36.869450645195769</c:v>
                </c:pt>
                <c:pt idx="48">
                  <c:v>39.810717055349755</c:v>
                </c:pt>
                <c:pt idx="49">
                  <c:v>42.986623470822771</c:v>
                </c:pt>
                <c:pt idx="50">
                  <c:v>46.415888336127807</c:v>
                </c:pt>
                <c:pt idx="51">
                  <c:v>50.118723362727238</c:v>
                </c:pt>
                <c:pt idx="52">
                  <c:v>54.11695265464639</c:v>
                </c:pt>
                <c:pt idx="53">
                  <c:v>58.434141337351775</c:v>
                </c:pt>
                <c:pt idx="54">
                  <c:v>63.095734448019364</c:v>
                </c:pt>
                <c:pt idx="55">
                  <c:v>68.129206905796124</c:v>
                </c:pt>
                <c:pt idx="56">
                  <c:v>73.564225445964155</c:v>
                </c:pt>
                <c:pt idx="57">
                  <c:v>79.432823472428197</c:v>
                </c:pt>
                <c:pt idx="58">
                  <c:v>85.769589859089479</c:v>
                </c:pt>
                <c:pt idx="59">
                  <c:v>92.611872812879369</c:v>
                </c:pt>
                <c:pt idx="60">
                  <c:v>100</c:v>
                </c:pt>
                <c:pt idx="61">
                  <c:v>107.97751623277095</c:v>
                </c:pt>
                <c:pt idx="62">
                  <c:v>116.59144011798328</c:v>
                </c:pt>
                <c:pt idx="63">
                  <c:v>125.89254117941677</c:v>
                </c:pt>
                <c:pt idx="64">
                  <c:v>135.93563908785265</c:v>
                </c:pt>
                <c:pt idx="65">
                  <c:v>146.77992676220697</c:v>
                </c:pt>
                <c:pt idx="66">
                  <c:v>158.48931924611153</c:v>
                </c:pt>
                <c:pt idx="67">
                  <c:v>171.13283041617817</c:v>
                </c:pt>
                <c:pt idx="68">
                  <c:v>184.7849797422291</c:v>
                </c:pt>
                <c:pt idx="69">
                  <c:v>199.52623149688802</c:v>
                </c:pt>
                <c:pt idx="70">
                  <c:v>215.44346900318848</c:v>
                </c:pt>
                <c:pt idx="71">
                  <c:v>232.6305067153628</c:v>
                </c:pt>
                <c:pt idx="72">
                  <c:v>251.18864315095806</c:v>
                </c:pt>
                <c:pt idx="73">
                  <c:v>271.22725793320296</c:v>
                </c:pt>
                <c:pt idx="74">
                  <c:v>292.86445646252383</c:v>
                </c:pt>
                <c:pt idx="75">
                  <c:v>316.22776601683825</c:v>
                </c:pt>
                <c:pt idx="76">
                  <c:v>341.4548873833603</c:v>
                </c:pt>
                <c:pt idx="77">
                  <c:v>368.69450645195781</c:v>
                </c:pt>
                <c:pt idx="78">
                  <c:v>398.10717055349761</c:v>
                </c:pt>
                <c:pt idx="79">
                  <c:v>429.86623470822781</c:v>
                </c:pt>
                <c:pt idx="80">
                  <c:v>464.15888336127819</c:v>
                </c:pt>
                <c:pt idx="81">
                  <c:v>501.18723362727269</c:v>
                </c:pt>
                <c:pt idx="82">
                  <c:v>541.16952654646434</c:v>
                </c:pt>
                <c:pt idx="83">
                  <c:v>584.34141337351787</c:v>
                </c:pt>
                <c:pt idx="84">
                  <c:v>630.95734448019323</c:v>
                </c:pt>
                <c:pt idx="85">
                  <c:v>681.29206905796195</c:v>
                </c:pt>
                <c:pt idx="86">
                  <c:v>735.64225445964166</c:v>
                </c:pt>
                <c:pt idx="87">
                  <c:v>794.32823472428208</c:v>
                </c:pt>
                <c:pt idx="88">
                  <c:v>857.69589859089422</c:v>
                </c:pt>
                <c:pt idx="89">
                  <c:v>926.11872812879471</c:v>
                </c:pt>
                <c:pt idx="90">
                  <c:v>1000</c:v>
                </c:pt>
                <c:pt idx="91">
                  <c:v>1079.7751623277097</c:v>
                </c:pt>
                <c:pt idx="92">
                  <c:v>1165.914401179833</c:v>
                </c:pt>
                <c:pt idx="93">
                  <c:v>1258.925411794168</c:v>
                </c:pt>
                <c:pt idx="94">
                  <c:v>1359.3563908785268</c:v>
                </c:pt>
                <c:pt idx="95">
                  <c:v>1467.7992676220699</c:v>
                </c:pt>
                <c:pt idx="96">
                  <c:v>1584.8931924611156</c:v>
                </c:pt>
                <c:pt idx="97">
                  <c:v>1711.3283041617822</c:v>
                </c:pt>
                <c:pt idx="98">
                  <c:v>1847.8497974222912</c:v>
                </c:pt>
                <c:pt idx="99">
                  <c:v>1995.2623149688804</c:v>
                </c:pt>
                <c:pt idx="100">
                  <c:v>2154.4346900318851</c:v>
                </c:pt>
                <c:pt idx="101">
                  <c:v>2326.3050671536284</c:v>
                </c:pt>
                <c:pt idx="102">
                  <c:v>2511.8864315095811</c:v>
                </c:pt>
                <c:pt idx="103">
                  <c:v>2712.2725793320301</c:v>
                </c:pt>
                <c:pt idx="104">
                  <c:v>2928.6445646252391</c:v>
                </c:pt>
                <c:pt idx="105">
                  <c:v>3162.2776601683804</c:v>
                </c:pt>
                <c:pt idx="106">
                  <c:v>3414.5488738336035</c:v>
                </c:pt>
                <c:pt idx="107">
                  <c:v>3686.9450645195784</c:v>
                </c:pt>
                <c:pt idx="108">
                  <c:v>3981.0717055349769</c:v>
                </c:pt>
                <c:pt idx="109">
                  <c:v>4298.6623470822833</c:v>
                </c:pt>
                <c:pt idx="110">
                  <c:v>4641.5888336127782</c:v>
                </c:pt>
                <c:pt idx="111">
                  <c:v>5011.8723362727324</c:v>
                </c:pt>
                <c:pt idx="112">
                  <c:v>5411.6952654646393</c:v>
                </c:pt>
                <c:pt idx="113">
                  <c:v>5843.4141337351803</c:v>
                </c:pt>
                <c:pt idx="114">
                  <c:v>6309.5734448019384</c:v>
                </c:pt>
                <c:pt idx="115">
                  <c:v>6812.9206905796218</c:v>
                </c:pt>
                <c:pt idx="116">
                  <c:v>7356.4225445964248</c:v>
                </c:pt>
                <c:pt idx="117">
                  <c:v>7943.2823472428154</c:v>
                </c:pt>
                <c:pt idx="118">
                  <c:v>8576.9589859089447</c:v>
                </c:pt>
                <c:pt idx="119">
                  <c:v>9261.187281287941</c:v>
                </c:pt>
                <c:pt idx="120">
                  <c:v>10000</c:v>
                </c:pt>
                <c:pt idx="121">
                  <c:v>10797.751623277109</c:v>
                </c:pt>
                <c:pt idx="122">
                  <c:v>11659.144011798313</c:v>
                </c:pt>
                <c:pt idx="123">
                  <c:v>12589.254117941671</c:v>
                </c:pt>
                <c:pt idx="124">
                  <c:v>13593.563908785283</c:v>
                </c:pt>
                <c:pt idx="125">
                  <c:v>14677.992676220729</c:v>
                </c:pt>
                <c:pt idx="126">
                  <c:v>15848.931924611146</c:v>
                </c:pt>
                <c:pt idx="127">
                  <c:v>17113.283041617826</c:v>
                </c:pt>
                <c:pt idx="128">
                  <c:v>18478.497974222933</c:v>
                </c:pt>
                <c:pt idx="129">
                  <c:v>19952.623149688792</c:v>
                </c:pt>
                <c:pt idx="130">
                  <c:v>21544.346900318837</c:v>
                </c:pt>
                <c:pt idx="131">
                  <c:v>23263.050671536268</c:v>
                </c:pt>
                <c:pt idx="132">
                  <c:v>25118.86431509586</c:v>
                </c:pt>
                <c:pt idx="133">
                  <c:v>27122.725793320307</c:v>
                </c:pt>
                <c:pt idx="134">
                  <c:v>29286.445646252399</c:v>
                </c:pt>
                <c:pt idx="135">
                  <c:v>31622.77660168384</c:v>
                </c:pt>
                <c:pt idx="136">
                  <c:v>34145.488738336011</c:v>
                </c:pt>
                <c:pt idx="137">
                  <c:v>36869.450645195764</c:v>
                </c:pt>
                <c:pt idx="138">
                  <c:v>39810.717055349742</c:v>
                </c:pt>
                <c:pt idx="139">
                  <c:v>42986.62347082288</c:v>
                </c:pt>
                <c:pt idx="140">
                  <c:v>46415.888336127835</c:v>
                </c:pt>
                <c:pt idx="141">
                  <c:v>50118.723362727294</c:v>
                </c:pt>
                <c:pt idx="142">
                  <c:v>54116.952654646455</c:v>
                </c:pt>
                <c:pt idx="143">
                  <c:v>58434.141337351764</c:v>
                </c:pt>
                <c:pt idx="144">
                  <c:v>63095.734448019342</c:v>
                </c:pt>
                <c:pt idx="145">
                  <c:v>68129.206905796163</c:v>
                </c:pt>
                <c:pt idx="146">
                  <c:v>73564.225445964199</c:v>
                </c:pt>
                <c:pt idx="147">
                  <c:v>79432.823472428237</c:v>
                </c:pt>
                <c:pt idx="148">
                  <c:v>85769.589859089538</c:v>
                </c:pt>
                <c:pt idx="149">
                  <c:v>92611.872812879505</c:v>
                </c:pt>
                <c:pt idx="150">
                  <c:v>100000</c:v>
                </c:pt>
                <c:pt idx="151">
                  <c:v>107977.51623277101</c:v>
                </c:pt>
                <c:pt idx="152">
                  <c:v>116591.44011798326</c:v>
                </c:pt>
                <c:pt idx="153">
                  <c:v>125892.54117941685</c:v>
                </c:pt>
                <c:pt idx="154">
                  <c:v>135935.63908785273</c:v>
                </c:pt>
                <c:pt idx="155">
                  <c:v>146779.92676220718</c:v>
                </c:pt>
                <c:pt idx="156">
                  <c:v>158489.31924611164</c:v>
                </c:pt>
                <c:pt idx="157">
                  <c:v>171132.83041617845</c:v>
                </c:pt>
                <c:pt idx="158">
                  <c:v>184784.97974222922</c:v>
                </c:pt>
                <c:pt idx="159">
                  <c:v>199526.23149688813</c:v>
                </c:pt>
                <c:pt idx="160">
                  <c:v>215443.46900318863</c:v>
                </c:pt>
                <c:pt idx="161">
                  <c:v>232630.50671536254</c:v>
                </c:pt>
                <c:pt idx="162">
                  <c:v>251188.64315095844</c:v>
                </c:pt>
                <c:pt idx="163">
                  <c:v>271227.25793320336</c:v>
                </c:pt>
                <c:pt idx="164">
                  <c:v>292864.45646252431</c:v>
                </c:pt>
                <c:pt idx="165">
                  <c:v>316227.7660168382</c:v>
                </c:pt>
                <c:pt idx="166">
                  <c:v>341454.88738336053</c:v>
                </c:pt>
                <c:pt idx="167">
                  <c:v>368694.50645195803</c:v>
                </c:pt>
                <c:pt idx="168">
                  <c:v>398107.17055349716</c:v>
                </c:pt>
                <c:pt idx="169">
                  <c:v>429866.2347082285</c:v>
                </c:pt>
                <c:pt idx="170">
                  <c:v>464158.88336127886</c:v>
                </c:pt>
                <c:pt idx="171">
                  <c:v>501187.23362727347</c:v>
                </c:pt>
                <c:pt idx="172">
                  <c:v>541169.52654646419</c:v>
                </c:pt>
                <c:pt idx="173">
                  <c:v>584341.41337351827</c:v>
                </c:pt>
                <c:pt idx="174">
                  <c:v>630957.34448019415</c:v>
                </c:pt>
                <c:pt idx="175">
                  <c:v>681292.06905796123</c:v>
                </c:pt>
                <c:pt idx="176">
                  <c:v>735642.25445964152</c:v>
                </c:pt>
                <c:pt idx="177">
                  <c:v>794328.23472428333</c:v>
                </c:pt>
                <c:pt idx="178">
                  <c:v>857695.89859089628</c:v>
                </c:pt>
                <c:pt idx="179">
                  <c:v>926118.72812879446</c:v>
                </c:pt>
                <c:pt idx="180">
                  <c:v>1000000</c:v>
                </c:pt>
                <c:pt idx="181">
                  <c:v>1079775.1623277115</c:v>
                </c:pt>
                <c:pt idx="182">
                  <c:v>1165914.4011798317</c:v>
                </c:pt>
                <c:pt idx="183">
                  <c:v>1258925.4117941677</c:v>
                </c:pt>
                <c:pt idx="184">
                  <c:v>1359356.3908785288</c:v>
                </c:pt>
                <c:pt idx="185">
                  <c:v>1467799.2676220734</c:v>
                </c:pt>
                <c:pt idx="186">
                  <c:v>1584893.1924611153</c:v>
                </c:pt>
                <c:pt idx="187">
                  <c:v>1711328.3041617833</c:v>
                </c:pt>
                <c:pt idx="188">
                  <c:v>1847849.797422294</c:v>
                </c:pt>
                <c:pt idx="189">
                  <c:v>1995262.31496888</c:v>
                </c:pt>
                <c:pt idx="190">
                  <c:v>2154434.6900318847</c:v>
                </c:pt>
                <c:pt idx="191">
                  <c:v>2326305.067153628</c:v>
                </c:pt>
                <c:pt idx="192">
                  <c:v>2511886.431509587</c:v>
                </c:pt>
                <c:pt idx="193">
                  <c:v>2712272.5793320318</c:v>
                </c:pt>
                <c:pt idx="194">
                  <c:v>2928644.5646252413</c:v>
                </c:pt>
                <c:pt idx="195">
                  <c:v>3162277.6601683851</c:v>
                </c:pt>
                <c:pt idx="196">
                  <c:v>3414548.8738336028</c:v>
                </c:pt>
                <c:pt idx="197">
                  <c:v>3686945.0645195777</c:v>
                </c:pt>
                <c:pt idx="198">
                  <c:v>3981071.705534976</c:v>
                </c:pt>
                <c:pt idx="199">
                  <c:v>4298662.3470822899</c:v>
                </c:pt>
                <c:pt idx="200">
                  <c:v>4641588.8336127857</c:v>
                </c:pt>
                <c:pt idx="201">
                  <c:v>5011872.3362727314</c:v>
                </c:pt>
                <c:pt idx="202">
                  <c:v>5411695.2654646477</c:v>
                </c:pt>
                <c:pt idx="203">
                  <c:v>5843414.133735179</c:v>
                </c:pt>
                <c:pt idx="204">
                  <c:v>6309573.4448019378</c:v>
                </c:pt>
                <c:pt idx="205">
                  <c:v>6812920.6905796202</c:v>
                </c:pt>
                <c:pt idx="206">
                  <c:v>7356422.5445964225</c:v>
                </c:pt>
                <c:pt idx="207">
                  <c:v>7943282.3472428275</c:v>
                </c:pt>
                <c:pt idx="208">
                  <c:v>8576958.9859089572</c:v>
                </c:pt>
                <c:pt idx="209">
                  <c:v>9261187.2812879551</c:v>
                </c:pt>
                <c:pt idx="210">
                  <c:v>10000000</c:v>
                </c:pt>
              </c:numCache>
            </c:numRef>
          </c:xVal>
          <c:yVal>
            <c:numRef>
              <c:f>'Small Signal'!$O$2:$O$212</c:f>
              <c:numCache>
                <c:formatCode>General</c:formatCode>
                <c:ptCount val="21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numCache>
            </c:numRef>
          </c:yVal>
          <c:smooth val="1"/>
          <c:extLst xmlns:c16r2="http://schemas.microsoft.com/office/drawing/2015/06/chart">
            <c:ext xmlns:c16="http://schemas.microsoft.com/office/drawing/2014/chart" uri="{C3380CC4-5D6E-409C-BE32-E72D297353CC}">
              <c16:uniqueId val="{00000004-026D-4A13-8F5F-FC28F04B1015}"/>
            </c:ext>
          </c:extLst>
        </c:ser>
        <c:ser>
          <c:idx val="4"/>
          <c:order val="5"/>
          <c:tx>
            <c:v>Compensation Phase</c:v>
          </c:tx>
          <c:spPr>
            <a:ln w="25400">
              <a:solidFill>
                <a:srgbClr val="FF0000"/>
              </a:solidFill>
              <a:prstDash val="sysDash"/>
            </a:ln>
          </c:spPr>
          <c:marker>
            <c:symbol val="none"/>
          </c:marker>
          <c:xVal>
            <c:numRef>
              <c:f>'Small Signal'!$L$2:$L$212</c:f>
              <c:numCache>
                <c:formatCode>General</c:formatCode>
                <c:ptCount val="211"/>
                <c:pt idx="0">
                  <c:v>1</c:v>
                </c:pt>
                <c:pt idx="1">
                  <c:v>1.0797751623277096</c:v>
                </c:pt>
                <c:pt idx="2">
                  <c:v>1.1659144011798317</c:v>
                </c:pt>
                <c:pt idx="3">
                  <c:v>1.2589254117941673</c:v>
                </c:pt>
                <c:pt idx="4">
                  <c:v>1.3593563908785258</c:v>
                </c:pt>
                <c:pt idx="5">
                  <c:v>1.4677992676220697</c:v>
                </c:pt>
                <c:pt idx="6">
                  <c:v>1.5848931924611136</c:v>
                </c:pt>
                <c:pt idx="7">
                  <c:v>1.7113283041617808</c:v>
                </c:pt>
                <c:pt idx="8">
                  <c:v>1.8478497974222912</c:v>
                </c:pt>
                <c:pt idx="9">
                  <c:v>1.9952623149688797</c:v>
                </c:pt>
                <c:pt idx="10">
                  <c:v>2.1544346900318838</c:v>
                </c:pt>
                <c:pt idx="11">
                  <c:v>2.3263050671536263</c:v>
                </c:pt>
                <c:pt idx="12">
                  <c:v>2.5118864315095806</c:v>
                </c:pt>
                <c:pt idx="13">
                  <c:v>2.7122725793320286</c:v>
                </c:pt>
                <c:pt idx="14">
                  <c:v>2.9286445646252366</c:v>
                </c:pt>
                <c:pt idx="15">
                  <c:v>3.1622776601683795</c:v>
                </c:pt>
                <c:pt idx="16">
                  <c:v>3.4145488738336023</c:v>
                </c:pt>
                <c:pt idx="17">
                  <c:v>3.6869450645195756</c:v>
                </c:pt>
                <c:pt idx="18">
                  <c:v>3.9810717055349727</c:v>
                </c:pt>
                <c:pt idx="19">
                  <c:v>4.2986623470822769</c:v>
                </c:pt>
                <c:pt idx="20">
                  <c:v>4.6415888336127793</c:v>
                </c:pt>
                <c:pt idx="21">
                  <c:v>5.0118723362727229</c:v>
                </c:pt>
                <c:pt idx="22">
                  <c:v>5.4116952654646369</c:v>
                </c:pt>
                <c:pt idx="23">
                  <c:v>5.8434141337351777</c:v>
                </c:pt>
                <c:pt idx="24">
                  <c:v>6.3095734448019343</c:v>
                </c:pt>
                <c:pt idx="25">
                  <c:v>6.812920690579614</c:v>
                </c:pt>
                <c:pt idx="26">
                  <c:v>7.3564225445964153</c:v>
                </c:pt>
                <c:pt idx="27">
                  <c:v>7.9432823472428176</c:v>
                </c:pt>
                <c:pt idx="28">
                  <c:v>8.5769589859089415</c:v>
                </c:pt>
                <c:pt idx="29">
                  <c:v>9.2611872812879383</c:v>
                </c:pt>
                <c:pt idx="30">
                  <c:v>10</c:v>
                </c:pt>
                <c:pt idx="31">
                  <c:v>10.797751623277103</c:v>
                </c:pt>
                <c:pt idx="32">
                  <c:v>11.659144011798322</c:v>
                </c:pt>
                <c:pt idx="33">
                  <c:v>12.58925411794168</c:v>
                </c:pt>
                <c:pt idx="34">
                  <c:v>13.593563908785256</c:v>
                </c:pt>
                <c:pt idx="35">
                  <c:v>14.677992676220699</c:v>
                </c:pt>
                <c:pt idx="36">
                  <c:v>15.848931924611136</c:v>
                </c:pt>
                <c:pt idx="37">
                  <c:v>17.113283041617812</c:v>
                </c:pt>
                <c:pt idx="38">
                  <c:v>18.478497974222911</c:v>
                </c:pt>
                <c:pt idx="39">
                  <c:v>19.952623149688804</c:v>
                </c:pt>
                <c:pt idx="40">
                  <c:v>21.544346900318843</c:v>
                </c:pt>
                <c:pt idx="41">
                  <c:v>23.263050671536273</c:v>
                </c:pt>
                <c:pt idx="42">
                  <c:v>25.118864315095799</c:v>
                </c:pt>
                <c:pt idx="43">
                  <c:v>27.122725793320289</c:v>
                </c:pt>
                <c:pt idx="44">
                  <c:v>29.286445646252368</c:v>
                </c:pt>
                <c:pt idx="45">
                  <c:v>31.622776601683803</c:v>
                </c:pt>
                <c:pt idx="46">
                  <c:v>34.145488738336034</c:v>
                </c:pt>
                <c:pt idx="47">
                  <c:v>36.869450645195769</c:v>
                </c:pt>
                <c:pt idx="48">
                  <c:v>39.810717055349755</c:v>
                </c:pt>
                <c:pt idx="49">
                  <c:v>42.986623470822771</c:v>
                </c:pt>
                <c:pt idx="50">
                  <c:v>46.415888336127807</c:v>
                </c:pt>
                <c:pt idx="51">
                  <c:v>50.118723362727238</c:v>
                </c:pt>
                <c:pt idx="52">
                  <c:v>54.11695265464639</c:v>
                </c:pt>
                <c:pt idx="53">
                  <c:v>58.434141337351775</c:v>
                </c:pt>
                <c:pt idx="54">
                  <c:v>63.095734448019364</c:v>
                </c:pt>
                <c:pt idx="55">
                  <c:v>68.129206905796124</c:v>
                </c:pt>
                <c:pt idx="56">
                  <c:v>73.564225445964155</c:v>
                </c:pt>
                <c:pt idx="57">
                  <c:v>79.432823472428197</c:v>
                </c:pt>
                <c:pt idx="58">
                  <c:v>85.769589859089479</c:v>
                </c:pt>
                <c:pt idx="59">
                  <c:v>92.611872812879369</c:v>
                </c:pt>
                <c:pt idx="60">
                  <c:v>100</c:v>
                </c:pt>
                <c:pt idx="61">
                  <c:v>107.97751623277095</c:v>
                </c:pt>
                <c:pt idx="62">
                  <c:v>116.59144011798328</c:v>
                </c:pt>
                <c:pt idx="63">
                  <c:v>125.89254117941677</c:v>
                </c:pt>
                <c:pt idx="64">
                  <c:v>135.93563908785265</c:v>
                </c:pt>
                <c:pt idx="65">
                  <c:v>146.77992676220697</c:v>
                </c:pt>
                <c:pt idx="66">
                  <c:v>158.48931924611153</c:v>
                </c:pt>
                <c:pt idx="67">
                  <c:v>171.13283041617817</c:v>
                </c:pt>
                <c:pt idx="68">
                  <c:v>184.7849797422291</c:v>
                </c:pt>
                <c:pt idx="69">
                  <c:v>199.52623149688802</c:v>
                </c:pt>
                <c:pt idx="70">
                  <c:v>215.44346900318848</c:v>
                </c:pt>
                <c:pt idx="71">
                  <c:v>232.6305067153628</c:v>
                </c:pt>
                <c:pt idx="72">
                  <c:v>251.18864315095806</c:v>
                </c:pt>
                <c:pt idx="73">
                  <c:v>271.22725793320296</c:v>
                </c:pt>
                <c:pt idx="74">
                  <c:v>292.86445646252383</c:v>
                </c:pt>
                <c:pt idx="75">
                  <c:v>316.22776601683825</c:v>
                </c:pt>
                <c:pt idx="76">
                  <c:v>341.4548873833603</c:v>
                </c:pt>
                <c:pt idx="77">
                  <c:v>368.69450645195781</c:v>
                </c:pt>
                <c:pt idx="78">
                  <c:v>398.10717055349761</c:v>
                </c:pt>
                <c:pt idx="79">
                  <c:v>429.86623470822781</c:v>
                </c:pt>
                <c:pt idx="80">
                  <c:v>464.15888336127819</c:v>
                </c:pt>
                <c:pt idx="81">
                  <c:v>501.18723362727269</c:v>
                </c:pt>
                <c:pt idx="82">
                  <c:v>541.16952654646434</c:v>
                </c:pt>
                <c:pt idx="83">
                  <c:v>584.34141337351787</c:v>
                </c:pt>
                <c:pt idx="84">
                  <c:v>630.95734448019323</c:v>
                </c:pt>
                <c:pt idx="85">
                  <c:v>681.29206905796195</c:v>
                </c:pt>
                <c:pt idx="86">
                  <c:v>735.64225445964166</c:v>
                </c:pt>
                <c:pt idx="87">
                  <c:v>794.32823472428208</c:v>
                </c:pt>
                <c:pt idx="88">
                  <c:v>857.69589859089422</c:v>
                </c:pt>
                <c:pt idx="89">
                  <c:v>926.11872812879471</c:v>
                </c:pt>
                <c:pt idx="90">
                  <c:v>1000</c:v>
                </c:pt>
                <c:pt idx="91">
                  <c:v>1079.7751623277097</c:v>
                </c:pt>
                <c:pt idx="92">
                  <c:v>1165.914401179833</c:v>
                </c:pt>
                <c:pt idx="93">
                  <c:v>1258.925411794168</c:v>
                </c:pt>
                <c:pt idx="94">
                  <c:v>1359.3563908785268</c:v>
                </c:pt>
                <c:pt idx="95">
                  <c:v>1467.7992676220699</c:v>
                </c:pt>
                <c:pt idx="96">
                  <c:v>1584.8931924611156</c:v>
                </c:pt>
                <c:pt idx="97">
                  <c:v>1711.3283041617822</c:v>
                </c:pt>
                <c:pt idx="98">
                  <c:v>1847.8497974222912</c:v>
                </c:pt>
                <c:pt idx="99">
                  <c:v>1995.2623149688804</c:v>
                </c:pt>
                <c:pt idx="100">
                  <c:v>2154.4346900318851</c:v>
                </c:pt>
                <c:pt idx="101">
                  <c:v>2326.3050671536284</c:v>
                </c:pt>
                <c:pt idx="102">
                  <c:v>2511.8864315095811</c:v>
                </c:pt>
                <c:pt idx="103">
                  <c:v>2712.2725793320301</c:v>
                </c:pt>
                <c:pt idx="104">
                  <c:v>2928.6445646252391</c:v>
                </c:pt>
                <c:pt idx="105">
                  <c:v>3162.2776601683804</c:v>
                </c:pt>
                <c:pt idx="106">
                  <c:v>3414.5488738336035</c:v>
                </c:pt>
                <c:pt idx="107">
                  <c:v>3686.9450645195784</c:v>
                </c:pt>
                <c:pt idx="108">
                  <c:v>3981.0717055349769</c:v>
                </c:pt>
                <c:pt idx="109">
                  <c:v>4298.6623470822833</c:v>
                </c:pt>
                <c:pt idx="110">
                  <c:v>4641.5888336127782</c:v>
                </c:pt>
                <c:pt idx="111">
                  <c:v>5011.8723362727324</c:v>
                </c:pt>
                <c:pt idx="112">
                  <c:v>5411.6952654646393</c:v>
                </c:pt>
                <c:pt idx="113">
                  <c:v>5843.4141337351803</c:v>
                </c:pt>
                <c:pt idx="114">
                  <c:v>6309.5734448019384</c:v>
                </c:pt>
                <c:pt idx="115">
                  <c:v>6812.9206905796218</c:v>
                </c:pt>
                <c:pt idx="116">
                  <c:v>7356.4225445964248</c:v>
                </c:pt>
                <c:pt idx="117">
                  <c:v>7943.2823472428154</c:v>
                </c:pt>
                <c:pt idx="118">
                  <c:v>8576.9589859089447</c:v>
                </c:pt>
                <c:pt idx="119">
                  <c:v>9261.187281287941</c:v>
                </c:pt>
                <c:pt idx="120">
                  <c:v>10000</c:v>
                </c:pt>
                <c:pt idx="121">
                  <c:v>10797.751623277109</c:v>
                </c:pt>
                <c:pt idx="122">
                  <c:v>11659.144011798313</c:v>
                </c:pt>
                <c:pt idx="123">
                  <c:v>12589.254117941671</c:v>
                </c:pt>
                <c:pt idx="124">
                  <c:v>13593.563908785283</c:v>
                </c:pt>
                <c:pt idx="125">
                  <c:v>14677.992676220729</c:v>
                </c:pt>
                <c:pt idx="126">
                  <c:v>15848.931924611146</c:v>
                </c:pt>
                <c:pt idx="127">
                  <c:v>17113.283041617826</c:v>
                </c:pt>
                <c:pt idx="128">
                  <c:v>18478.497974222933</c:v>
                </c:pt>
                <c:pt idx="129">
                  <c:v>19952.623149688792</c:v>
                </c:pt>
                <c:pt idx="130">
                  <c:v>21544.346900318837</c:v>
                </c:pt>
                <c:pt idx="131">
                  <c:v>23263.050671536268</c:v>
                </c:pt>
                <c:pt idx="132">
                  <c:v>25118.86431509586</c:v>
                </c:pt>
                <c:pt idx="133">
                  <c:v>27122.725793320307</c:v>
                </c:pt>
                <c:pt idx="134">
                  <c:v>29286.445646252399</c:v>
                </c:pt>
                <c:pt idx="135">
                  <c:v>31622.77660168384</c:v>
                </c:pt>
                <c:pt idx="136">
                  <c:v>34145.488738336011</c:v>
                </c:pt>
                <c:pt idx="137">
                  <c:v>36869.450645195764</c:v>
                </c:pt>
                <c:pt idx="138">
                  <c:v>39810.717055349742</c:v>
                </c:pt>
                <c:pt idx="139">
                  <c:v>42986.62347082288</c:v>
                </c:pt>
                <c:pt idx="140">
                  <c:v>46415.888336127835</c:v>
                </c:pt>
                <c:pt idx="141">
                  <c:v>50118.723362727294</c:v>
                </c:pt>
                <c:pt idx="142">
                  <c:v>54116.952654646455</c:v>
                </c:pt>
                <c:pt idx="143">
                  <c:v>58434.141337351764</c:v>
                </c:pt>
                <c:pt idx="144">
                  <c:v>63095.734448019342</c:v>
                </c:pt>
                <c:pt idx="145">
                  <c:v>68129.206905796163</c:v>
                </c:pt>
                <c:pt idx="146">
                  <c:v>73564.225445964199</c:v>
                </c:pt>
                <c:pt idx="147">
                  <c:v>79432.823472428237</c:v>
                </c:pt>
                <c:pt idx="148">
                  <c:v>85769.589859089538</c:v>
                </c:pt>
                <c:pt idx="149">
                  <c:v>92611.872812879505</c:v>
                </c:pt>
                <c:pt idx="150">
                  <c:v>100000</c:v>
                </c:pt>
                <c:pt idx="151">
                  <c:v>107977.51623277101</c:v>
                </c:pt>
                <c:pt idx="152">
                  <c:v>116591.44011798326</c:v>
                </c:pt>
                <c:pt idx="153">
                  <c:v>125892.54117941685</c:v>
                </c:pt>
                <c:pt idx="154">
                  <c:v>135935.63908785273</c:v>
                </c:pt>
                <c:pt idx="155">
                  <c:v>146779.92676220718</c:v>
                </c:pt>
                <c:pt idx="156">
                  <c:v>158489.31924611164</c:v>
                </c:pt>
                <c:pt idx="157">
                  <c:v>171132.83041617845</c:v>
                </c:pt>
                <c:pt idx="158">
                  <c:v>184784.97974222922</c:v>
                </c:pt>
                <c:pt idx="159">
                  <c:v>199526.23149688813</c:v>
                </c:pt>
                <c:pt idx="160">
                  <c:v>215443.46900318863</c:v>
                </c:pt>
                <c:pt idx="161">
                  <c:v>232630.50671536254</c:v>
                </c:pt>
                <c:pt idx="162">
                  <c:v>251188.64315095844</c:v>
                </c:pt>
                <c:pt idx="163">
                  <c:v>271227.25793320336</c:v>
                </c:pt>
                <c:pt idx="164">
                  <c:v>292864.45646252431</c:v>
                </c:pt>
                <c:pt idx="165">
                  <c:v>316227.7660168382</c:v>
                </c:pt>
                <c:pt idx="166">
                  <c:v>341454.88738336053</c:v>
                </c:pt>
                <c:pt idx="167">
                  <c:v>368694.50645195803</c:v>
                </c:pt>
                <c:pt idx="168">
                  <c:v>398107.17055349716</c:v>
                </c:pt>
                <c:pt idx="169">
                  <c:v>429866.2347082285</c:v>
                </c:pt>
                <c:pt idx="170">
                  <c:v>464158.88336127886</c:v>
                </c:pt>
                <c:pt idx="171">
                  <c:v>501187.23362727347</c:v>
                </c:pt>
                <c:pt idx="172">
                  <c:v>541169.52654646419</c:v>
                </c:pt>
                <c:pt idx="173">
                  <c:v>584341.41337351827</c:v>
                </c:pt>
                <c:pt idx="174">
                  <c:v>630957.34448019415</c:v>
                </c:pt>
                <c:pt idx="175">
                  <c:v>681292.06905796123</c:v>
                </c:pt>
                <c:pt idx="176">
                  <c:v>735642.25445964152</c:v>
                </c:pt>
                <c:pt idx="177">
                  <c:v>794328.23472428333</c:v>
                </c:pt>
                <c:pt idx="178">
                  <c:v>857695.89859089628</c:v>
                </c:pt>
                <c:pt idx="179">
                  <c:v>926118.72812879446</c:v>
                </c:pt>
                <c:pt idx="180">
                  <c:v>1000000</c:v>
                </c:pt>
                <c:pt idx="181">
                  <c:v>1079775.1623277115</c:v>
                </c:pt>
                <c:pt idx="182">
                  <c:v>1165914.4011798317</c:v>
                </c:pt>
                <c:pt idx="183">
                  <c:v>1258925.4117941677</c:v>
                </c:pt>
                <c:pt idx="184">
                  <c:v>1359356.3908785288</c:v>
                </c:pt>
                <c:pt idx="185">
                  <c:v>1467799.2676220734</c:v>
                </c:pt>
                <c:pt idx="186">
                  <c:v>1584893.1924611153</c:v>
                </c:pt>
                <c:pt idx="187">
                  <c:v>1711328.3041617833</c:v>
                </c:pt>
                <c:pt idx="188">
                  <c:v>1847849.797422294</c:v>
                </c:pt>
                <c:pt idx="189">
                  <c:v>1995262.31496888</c:v>
                </c:pt>
                <c:pt idx="190">
                  <c:v>2154434.6900318847</c:v>
                </c:pt>
                <c:pt idx="191">
                  <c:v>2326305.067153628</c:v>
                </c:pt>
                <c:pt idx="192">
                  <c:v>2511886.431509587</c:v>
                </c:pt>
                <c:pt idx="193">
                  <c:v>2712272.5793320318</c:v>
                </c:pt>
                <c:pt idx="194">
                  <c:v>2928644.5646252413</c:v>
                </c:pt>
                <c:pt idx="195">
                  <c:v>3162277.6601683851</c:v>
                </c:pt>
                <c:pt idx="196">
                  <c:v>3414548.8738336028</c:v>
                </c:pt>
                <c:pt idx="197">
                  <c:v>3686945.0645195777</c:v>
                </c:pt>
                <c:pt idx="198">
                  <c:v>3981071.705534976</c:v>
                </c:pt>
                <c:pt idx="199">
                  <c:v>4298662.3470822899</c:v>
                </c:pt>
                <c:pt idx="200">
                  <c:v>4641588.8336127857</c:v>
                </c:pt>
                <c:pt idx="201">
                  <c:v>5011872.3362727314</c:v>
                </c:pt>
                <c:pt idx="202">
                  <c:v>5411695.2654646477</c:v>
                </c:pt>
                <c:pt idx="203">
                  <c:v>5843414.133735179</c:v>
                </c:pt>
                <c:pt idx="204">
                  <c:v>6309573.4448019378</c:v>
                </c:pt>
                <c:pt idx="205">
                  <c:v>6812920.6905796202</c:v>
                </c:pt>
                <c:pt idx="206">
                  <c:v>7356422.5445964225</c:v>
                </c:pt>
                <c:pt idx="207">
                  <c:v>7943282.3472428275</c:v>
                </c:pt>
                <c:pt idx="208">
                  <c:v>8576958.9859089572</c:v>
                </c:pt>
                <c:pt idx="209">
                  <c:v>9261187.2812879551</c:v>
                </c:pt>
                <c:pt idx="210">
                  <c:v>10000000</c:v>
                </c:pt>
              </c:numCache>
            </c:numRef>
          </c:xVal>
          <c:yVal>
            <c:numRef>
              <c:f>'Small Signal'!$Y$2:$Y$212</c:f>
              <c:numCache>
                <c:formatCode>General</c:formatCode>
                <c:ptCount val="21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numCache>
            </c:numRef>
          </c:yVal>
          <c:smooth val="1"/>
          <c:extLst xmlns:c16r2="http://schemas.microsoft.com/office/drawing/2015/06/chart">
            <c:ext xmlns:c16="http://schemas.microsoft.com/office/drawing/2014/chart" uri="{C3380CC4-5D6E-409C-BE32-E72D297353CC}">
              <c16:uniqueId val="{00000005-026D-4A13-8F5F-FC28F04B1015}"/>
            </c:ext>
          </c:extLst>
        </c:ser>
        <c:dLbls>
          <c:showLegendKey val="0"/>
          <c:showVal val="0"/>
          <c:showCatName val="0"/>
          <c:showSerName val="0"/>
          <c:showPercent val="0"/>
          <c:showBubbleSize val="0"/>
        </c:dLbls>
        <c:axId val="494082304"/>
        <c:axId val="494213760"/>
      </c:scatterChart>
      <c:valAx>
        <c:axId val="491298816"/>
        <c:scaling>
          <c:logBase val="10"/>
          <c:orientation val="minMax"/>
          <c:max val="1000000"/>
          <c:min val="10"/>
        </c:scaling>
        <c:delete val="1"/>
        <c:axPos val="b"/>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en-US"/>
                  <a:t>Frequency (Hz)</a:t>
                </a:r>
              </a:p>
            </c:rich>
          </c:tx>
          <c:layout>
            <c:manualLayout>
              <c:xMode val="edge"/>
              <c:yMode val="edge"/>
              <c:x val="0.43990130318677484"/>
              <c:y val="0.88903473333438965"/>
            </c:manualLayout>
          </c:layout>
          <c:overlay val="0"/>
          <c:spPr>
            <a:noFill/>
            <a:ln w="25400">
              <a:noFill/>
            </a:ln>
          </c:spPr>
        </c:title>
        <c:numFmt formatCode="General" sourceLinked="1"/>
        <c:majorTickMark val="out"/>
        <c:minorTickMark val="none"/>
        <c:tickLblPos val="nextTo"/>
        <c:crossAx val="494080000"/>
        <c:crossesAt val="0"/>
        <c:crossBetween val="midCat"/>
      </c:valAx>
      <c:valAx>
        <c:axId val="494080000"/>
        <c:scaling>
          <c:orientation val="minMax"/>
          <c:max val="60"/>
          <c:min val="-40"/>
        </c:scaling>
        <c:delete val="0"/>
        <c:axPos val="l"/>
        <c:majorGridlines>
          <c:spPr>
            <a:ln w="3175">
              <a:solidFill>
                <a:srgbClr val="000000"/>
              </a:solidFill>
              <a:prstDash val="solid"/>
            </a:ln>
          </c:spPr>
        </c:majorGridlines>
        <c:minorGridlines/>
        <c:title>
          <c:tx>
            <c:rich>
              <a:bodyPr/>
              <a:lstStyle/>
              <a:p>
                <a:pPr>
                  <a:defRPr sz="1000" b="1" i="0" u="none" strike="noStrike" baseline="0">
                    <a:solidFill>
                      <a:srgbClr val="000000"/>
                    </a:solidFill>
                    <a:latin typeface="Arial"/>
                    <a:ea typeface="Arial"/>
                    <a:cs typeface="Arial"/>
                  </a:defRPr>
                </a:pPr>
                <a:r>
                  <a:rPr lang="en-US"/>
                  <a:t>Gain - dB</a:t>
                </a:r>
              </a:p>
            </c:rich>
          </c:tx>
          <c:layout>
            <c:manualLayout>
              <c:xMode val="edge"/>
              <c:yMode val="edge"/>
              <c:x val="1.6337105465302676E-2"/>
              <c:y val="0.41125163051801622"/>
            </c:manualLayout>
          </c:layout>
          <c:overlay val="0"/>
          <c:spPr>
            <a:noFill/>
            <a:ln w="25400">
              <a:noFill/>
            </a:ln>
          </c:spPr>
        </c:title>
        <c:numFmt formatCode="General" sourceLinked="1"/>
        <c:majorTickMark val="cross"/>
        <c:minorTickMark val="none"/>
        <c:tickLblPos val="nextTo"/>
        <c:txPr>
          <a:bodyPr rot="0" vert="horz"/>
          <a:lstStyle/>
          <a:p>
            <a:pPr>
              <a:defRPr sz="1000" b="0" i="0" u="none" strike="noStrike" baseline="0">
                <a:solidFill>
                  <a:srgbClr val="000000"/>
                </a:solidFill>
                <a:latin typeface="Arial"/>
                <a:ea typeface="Arial"/>
                <a:cs typeface="Arial"/>
              </a:defRPr>
            </a:pPr>
            <a:endParaRPr lang="en-US"/>
          </a:p>
        </c:txPr>
        <c:crossAx val="491298816"/>
        <c:crosses val="autoZero"/>
        <c:crossBetween val="midCat"/>
        <c:majorUnit val="10"/>
        <c:minorUnit val="5"/>
      </c:valAx>
      <c:valAx>
        <c:axId val="494082304"/>
        <c:scaling>
          <c:logBase val="10"/>
          <c:orientation val="minMax"/>
          <c:max val="1000000"/>
          <c:min val="100"/>
        </c:scaling>
        <c:delete val="0"/>
        <c:axPos val="b"/>
        <c:minorGridlines/>
        <c:numFmt formatCode="General" sourceLinked="1"/>
        <c:majorTickMark val="cross"/>
        <c:minorTickMark val="none"/>
        <c:tickLblPos val="low"/>
        <c:spPr>
          <a:ln w="19050" cmpd="sng">
            <a:solidFill>
              <a:schemeClr val="tx1"/>
            </a:solidFill>
          </a:ln>
        </c:spPr>
        <c:txPr>
          <a:bodyPr rot="0" vert="horz"/>
          <a:lstStyle/>
          <a:p>
            <a:pPr>
              <a:defRPr sz="1000" b="0" i="0" u="none" strike="noStrike" baseline="0">
                <a:solidFill>
                  <a:srgbClr val="000000"/>
                </a:solidFill>
                <a:latin typeface="Arial"/>
                <a:ea typeface="Arial"/>
                <a:cs typeface="Arial"/>
              </a:defRPr>
            </a:pPr>
            <a:endParaRPr lang="en-US"/>
          </a:p>
        </c:txPr>
        <c:crossAx val="494213760"/>
        <c:crosses val="autoZero"/>
        <c:crossBetween val="midCat"/>
      </c:valAx>
      <c:valAx>
        <c:axId val="494213760"/>
        <c:scaling>
          <c:orientation val="minMax"/>
          <c:max val="270"/>
          <c:min val="-180"/>
        </c:scaling>
        <c:delete val="0"/>
        <c:axPos val="r"/>
        <c:title>
          <c:tx>
            <c:rich>
              <a:bodyPr/>
              <a:lstStyle/>
              <a:p>
                <a:pPr>
                  <a:defRPr sz="1000" b="1" i="0" u="none" strike="noStrike" baseline="0">
                    <a:solidFill>
                      <a:srgbClr val="000000"/>
                    </a:solidFill>
                    <a:latin typeface="Arial"/>
                    <a:ea typeface="Arial"/>
                    <a:cs typeface="Arial"/>
                  </a:defRPr>
                </a:pPr>
                <a:r>
                  <a:rPr lang="en-US"/>
                  <a:t>Phase - deg</a:t>
                </a:r>
              </a:p>
            </c:rich>
          </c:tx>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Arial"/>
                <a:ea typeface="Arial"/>
                <a:cs typeface="Arial"/>
              </a:defRPr>
            </a:pPr>
            <a:endParaRPr lang="en-US"/>
          </a:p>
        </c:txPr>
        <c:crossAx val="494082304"/>
        <c:crosses val="max"/>
        <c:crossBetween val="midCat"/>
        <c:majorUnit val="45"/>
      </c:valAx>
      <c:spPr>
        <a:noFill/>
        <a:ln w="12700">
          <a:solidFill>
            <a:srgbClr val="808080"/>
          </a:solidFill>
          <a:prstDash val="solid"/>
        </a:ln>
      </c:spPr>
    </c:plotArea>
    <c:legend>
      <c:legendPos val="r"/>
      <c:layout>
        <c:manualLayout>
          <c:xMode val="edge"/>
          <c:yMode val="edge"/>
          <c:x val="5.519258530183728E-2"/>
          <c:y val="0.93712862715077283"/>
          <c:w val="0.87509163478748164"/>
          <c:h val="2.917505030181089E-2"/>
        </c:manualLayout>
      </c:layout>
      <c:overlay val="0"/>
      <c:spPr>
        <a:solidFill>
          <a:srgbClr val="FFFFFF"/>
        </a:solidFill>
        <a:ln w="3175">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0211" r="0.75000000000000211"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Arial"/>
                <a:ea typeface="Arial"/>
                <a:cs typeface="Arial"/>
              </a:defRPr>
            </a:pPr>
            <a:r>
              <a:rPr lang="en-US"/>
              <a:t>Frequency Response</a:t>
            </a:r>
          </a:p>
        </c:rich>
      </c:tx>
      <c:layout>
        <c:manualLayout>
          <c:xMode val="edge"/>
          <c:yMode val="edge"/>
          <c:x val="0.42647068353928524"/>
          <c:y val="2.7950247416256069E-2"/>
        </c:manualLayout>
      </c:layout>
      <c:overlay val="0"/>
      <c:spPr>
        <a:noFill/>
        <a:ln w="25400">
          <a:noFill/>
        </a:ln>
      </c:spPr>
    </c:title>
    <c:autoTitleDeleted val="0"/>
    <c:plotArea>
      <c:layout>
        <c:manualLayout>
          <c:layoutTarget val="inner"/>
          <c:xMode val="edge"/>
          <c:yMode val="edge"/>
          <c:x val="6.1320945251672705E-2"/>
          <c:y val="7.3230459293368758E-2"/>
          <c:w val="0.85446114412090191"/>
          <c:h val="0.7726367637425674"/>
        </c:manualLayout>
      </c:layout>
      <c:scatterChart>
        <c:scatterStyle val="smoothMarker"/>
        <c:varyColors val="0"/>
        <c:ser>
          <c:idx val="2"/>
          <c:order val="0"/>
          <c:tx>
            <c:v>Overall Gain </c:v>
          </c:tx>
          <c:spPr>
            <a:ln w="38100">
              <a:solidFill>
                <a:srgbClr val="000000"/>
              </a:solidFill>
              <a:prstDash val="solid"/>
            </a:ln>
          </c:spPr>
          <c:marker>
            <c:symbol val="none"/>
          </c:marker>
          <c:xVal>
            <c:numRef>
              <c:f>'Small Signal'!$L$2:$L$212</c:f>
              <c:numCache>
                <c:formatCode>General</c:formatCode>
                <c:ptCount val="211"/>
                <c:pt idx="0">
                  <c:v>1</c:v>
                </c:pt>
                <c:pt idx="1">
                  <c:v>1.0797751623277096</c:v>
                </c:pt>
                <c:pt idx="2">
                  <c:v>1.1659144011798317</c:v>
                </c:pt>
                <c:pt idx="3">
                  <c:v>1.2589254117941673</c:v>
                </c:pt>
                <c:pt idx="4">
                  <c:v>1.3593563908785258</c:v>
                </c:pt>
                <c:pt idx="5">
                  <c:v>1.4677992676220697</c:v>
                </c:pt>
                <c:pt idx="6">
                  <c:v>1.5848931924611136</c:v>
                </c:pt>
                <c:pt idx="7">
                  <c:v>1.7113283041617808</c:v>
                </c:pt>
                <c:pt idx="8">
                  <c:v>1.8478497974222912</c:v>
                </c:pt>
                <c:pt idx="9">
                  <c:v>1.9952623149688797</c:v>
                </c:pt>
                <c:pt idx="10">
                  <c:v>2.1544346900318838</c:v>
                </c:pt>
                <c:pt idx="11">
                  <c:v>2.3263050671536263</c:v>
                </c:pt>
                <c:pt idx="12">
                  <c:v>2.5118864315095806</c:v>
                </c:pt>
                <c:pt idx="13">
                  <c:v>2.7122725793320286</c:v>
                </c:pt>
                <c:pt idx="14">
                  <c:v>2.9286445646252366</c:v>
                </c:pt>
                <c:pt idx="15">
                  <c:v>3.1622776601683795</c:v>
                </c:pt>
                <c:pt idx="16">
                  <c:v>3.4145488738336023</c:v>
                </c:pt>
                <c:pt idx="17">
                  <c:v>3.6869450645195756</c:v>
                </c:pt>
                <c:pt idx="18">
                  <c:v>3.9810717055349727</c:v>
                </c:pt>
                <c:pt idx="19">
                  <c:v>4.2986623470822769</c:v>
                </c:pt>
                <c:pt idx="20">
                  <c:v>4.6415888336127793</c:v>
                </c:pt>
                <c:pt idx="21">
                  <c:v>5.0118723362727229</c:v>
                </c:pt>
                <c:pt idx="22">
                  <c:v>5.4116952654646369</c:v>
                </c:pt>
                <c:pt idx="23">
                  <c:v>5.8434141337351777</c:v>
                </c:pt>
                <c:pt idx="24">
                  <c:v>6.3095734448019343</c:v>
                </c:pt>
                <c:pt idx="25">
                  <c:v>6.812920690579614</c:v>
                </c:pt>
                <c:pt idx="26">
                  <c:v>7.3564225445964153</c:v>
                </c:pt>
                <c:pt idx="27">
                  <c:v>7.9432823472428176</c:v>
                </c:pt>
                <c:pt idx="28">
                  <c:v>8.5769589859089415</c:v>
                </c:pt>
                <c:pt idx="29">
                  <c:v>9.2611872812879383</c:v>
                </c:pt>
                <c:pt idx="30">
                  <c:v>10</c:v>
                </c:pt>
                <c:pt idx="31">
                  <c:v>10.797751623277103</c:v>
                </c:pt>
                <c:pt idx="32">
                  <c:v>11.659144011798322</c:v>
                </c:pt>
                <c:pt idx="33">
                  <c:v>12.58925411794168</c:v>
                </c:pt>
                <c:pt idx="34">
                  <c:v>13.593563908785256</c:v>
                </c:pt>
                <c:pt idx="35">
                  <c:v>14.677992676220699</c:v>
                </c:pt>
                <c:pt idx="36">
                  <c:v>15.848931924611136</c:v>
                </c:pt>
                <c:pt idx="37">
                  <c:v>17.113283041617812</c:v>
                </c:pt>
                <c:pt idx="38">
                  <c:v>18.478497974222911</c:v>
                </c:pt>
                <c:pt idx="39">
                  <c:v>19.952623149688804</c:v>
                </c:pt>
                <c:pt idx="40">
                  <c:v>21.544346900318843</c:v>
                </c:pt>
                <c:pt idx="41">
                  <c:v>23.263050671536273</c:v>
                </c:pt>
                <c:pt idx="42">
                  <c:v>25.118864315095799</c:v>
                </c:pt>
                <c:pt idx="43">
                  <c:v>27.122725793320289</c:v>
                </c:pt>
                <c:pt idx="44">
                  <c:v>29.286445646252368</c:v>
                </c:pt>
                <c:pt idx="45">
                  <c:v>31.622776601683803</c:v>
                </c:pt>
                <c:pt idx="46">
                  <c:v>34.145488738336034</c:v>
                </c:pt>
                <c:pt idx="47">
                  <c:v>36.869450645195769</c:v>
                </c:pt>
                <c:pt idx="48">
                  <c:v>39.810717055349755</c:v>
                </c:pt>
                <c:pt idx="49">
                  <c:v>42.986623470822771</c:v>
                </c:pt>
                <c:pt idx="50">
                  <c:v>46.415888336127807</c:v>
                </c:pt>
                <c:pt idx="51">
                  <c:v>50.118723362727238</c:v>
                </c:pt>
                <c:pt idx="52">
                  <c:v>54.11695265464639</c:v>
                </c:pt>
                <c:pt idx="53">
                  <c:v>58.434141337351775</c:v>
                </c:pt>
                <c:pt idx="54">
                  <c:v>63.095734448019364</c:v>
                </c:pt>
                <c:pt idx="55">
                  <c:v>68.129206905796124</c:v>
                </c:pt>
                <c:pt idx="56">
                  <c:v>73.564225445964155</c:v>
                </c:pt>
                <c:pt idx="57">
                  <c:v>79.432823472428197</c:v>
                </c:pt>
                <c:pt idx="58">
                  <c:v>85.769589859089479</c:v>
                </c:pt>
                <c:pt idx="59">
                  <c:v>92.611872812879369</c:v>
                </c:pt>
                <c:pt idx="60">
                  <c:v>100</c:v>
                </c:pt>
                <c:pt idx="61">
                  <c:v>107.97751623277095</c:v>
                </c:pt>
                <c:pt idx="62">
                  <c:v>116.59144011798328</c:v>
                </c:pt>
                <c:pt idx="63">
                  <c:v>125.89254117941677</c:v>
                </c:pt>
                <c:pt idx="64">
                  <c:v>135.93563908785265</c:v>
                </c:pt>
                <c:pt idx="65">
                  <c:v>146.77992676220697</c:v>
                </c:pt>
                <c:pt idx="66">
                  <c:v>158.48931924611153</c:v>
                </c:pt>
                <c:pt idx="67">
                  <c:v>171.13283041617817</c:v>
                </c:pt>
                <c:pt idx="68">
                  <c:v>184.7849797422291</c:v>
                </c:pt>
                <c:pt idx="69">
                  <c:v>199.52623149688802</c:v>
                </c:pt>
                <c:pt idx="70">
                  <c:v>215.44346900318848</c:v>
                </c:pt>
                <c:pt idx="71">
                  <c:v>232.6305067153628</c:v>
                </c:pt>
                <c:pt idx="72">
                  <c:v>251.18864315095806</c:v>
                </c:pt>
                <c:pt idx="73">
                  <c:v>271.22725793320296</c:v>
                </c:pt>
                <c:pt idx="74">
                  <c:v>292.86445646252383</c:v>
                </c:pt>
                <c:pt idx="75">
                  <c:v>316.22776601683825</c:v>
                </c:pt>
                <c:pt idx="76">
                  <c:v>341.4548873833603</c:v>
                </c:pt>
                <c:pt idx="77">
                  <c:v>368.69450645195781</c:v>
                </c:pt>
                <c:pt idx="78">
                  <c:v>398.10717055349761</c:v>
                </c:pt>
                <c:pt idx="79">
                  <c:v>429.86623470822781</c:v>
                </c:pt>
                <c:pt idx="80">
                  <c:v>464.15888336127819</c:v>
                </c:pt>
                <c:pt idx="81">
                  <c:v>501.18723362727269</c:v>
                </c:pt>
                <c:pt idx="82">
                  <c:v>541.16952654646434</c:v>
                </c:pt>
                <c:pt idx="83">
                  <c:v>584.34141337351787</c:v>
                </c:pt>
                <c:pt idx="84">
                  <c:v>630.95734448019323</c:v>
                </c:pt>
                <c:pt idx="85">
                  <c:v>681.29206905796195</c:v>
                </c:pt>
                <c:pt idx="86">
                  <c:v>735.64225445964166</c:v>
                </c:pt>
                <c:pt idx="87">
                  <c:v>794.32823472428208</c:v>
                </c:pt>
                <c:pt idx="88">
                  <c:v>857.69589859089422</c:v>
                </c:pt>
                <c:pt idx="89">
                  <c:v>926.11872812879471</c:v>
                </c:pt>
                <c:pt idx="90">
                  <c:v>1000</c:v>
                </c:pt>
                <c:pt idx="91">
                  <c:v>1079.7751623277097</c:v>
                </c:pt>
                <c:pt idx="92">
                  <c:v>1165.914401179833</c:v>
                </c:pt>
                <c:pt idx="93">
                  <c:v>1258.925411794168</c:v>
                </c:pt>
                <c:pt idx="94">
                  <c:v>1359.3563908785268</c:v>
                </c:pt>
                <c:pt idx="95">
                  <c:v>1467.7992676220699</c:v>
                </c:pt>
                <c:pt idx="96">
                  <c:v>1584.8931924611156</c:v>
                </c:pt>
                <c:pt idx="97">
                  <c:v>1711.3283041617822</c:v>
                </c:pt>
                <c:pt idx="98">
                  <c:v>1847.8497974222912</c:v>
                </c:pt>
                <c:pt idx="99">
                  <c:v>1995.2623149688804</c:v>
                </c:pt>
                <c:pt idx="100">
                  <c:v>2154.4346900318851</c:v>
                </c:pt>
                <c:pt idx="101">
                  <c:v>2326.3050671536284</c:v>
                </c:pt>
                <c:pt idx="102">
                  <c:v>2511.8864315095811</c:v>
                </c:pt>
                <c:pt idx="103">
                  <c:v>2712.2725793320301</c:v>
                </c:pt>
                <c:pt idx="104">
                  <c:v>2928.6445646252391</c:v>
                </c:pt>
                <c:pt idx="105">
                  <c:v>3162.2776601683804</c:v>
                </c:pt>
                <c:pt idx="106">
                  <c:v>3414.5488738336035</c:v>
                </c:pt>
                <c:pt idx="107">
                  <c:v>3686.9450645195784</c:v>
                </c:pt>
                <c:pt idx="108">
                  <c:v>3981.0717055349769</c:v>
                </c:pt>
                <c:pt idx="109">
                  <c:v>4298.6623470822833</c:v>
                </c:pt>
                <c:pt idx="110">
                  <c:v>4641.5888336127782</c:v>
                </c:pt>
                <c:pt idx="111">
                  <c:v>5011.8723362727324</c:v>
                </c:pt>
                <c:pt idx="112">
                  <c:v>5411.6952654646393</c:v>
                </c:pt>
                <c:pt idx="113">
                  <c:v>5843.4141337351803</c:v>
                </c:pt>
                <c:pt idx="114">
                  <c:v>6309.5734448019384</c:v>
                </c:pt>
                <c:pt idx="115">
                  <c:v>6812.9206905796218</c:v>
                </c:pt>
                <c:pt idx="116">
                  <c:v>7356.4225445964248</c:v>
                </c:pt>
                <c:pt idx="117">
                  <c:v>7943.2823472428154</c:v>
                </c:pt>
                <c:pt idx="118">
                  <c:v>8576.9589859089447</c:v>
                </c:pt>
                <c:pt idx="119">
                  <c:v>9261.187281287941</c:v>
                </c:pt>
                <c:pt idx="120">
                  <c:v>10000</c:v>
                </c:pt>
                <c:pt idx="121">
                  <c:v>10797.751623277109</c:v>
                </c:pt>
                <c:pt idx="122">
                  <c:v>11659.144011798313</c:v>
                </c:pt>
                <c:pt idx="123">
                  <c:v>12589.254117941671</c:v>
                </c:pt>
                <c:pt idx="124">
                  <c:v>13593.563908785283</c:v>
                </c:pt>
                <c:pt idx="125">
                  <c:v>14677.992676220729</c:v>
                </c:pt>
                <c:pt idx="126">
                  <c:v>15848.931924611146</c:v>
                </c:pt>
                <c:pt idx="127">
                  <c:v>17113.283041617826</c:v>
                </c:pt>
                <c:pt idx="128">
                  <c:v>18478.497974222933</c:v>
                </c:pt>
                <c:pt idx="129">
                  <c:v>19952.623149688792</c:v>
                </c:pt>
                <c:pt idx="130">
                  <c:v>21544.346900318837</c:v>
                </c:pt>
                <c:pt idx="131">
                  <c:v>23263.050671536268</c:v>
                </c:pt>
                <c:pt idx="132">
                  <c:v>25118.86431509586</c:v>
                </c:pt>
                <c:pt idx="133">
                  <c:v>27122.725793320307</c:v>
                </c:pt>
                <c:pt idx="134">
                  <c:v>29286.445646252399</c:v>
                </c:pt>
                <c:pt idx="135">
                  <c:v>31622.77660168384</c:v>
                </c:pt>
                <c:pt idx="136">
                  <c:v>34145.488738336011</c:v>
                </c:pt>
                <c:pt idx="137">
                  <c:v>36869.450645195764</c:v>
                </c:pt>
                <c:pt idx="138">
                  <c:v>39810.717055349742</c:v>
                </c:pt>
                <c:pt idx="139">
                  <c:v>42986.62347082288</c:v>
                </c:pt>
                <c:pt idx="140">
                  <c:v>46415.888336127835</c:v>
                </c:pt>
                <c:pt idx="141">
                  <c:v>50118.723362727294</c:v>
                </c:pt>
                <c:pt idx="142">
                  <c:v>54116.952654646455</c:v>
                </c:pt>
                <c:pt idx="143">
                  <c:v>58434.141337351764</c:v>
                </c:pt>
                <c:pt idx="144">
                  <c:v>63095.734448019342</c:v>
                </c:pt>
                <c:pt idx="145">
                  <c:v>68129.206905796163</c:v>
                </c:pt>
                <c:pt idx="146">
                  <c:v>73564.225445964199</c:v>
                </c:pt>
                <c:pt idx="147">
                  <c:v>79432.823472428237</c:v>
                </c:pt>
                <c:pt idx="148">
                  <c:v>85769.589859089538</c:v>
                </c:pt>
                <c:pt idx="149">
                  <c:v>92611.872812879505</c:v>
                </c:pt>
                <c:pt idx="150">
                  <c:v>100000</c:v>
                </c:pt>
                <c:pt idx="151">
                  <c:v>107977.51623277101</c:v>
                </c:pt>
                <c:pt idx="152">
                  <c:v>116591.44011798326</c:v>
                </c:pt>
                <c:pt idx="153">
                  <c:v>125892.54117941685</c:v>
                </c:pt>
                <c:pt idx="154">
                  <c:v>135935.63908785273</c:v>
                </c:pt>
                <c:pt idx="155">
                  <c:v>146779.92676220718</c:v>
                </c:pt>
                <c:pt idx="156">
                  <c:v>158489.31924611164</c:v>
                </c:pt>
                <c:pt idx="157">
                  <c:v>171132.83041617845</c:v>
                </c:pt>
                <c:pt idx="158">
                  <c:v>184784.97974222922</c:v>
                </c:pt>
                <c:pt idx="159">
                  <c:v>199526.23149688813</c:v>
                </c:pt>
                <c:pt idx="160">
                  <c:v>215443.46900318863</c:v>
                </c:pt>
                <c:pt idx="161">
                  <c:v>232630.50671536254</c:v>
                </c:pt>
                <c:pt idx="162">
                  <c:v>251188.64315095844</c:v>
                </c:pt>
                <c:pt idx="163">
                  <c:v>271227.25793320336</c:v>
                </c:pt>
                <c:pt idx="164">
                  <c:v>292864.45646252431</c:v>
                </c:pt>
                <c:pt idx="165">
                  <c:v>316227.7660168382</c:v>
                </c:pt>
                <c:pt idx="166">
                  <c:v>341454.88738336053</c:v>
                </c:pt>
                <c:pt idx="167">
                  <c:v>368694.50645195803</c:v>
                </c:pt>
                <c:pt idx="168">
                  <c:v>398107.17055349716</c:v>
                </c:pt>
                <c:pt idx="169">
                  <c:v>429866.2347082285</c:v>
                </c:pt>
                <c:pt idx="170">
                  <c:v>464158.88336127886</c:v>
                </c:pt>
                <c:pt idx="171">
                  <c:v>501187.23362727347</c:v>
                </c:pt>
                <c:pt idx="172">
                  <c:v>541169.52654646419</c:v>
                </c:pt>
                <c:pt idx="173">
                  <c:v>584341.41337351827</c:v>
                </c:pt>
                <c:pt idx="174">
                  <c:v>630957.34448019415</c:v>
                </c:pt>
                <c:pt idx="175">
                  <c:v>681292.06905796123</c:v>
                </c:pt>
                <c:pt idx="176">
                  <c:v>735642.25445964152</c:v>
                </c:pt>
                <c:pt idx="177">
                  <c:v>794328.23472428333</c:v>
                </c:pt>
                <c:pt idx="178">
                  <c:v>857695.89859089628</c:v>
                </c:pt>
                <c:pt idx="179">
                  <c:v>926118.72812879446</c:v>
                </c:pt>
                <c:pt idx="180">
                  <c:v>1000000</c:v>
                </c:pt>
                <c:pt idx="181">
                  <c:v>1079775.1623277115</c:v>
                </c:pt>
                <c:pt idx="182">
                  <c:v>1165914.4011798317</c:v>
                </c:pt>
                <c:pt idx="183">
                  <c:v>1258925.4117941677</c:v>
                </c:pt>
                <c:pt idx="184">
                  <c:v>1359356.3908785288</c:v>
                </c:pt>
                <c:pt idx="185">
                  <c:v>1467799.2676220734</c:v>
                </c:pt>
                <c:pt idx="186">
                  <c:v>1584893.1924611153</c:v>
                </c:pt>
                <c:pt idx="187">
                  <c:v>1711328.3041617833</c:v>
                </c:pt>
                <c:pt idx="188">
                  <c:v>1847849.797422294</c:v>
                </c:pt>
                <c:pt idx="189">
                  <c:v>1995262.31496888</c:v>
                </c:pt>
                <c:pt idx="190">
                  <c:v>2154434.6900318847</c:v>
                </c:pt>
                <c:pt idx="191">
                  <c:v>2326305.067153628</c:v>
                </c:pt>
                <c:pt idx="192">
                  <c:v>2511886.431509587</c:v>
                </c:pt>
                <c:pt idx="193">
                  <c:v>2712272.5793320318</c:v>
                </c:pt>
                <c:pt idx="194">
                  <c:v>2928644.5646252413</c:v>
                </c:pt>
                <c:pt idx="195">
                  <c:v>3162277.6601683851</c:v>
                </c:pt>
                <c:pt idx="196">
                  <c:v>3414548.8738336028</c:v>
                </c:pt>
                <c:pt idx="197">
                  <c:v>3686945.0645195777</c:v>
                </c:pt>
                <c:pt idx="198">
                  <c:v>3981071.705534976</c:v>
                </c:pt>
                <c:pt idx="199">
                  <c:v>4298662.3470822899</c:v>
                </c:pt>
                <c:pt idx="200">
                  <c:v>4641588.8336127857</c:v>
                </c:pt>
                <c:pt idx="201">
                  <c:v>5011872.3362727314</c:v>
                </c:pt>
                <c:pt idx="202">
                  <c:v>5411695.2654646477</c:v>
                </c:pt>
                <c:pt idx="203">
                  <c:v>5843414.133735179</c:v>
                </c:pt>
                <c:pt idx="204">
                  <c:v>6309573.4448019378</c:v>
                </c:pt>
                <c:pt idx="205">
                  <c:v>6812920.6905796202</c:v>
                </c:pt>
                <c:pt idx="206">
                  <c:v>7356422.5445964225</c:v>
                </c:pt>
                <c:pt idx="207">
                  <c:v>7943282.3472428275</c:v>
                </c:pt>
                <c:pt idx="208">
                  <c:v>8576958.9859089572</c:v>
                </c:pt>
                <c:pt idx="209">
                  <c:v>9261187.2812879551</c:v>
                </c:pt>
                <c:pt idx="210">
                  <c:v>10000000</c:v>
                </c:pt>
              </c:numCache>
            </c:numRef>
          </c:xVal>
          <c:yVal>
            <c:numRef>
              <c:f>'Small Signal'!$P$2:$P$212</c:f>
              <c:numCache>
                <c:formatCode>General</c:formatCode>
                <c:ptCount val="211"/>
                <c:pt idx="0">
                  <c:v>68.889720152258874</c:v>
                </c:pt>
                <c:pt idx="1">
                  <c:v>68.887266602607525</c:v>
                </c:pt>
                <c:pt idx="2">
                  <c:v>68.884407722762973</c:v>
                </c:pt>
                <c:pt idx="3">
                  <c:v>68.881076887981209</c:v>
                </c:pt>
                <c:pt idx="4">
                  <c:v>68.877196642411462</c:v>
                </c:pt>
                <c:pt idx="5">
                  <c:v>68.87267698109784</c:v>
                </c:pt>
                <c:pt idx="6">
                  <c:v>68.867413374726056</c:v>
                </c:pt>
                <c:pt idx="7">
                  <c:v>68.861284504070525</c:v>
                </c:pt>
                <c:pt idx="8">
                  <c:v>68.854149668867976</c:v>
                </c:pt>
                <c:pt idx="9">
                  <c:v>68.845845834314019</c:v>
                </c:pt>
                <c:pt idx="10">
                  <c:v>68.836184277967462</c:v>
                </c:pt>
                <c:pt idx="11">
                  <c:v>68.824946801144932</c:v>
                </c:pt>
                <c:pt idx="12">
                  <c:v>68.811881472661469</c:v>
                </c:pt>
                <c:pt idx="13">
                  <c:v>68.796697880033506</c:v>
                </c:pt>
                <c:pt idx="14">
                  <c:v>68.779061875265825</c:v>
                </c:pt>
                <c:pt idx="15">
                  <c:v>68.758589820654151</c:v>
                </c:pt>
                <c:pt idx="16">
                  <c:v>68.73484236648919</c:v>
                </c:pt>
                <c:pt idx="17">
                  <c:v>68.707317829241262</c:v>
                </c:pt>
                <c:pt idx="18">
                  <c:v>68.67544528795635</c:v>
                </c:pt>
                <c:pt idx="19">
                  <c:v>68.638577580298517</c:v>
                </c:pt>
                <c:pt idx="20">
                  <c:v>68.595984459558281</c:v>
                </c:pt>
                <c:pt idx="21">
                  <c:v>68.546846270499685</c:v>
                </c:pt>
                <c:pt idx="22">
                  <c:v>68.490248613671056</c:v>
                </c:pt>
                <c:pt idx="23">
                  <c:v>68.425178590224689</c:v>
                </c:pt>
                <c:pt idx="24">
                  <c:v>68.35052334341124</c:v>
                </c:pt>
                <c:pt idx="25">
                  <c:v>68.265071724129527</c:v>
                </c:pt>
                <c:pt idx="26">
                  <c:v>68.167519984923246</c:v>
                </c:pt>
                <c:pt idx="27">
                  <c:v>68.056482421750886</c:v>
                </c:pt>
                <c:pt idx="28">
                  <c:v>67.930507802943097</c:v>
                </c:pt>
                <c:pt idx="29">
                  <c:v>67.788102216651993</c:v>
                </c:pt>
                <c:pt idx="30">
                  <c:v>67.627758605175146</c:v>
                </c:pt>
                <c:pt idx="31">
                  <c:v>67.447992727177279</c:v>
                </c:pt>
                <c:pt idx="32">
                  <c:v>67.247384615734944</c:v>
                </c:pt>
                <c:pt idx="33">
                  <c:v>67.024623837901729</c:v>
                </c:pt>
                <c:pt idx="34">
                  <c:v>66.778556107461469</c:v>
                </c:pt>
                <c:pt idx="35">
                  <c:v>66.508228186450538</c:v>
                </c:pt>
                <c:pt idx="36">
                  <c:v>66.212927673075626</c:v>
                </c:pt>
                <c:pt idx="37">
                  <c:v>65.89221433104268</c:v>
                </c:pt>
                <c:pt idx="38">
                  <c:v>65.545940125716271</c:v>
                </c:pt>
                <c:pt idx="39">
                  <c:v>65.174256066663119</c:v>
                </c:pt>
                <c:pt idx="40">
                  <c:v>64.777605191990915</c:v>
                </c:pt>
                <c:pt idx="41">
                  <c:v>64.356702374313514</c:v>
                </c:pt>
                <c:pt idx="42">
                  <c:v>63.912502861503604</c:v>
                </c:pt>
                <c:pt idx="43">
                  <c:v>63.446162395091562</c:v>
                </c:pt>
                <c:pt idx="44">
                  <c:v>62.958992254223112</c:v>
                </c:pt>
                <c:pt idx="45">
                  <c:v>62.452412625343747</c:v>
                </c:pt>
                <c:pt idx="46">
                  <c:v>61.927907355761192</c:v>
                </c:pt>
                <c:pt idx="47">
                  <c:v>61.386982530677159</c:v>
                </c:pt>
                <c:pt idx="48">
                  <c:v>60.831130558388502</c:v>
                </c:pt>
                <c:pt idx="49">
                  <c:v>60.26180068662179</c:v>
                </c:pt>
                <c:pt idx="50">
                  <c:v>59.680376201253367</c:v>
                </c:pt>
                <c:pt idx="51">
                  <c:v>59.088158033086714</c:v>
                </c:pt>
                <c:pt idx="52">
                  <c:v>58.48635413724913</c:v>
                </c:pt>
                <c:pt idx="53">
                  <c:v>57.87607380320744</c:v>
                </c:pt>
                <c:pt idx="54">
                  <c:v>57.258325974643256</c:v>
                </c:pt>
                <c:pt idx="55">
                  <c:v>56.634020674104413</c:v>
                </c:pt>
                <c:pt idx="56">
                  <c:v>56.003972704708708</c:v>
                </c:pt>
                <c:pt idx="57">
                  <c:v>55.368906912411823</c:v>
                </c:pt>
                <c:pt idx="58">
                  <c:v>54.729464416265536</c:v>
                </c:pt>
                <c:pt idx="59">
                  <c:v>54.086209336112802</c:v>
                </c:pt>
                <c:pt idx="60">
                  <c:v>53.439635658412243</c:v>
                </c:pt>
                <c:pt idx="61">
                  <c:v>52.79017397684914</c:v>
                </c:pt>
                <c:pt idx="62">
                  <c:v>52.138197923613603</c:v>
                </c:pt>
                <c:pt idx="63">
                  <c:v>51.484030170254726</c:v>
                </c:pt>
                <c:pt idx="64">
                  <c:v>50.827947925427573</c:v>
                </c:pt>
                <c:pt idx="65">
                  <c:v>50.170187892787936</c:v>
                </c:pt>
                <c:pt idx="66">
                  <c:v>49.510950677938403</c:v>
                </c:pt>
                <c:pt idx="67">
                  <c:v>48.850404650814355</c:v>
                </c:pt>
                <c:pt idx="68">
                  <c:v>48.188689281048227</c:v>
                </c:pt>
                <c:pt idx="69">
                  <c:v>47.525917970251676</c:v>
                </c:pt>
                <c:pt idx="70">
                  <c:v>46.862180408100933</c:v>
                </c:pt>
                <c:pt idx="71">
                  <c:v>46.197544479639618</c:v>
                </c:pt>
                <c:pt idx="72">
                  <c:v>45.532057750190873</c:v>
                </c:pt>
                <c:pt idx="73">
                  <c:v>44.86574855235957</c:v>
                </c:pt>
                <c:pt idx="74">
                  <c:v>44.198626697404379</c:v>
                </c:pt>
                <c:pt idx="75">
                  <c:v>43.530683831267211</c:v>
                </c:pt>
                <c:pt idx="76">
                  <c:v>42.861893454254918</c:v>
                </c:pt>
                <c:pt idx="77">
                  <c:v>42.192210623290798</c:v>
                </c:pt>
                <c:pt idx="78">
                  <c:v>41.521571357332654</c:v>
                </c:pt>
                <c:pt idx="79">
                  <c:v>40.84989177065615</c:v>
                </c:pt>
                <c:pt idx="80">
                  <c:v>40.177066965970056</c:v>
                </c:pt>
                <c:pt idx="81">
                  <c:v>39.502969730651046</c:v>
                </c:pt>
                <c:pt idx="82">
                  <c:v>38.827449095764919</c:v>
                </c:pt>
                <c:pt idx="83">
                  <c:v>38.150328840050925</c:v>
                </c:pt>
                <c:pt idx="84">
                  <c:v>37.471406050742004</c:v>
                </c:pt>
                <c:pt idx="85">
                  <c:v>36.790449890852152</c:v>
                </c:pt>
                <c:pt idx="86">
                  <c:v>36.107200768744001</c:v>
                </c:pt>
                <c:pt idx="87">
                  <c:v>35.421370159881263</c:v>
                </c:pt>
                <c:pt idx="88">
                  <c:v>34.732641390605316</c:v>
                </c:pt>
                <c:pt idx="89">
                  <c:v>34.04067175520359</c:v>
                </c:pt>
                <c:pt idx="90">
                  <c:v>33.345096392904338</c:v>
                </c:pt>
                <c:pt idx="91">
                  <c:v>32.645534389085483</c:v>
                </c:pt>
                <c:pt idx="92">
                  <c:v>31.941597568604863</c:v>
                </c:pt>
                <c:pt idx="93">
                  <c:v>31.2329023979024</c:v>
                </c:pt>
                <c:pt idx="94">
                  <c:v>30.519085282578217</c:v>
                </c:pt>
                <c:pt idx="95">
                  <c:v>29.799821315395224</c:v>
                </c:pt>
                <c:pt idx="96">
                  <c:v>29.074846179866828</c:v>
                </c:pt>
                <c:pt idx="97">
                  <c:v>28.343980446413788</c:v>
                </c:pt>
                <c:pt idx="98">
                  <c:v>27.607154937263886</c:v>
                </c:pt>
                <c:pt idx="99">
                  <c:v>26.864435243723182</c:v>
                </c:pt>
                <c:pt idx="100">
                  <c:v>26.116042954443891</c:v>
                </c:pt>
                <c:pt idx="101">
                  <c:v>25.36237082584119</c:v>
                </c:pt>
                <c:pt idx="102">
                  <c:v>24.603989134169883</c:v>
                </c:pt>
                <c:pt idx="103">
                  <c:v>23.841640903037732</c:v>
                </c:pt>
                <c:pt idx="104">
                  <c:v>23.076224638692008</c:v>
                </c:pt>
                <c:pt idx="105">
                  <c:v>22.308764559070994</c:v>
                </c:pt>
                <c:pt idx="106">
                  <c:v>21.540369883323113</c:v>
                </c:pt>
                <c:pt idx="107">
                  <c:v>20.772186275684575</c:v>
                </c:pt>
                <c:pt idx="108">
                  <c:v>20.005343701484378</c:v>
                </c:pt>
                <c:pt idx="109">
                  <c:v>19.240905498718238</c:v>
                </c:pt>
                <c:pt idx="110">
                  <c:v>18.47982327178488</c:v>
                </c:pt>
                <c:pt idx="111">
                  <c:v>17.722901319495303</c:v>
                </c:pt>
                <c:pt idx="112">
                  <c:v>16.970772917377069</c:v>
                </c:pt>
                <c:pt idx="113">
                  <c:v>16.223889178788973</c:v>
                </c:pt>
                <c:pt idx="114">
                  <c:v>15.482519724787432</c:v>
                </c:pt>
                <c:pt idx="115">
                  <c:v>14.746763237242517</c:v>
                </c:pt>
                <c:pt idx="116">
                  <c:v>14.016565280323348</c:v>
                </c:pt>
                <c:pt idx="117">
                  <c:v>13.291740562093084</c:v>
                </c:pt>
                <c:pt idx="118">
                  <c:v>12.571996989606902</c:v>
                </c:pt>
                <c:pt idx="119">
                  <c:v>11.856959317730769</c:v>
                </c:pt>
                <c:pt idx="120">
                  <c:v>11.146190766412452</c:v>
                </c:pt>
                <c:pt idx="121">
                  <c:v>10.439211567787481</c:v>
                </c:pt>
                <c:pt idx="122">
                  <c:v>9.7355139242884157</c:v>
                </c:pt>
                <c:pt idx="123">
                  <c:v>9.034573270606959</c:v>
                </c:pt>
                <c:pt idx="124">
                  <c:v>8.3358560257627516</c:v>
                </c:pt>
                <c:pt idx="125">
                  <c:v>7.6388242073378896</c:v>
                </c:pt>
                <c:pt idx="126">
                  <c:v>6.9429373799101555</c:v>
                </c:pt>
                <c:pt idx="127">
                  <c:v>6.2476524491255621</c:v>
                </c:pt>
                <c:pt idx="128">
                  <c:v>5.5524218155236449</c:v>
                </c:pt>
                <c:pt idx="129">
                  <c:v>4.8566903880266112</c:v>
                </c:pt>
                <c:pt idx="130">
                  <c:v>4.159891940828027</c:v>
                </c:pt>
                <c:pt idx="131">
                  <c:v>3.4614452892318748</c:v>
                </c:pt>
                <c:pt idx="132">
                  <c:v>2.7607507650531451</c:v>
                </c:pt>
                <c:pt idx="133">
                  <c:v>2.0571874913395498</c:v>
                </c:pt>
                <c:pt idx="134">
                  <c:v>1.3501119856989678</c:v>
                </c:pt>
                <c:pt idx="135">
                  <c:v>0.6388586529227287</c:v>
                </c:pt>
                <c:pt idx="136">
                  <c:v>-7.7257253079055399E-2</c:v>
                </c:pt>
                <c:pt idx="137">
                  <c:v>-0.79893363037432341</c:v>
                </c:pt>
                <c:pt idx="138">
                  <c:v>-1.5268719946109588</c:v>
                </c:pt>
                <c:pt idx="139">
                  <c:v>-2.261764065069245</c:v>
                </c:pt>
                <c:pt idx="140">
                  <c:v>-3.0042743950678825</c:v>
                </c:pt>
                <c:pt idx="141">
                  <c:v>-3.7550193726713648</c:v>
                </c:pt>
                <c:pt idx="142">
                  <c:v>-4.5145434569106211</c:v>
                </c:pt>
                <c:pt idx="143">
                  <c:v>-5.2832941652385461</c:v>
                </c:pt>
                <c:pt idx="144">
                  <c:v>-6.0615980241066945</c:v>
                </c:pt>
                <c:pt idx="145">
                  <c:v>-6.8496403267711585</c:v>
                </c:pt>
                <c:pt idx="146">
                  <c:v>-7.647451964210692</c:v>
                </c:pt>
                <c:pt idx="147">
                  <c:v>-8.4549066459614526</c:v>
                </c:pt>
                <c:pt idx="148">
                  <c:v>-9.2717313721548482</c:v>
                </c:pt>
                <c:pt idx="149">
                  <c:v>-10.097531992753661</c:v>
                </c:pt>
                <c:pt idx="150">
                  <c:v>-10.931834145488317</c:v>
                </c:pt>
                <c:pt idx="151">
                  <c:v>-11.774137982892299</c:v>
                </c:pt>
                <c:pt idx="152">
                  <c:v>-12.62398317616567</c:v>
                </c:pt>
                <c:pt idx="153">
                  <c:v>-13.48101906714599</c:v>
                </c:pt>
                <c:pt idx="154">
                  <c:v>-14.345073844337456</c:v>
                </c:pt>
                <c:pt idx="155">
                  <c:v>-15.216216441938723</c:v>
                </c:pt>
                <c:pt idx="156">
                  <c:v>-16.094805528012312</c:v>
                </c:pt>
                <c:pt idx="157">
                  <c:v>-16.981521311433308</c:v>
                </c:pt>
                <c:pt idx="158">
                  <c:v>-17.877377684514279</c:v>
                </c:pt>
                <c:pt idx="159">
                  <c:v>-18.783714114016782</c:v>
                </c:pt>
                <c:pt idx="160">
                  <c:v>-19.702168423447173</c:v>
                </c:pt>
                <c:pt idx="161">
                  <c:v>-20.634632998132574</c:v>
                </c:pt>
                <c:pt idx="162">
                  <c:v>-21.583197928752643</c:v>
                </c:pt>
                <c:pt idx="163">
                  <c:v>-22.550085214180807</c:v>
                </c:pt>
                <c:pt idx="164">
                  <c:v>-23.537578436061711</c:v>
                </c:pt>
                <c:pt idx="165">
                  <c:v>-24.547952351953629</c:v>
                </c:pt>
                <c:pt idx="166">
                  <c:v>-25.583406648761752</c:v>
                </c:pt>
                <c:pt idx="167">
                  <c:v>-26.646007631647024</c:v>
                </c:pt>
                <c:pt idx="168">
                  <c:v>-27.737640860684415</c:v>
                </c:pt>
                <c:pt idx="169">
                  <c:v>-28.859976681160102</c:v>
                </c:pt>
                <c:pt idx="170">
                  <c:v>-30.014449281059129</c:v>
                </c:pt>
                <c:pt idx="171">
                  <c:v>-31.202248488370543</c:v>
                </c:pt>
                <c:pt idx="172">
                  <c:v>-32.424322193160172</c:v>
                </c:pt>
                <c:pt idx="173">
                  <c:v>-33.681386268673613</c:v>
                </c:pt>
                <c:pt idx="174">
                  <c:v>-34.973938361599153</c:v>
                </c:pt>
                <c:pt idx="175">
                  <c:v>-36.302272028828156</c:v>
                </c:pt>
                <c:pt idx="176">
                  <c:v>-37.66648840634182</c:v>
                </c:pt>
                <c:pt idx="177">
                  <c:v>-39.066503777180912</c:v>
                </c:pt>
                <c:pt idx="178">
                  <c:v>-40.502052836787115</c:v>
                </c:pt>
                <c:pt idx="179">
                  <c:v>-41.972688858694191</c:v>
                </c:pt>
                <c:pt idx="180">
                  <c:v>-43.477783063033463</c:v>
                </c:pt>
                <c:pt idx="181">
                  <c:v>-45.016526058308273</c:v>
                </c:pt>
                <c:pt idx="182">
                  <c:v>-46.587934137747204</c:v>
                </c:pt>
                <c:pt idx="183">
                  <c:v>-48.190862473250853</c:v>
                </c:pt>
                <c:pt idx="184">
                  <c:v>-49.82402601143378</c:v>
                </c:pt>
                <c:pt idx="185">
                  <c:v>-51.486027402326435</c:v>
                </c:pt>
                <c:pt idx="186">
                  <c:v>-53.175389906258481</c:v>
                </c:pt>
                <c:pt idx="187">
                  <c:v>-54.890592236176801</c:v>
                </c:pt>
                <c:pt idx="188">
                  <c:v>-56.630101916507783</c:v>
                </c:pt>
                <c:pt idx="189">
                  <c:v>-58.392404044216242</c:v>
                </c:pt>
                <c:pt idx="190">
                  <c:v>-60.176023228677039</c:v>
                </c:pt>
                <c:pt idx="191">
                  <c:v>-61.979537735456006</c:v>
                </c:pt>
                <c:pt idx="192">
                  <c:v>-63.801586166103768</c:v>
                </c:pt>
                <c:pt idx="193">
                  <c:v>-65.640868084644637</c:v>
                </c:pt>
                <c:pt idx="194">
                  <c:v>-67.49614065061661</c:v>
                </c:pt>
                <c:pt idx="195">
                  <c:v>-69.366213466707308</c:v>
                </c:pt>
                <c:pt idx="196">
                  <c:v>-71.249943554985052</c:v>
                </c:pt>
                <c:pt idx="197">
                  <c:v>-73.146231791335779</c:v>
                </c:pt>
                <c:pt idx="198">
                  <c:v>-75.054021440075161</c:v>
                </c:pt>
                <c:pt idx="199">
                  <c:v>-76.972298805958062</c:v>
                </c:pt>
                <c:pt idx="200">
                  <c:v>-78.900095567314764</c:v>
                </c:pt>
                <c:pt idx="201">
                  <c:v>-80.836492111692294</c:v>
                </c:pt>
                <c:pt idx="202">
                  <c:v>-82.780621146710047</c:v>
                </c:pt>
                <c:pt idx="203">
                  <c:v>-84.731670951902487</c:v>
                </c:pt>
                <c:pt idx="204">
                  <c:v>-86.688887809319795</c:v>
                </c:pt>
                <c:pt idx="205">
                  <c:v>-88.651577345742112</c:v>
                </c:pt>
                <c:pt idx="206">
                  <c:v>-90.619104697666472</c:v>
                </c:pt>
                <c:pt idx="207">
                  <c:v>-92.590893549735796</c:v>
                </c:pt>
                <c:pt idx="208">
                  <c:v>-94.566424190903177</c:v>
                </c:pt>
                <c:pt idx="209">
                  <c:v>-96.545230783355464</c:v>
                </c:pt>
                <c:pt idx="210">
                  <c:v>-98.52689805542694</c:v>
                </c:pt>
              </c:numCache>
            </c:numRef>
          </c:yVal>
          <c:smooth val="1"/>
          <c:extLst xmlns:c16r2="http://schemas.microsoft.com/office/drawing/2015/06/chart">
            <c:ext xmlns:c16="http://schemas.microsoft.com/office/drawing/2014/chart" uri="{C3380CC4-5D6E-409C-BE32-E72D297353CC}">
              <c16:uniqueId val="{00000000-042A-452A-95C5-5D6672919C70}"/>
            </c:ext>
          </c:extLst>
        </c:ser>
        <c:ser>
          <c:idx val="1"/>
          <c:order val="2"/>
          <c:tx>
            <c:v>Power Stage Gain</c:v>
          </c:tx>
          <c:spPr>
            <a:ln w="25400">
              <a:solidFill>
                <a:srgbClr val="000080"/>
              </a:solidFill>
              <a:prstDash val="solid"/>
            </a:ln>
          </c:spPr>
          <c:marker>
            <c:symbol val="none"/>
          </c:marker>
          <c:xVal>
            <c:numRef>
              <c:f>'Small Signal'!$L$2:$L$212</c:f>
              <c:numCache>
                <c:formatCode>General</c:formatCode>
                <c:ptCount val="211"/>
                <c:pt idx="0">
                  <c:v>1</c:v>
                </c:pt>
                <c:pt idx="1">
                  <c:v>1.0797751623277096</c:v>
                </c:pt>
                <c:pt idx="2">
                  <c:v>1.1659144011798317</c:v>
                </c:pt>
                <c:pt idx="3">
                  <c:v>1.2589254117941673</c:v>
                </c:pt>
                <c:pt idx="4">
                  <c:v>1.3593563908785258</c:v>
                </c:pt>
                <c:pt idx="5">
                  <c:v>1.4677992676220697</c:v>
                </c:pt>
                <c:pt idx="6">
                  <c:v>1.5848931924611136</c:v>
                </c:pt>
                <c:pt idx="7">
                  <c:v>1.7113283041617808</c:v>
                </c:pt>
                <c:pt idx="8">
                  <c:v>1.8478497974222912</c:v>
                </c:pt>
                <c:pt idx="9">
                  <c:v>1.9952623149688797</c:v>
                </c:pt>
                <c:pt idx="10">
                  <c:v>2.1544346900318838</c:v>
                </c:pt>
                <c:pt idx="11">
                  <c:v>2.3263050671536263</c:v>
                </c:pt>
                <c:pt idx="12">
                  <c:v>2.5118864315095806</c:v>
                </c:pt>
                <c:pt idx="13">
                  <c:v>2.7122725793320286</c:v>
                </c:pt>
                <c:pt idx="14">
                  <c:v>2.9286445646252366</c:v>
                </c:pt>
                <c:pt idx="15">
                  <c:v>3.1622776601683795</c:v>
                </c:pt>
                <c:pt idx="16">
                  <c:v>3.4145488738336023</c:v>
                </c:pt>
                <c:pt idx="17">
                  <c:v>3.6869450645195756</c:v>
                </c:pt>
                <c:pt idx="18">
                  <c:v>3.9810717055349727</c:v>
                </c:pt>
                <c:pt idx="19">
                  <c:v>4.2986623470822769</c:v>
                </c:pt>
                <c:pt idx="20">
                  <c:v>4.6415888336127793</c:v>
                </c:pt>
                <c:pt idx="21">
                  <c:v>5.0118723362727229</c:v>
                </c:pt>
                <c:pt idx="22">
                  <c:v>5.4116952654646369</c:v>
                </c:pt>
                <c:pt idx="23">
                  <c:v>5.8434141337351777</c:v>
                </c:pt>
                <c:pt idx="24">
                  <c:v>6.3095734448019343</c:v>
                </c:pt>
                <c:pt idx="25">
                  <c:v>6.812920690579614</c:v>
                </c:pt>
                <c:pt idx="26">
                  <c:v>7.3564225445964153</c:v>
                </c:pt>
                <c:pt idx="27">
                  <c:v>7.9432823472428176</c:v>
                </c:pt>
                <c:pt idx="28">
                  <c:v>8.5769589859089415</c:v>
                </c:pt>
                <c:pt idx="29">
                  <c:v>9.2611872812879383</c:v>
                </c:pt>
                <c:pt idx="30">
                  <c:v>10</c:v>
                </c:pt>
                <c:pt idx="31">
                  <c:v>10.797751623277103</c:v>
                </c:pt>
                <c:pt idx="32">
                  <c:v>11.659144011798322</c:v>
                </c:pt>
                <c:pt idx="33">
                  <c:v>12.58925411794168</c:v>
                </c:pt>
                <c:pt idx="34">
                  <c:v>13.593563908785256</c:v>
                </c:pt>
                <c:pt idx="35">
                  <c:v>14.677992676220699</c:v>
                </c:pt>
                <c:pt idx="36">
                  <c:v>15.848931924611136</c:v>
                </c:pt>
                <c:pt idx="37">
                  <c:v>17.113283041617812</c:v>
                </c:pt>
                <c:pt idx="38">
                  <c:v>18.478497974222911</c:v>
                </c:pt>
                <c:pt idx="39">
                  <c:v>19.952623149688804</c:v>
                </c:pt>
                <c:pt idx="40">
                  <c:v>21.544346900318843</c:v>
                </c:pt>
                <c:pt idx="41">
                  <c:v>23.263050671536273</c:v>
                </c:pt>
                <c:pt idx="42">
                  <c:v>25.118864315095799</c:v>
                </c:pt>
                <c:pt idx="43">
                  <c:v>27.122725793320289</c:v>
                </c:pt>
                <c:pt idx="44">
                  <c:v>29.286445646252368</c:v>
                </c:pt>
                <c:pt idx="45">
                  <c:v>31.622776601683803</c:v>
                </c:pt>
                <c:pt idx="46">
                  <c:v>34.145488738336034</c:v>
                </c:pt>
                <c:pt idx="47">
                  <c:v>36.869450645195769</c:v>
                </c:pt>
                <c:pt idx="48">
                  <c:v>39.810717055349755</c:v>
                </c:pt>
                <c:pt idx="49">
                  <c:v>42.986623470822771</c:v>
                </c:pt>
                <c:pt idx="50">
                  <c:v>46.415888336127807</c:v>
                </c:pt>
                <c:pt idx="51">
                  <c:v>50.118723362727238</c:v>
                </c:pt>
                <c:pt idx="52">
                  <c:v>54.11695265464639</c:v>
                </c:pt>
                <c:pt idx="53">
                  <c:v>58.434141337351775</c:v>
                </c:pt>
                <c:pt idx="54">
                  <c:v>63.095734448019364</c:v>
                </c:pt>
                <c:pt idx="55">
                  <c:v>68.129206905796124</c:v>
                </c:pt>
                <c:pt idx="56">
                  <c:v>73.564225445964155</c:v>
                </c:pt>
                <c:pt idx="57">
                  <c:v>79.432823472428197</c:v>
                </c:pt>
                <c:pt idx="58">
                  <c:v>85.769589859089479</c:v>
                </c:pt>
                <c:pt idx="59">
                  <c:v>92.611872812879369</c:v>
                </c:pt>
                <c:pt idx="60">
                  <c:v>100</c:v>
                </c:pt>
                <c:pt idx="61">
                  <c:v>107.97751623277095</c:v>
                </c:pt>
                <c:pt idx="62">
                  <c:v>116.59144011798328</c:v>
                </c:pt>
                <c:pt idx="63">
                  <c:v>125.89254117941677</c:v>
                </c:pt>
                <c:pt idx="64">
                  <c:v>135.93563908785265</c:v>
                </c:pt>
                <c:pt idx="65">
                  <c:v>146.77992676220697</c:v>
                </c:pt>
                <c:pt idx="66">
                  <c:v>158.48931924611153</c:v>
                </c:pt>
                <c:pt idx="67">
                  <c:v>171.13283041617817</c:v>
                </c:pt>
                <c:pt idx="68">
                  <c:v>184.7849797422291</c:v>
                </c:pt>
                <c:pt idx="69">
                  <c:v>199.52623149688802</c:v>
                </c:pt>
                <c:pt idx="70">
                  <c:v>215.44346900318848</c:v>
                </c:pt>
                <c:pt idx="71">
                  <c:v>232.6305067153628</c:v>
                </c:pt>
                <c:pt idx="72">
                  <c:v>251.18864315095806</c:v>
                </c:pt>
                <c:pt idx="73">
                  <c:v>271.22725793320296</c:v>
                </c:pt>
                <c:pt idx="74">
                  <c:v>292.86445646252383</c:v>
                </c:pt>
                <c:pt idx="75">
                  <c:v>316.22776601683825</c:v>
                </c:pt>
                <c:pt idx="76">
                  <c:v>341.4548873833603</c:v>
                </c:pt>
                <c:pt idx="77">
                  <c:v>368.69450645195781</c:v>
                </c:pt>
                <c:pt idx="78">
                  <c:v>398.10717055349761</c:v>
                </c:pt>
                <c:pt idx="79">
                  <c:v>429.86623470822781</c:v>
                </c:pt>
                <c:pt idx="80">
                  <c:v>464.15888336127819</c:v>
                </c:pt>
                <c:pt idx="81">
                  <c:v>501.18723362727269</c:v>
                </c:pt>
                <c:pt idx="82">
                  <c:v>541.16952654646434</c:v>
                </c:pt>
                <c:pt idx="83">
                  <c:v>584.34141337351787</c:v>
                </c:pt>
                <c:pt idx="84">
                  <c:v>630.95734448019323</c:v>
                </c:pt>
                <c:pt idx="85">
                  <c:v>681.29206905796195</c:v>
                </c:pt>
                <c:pt idx="86">
                  <c:v>735.64225445964166</c:v>
                </c:pt>
                <c:pt idx="87">
                  <c:v>794.32823472428208</c:v>
                </c:pt>
                <c:pt idx="88">
                  <c:v>857.69589859089422</c:v>
                </c:pt>
                <c:pt idx="89">
                  <c:v>926.11872812879471</c:v>
                </c:pt>
                <c:pt idx="90">
                  <c:v>1000</c:v>
                </c:pt>
                <c:pt idx="91">
                  <c:v>1079.7751623277097</c:v>
                </c:pt>
                <c:pt idx="92">
                  <c:v>1165.914401179833</c:v>
                </c:pt>
                <c:pt idx="93">
                  <c:v>1258.925411794168</c:v>
                </c:pt>
                <c:pt idx="94">
                  <c:v>1359.3563908785268</c:v>
                </c:pt>
                <c:pt idx="95">
                  <c:v>1467.7992676220699</c:v>
                </c:pt>
                <c:pt idx="96">
                  <c:v>1584.8931924611156</c:v>
                </c:pt>
                <c:pt idx="97">
                  <c:v>1711.3283041617822</c:v>
                </c:pt>
                <c:pt idx="98">
                  <c:v>1847.8497974222912</c:v>
                </c:pt>
                <c:pt idx="99">
                  <c:v>1995.2623149688804</c:v>
                </c:pt>
                <c:pt idx="100">
                  <c:v>2154.4346900318851</c:v>
                </c:pt>
                <c:pt idx="101">
                  <c:v>2326.3050671536284</c:v>
                </c:pt>
                <c:pt idx="102">
                  <c:v>2511.8864315095811</c:v>
                </c:pt>
                <c:pt idx="103">
                  <c:v>2712.2725793320301</c:v>
                </c:pt>
                <c:pt idx="104">
                  <c:v>2928.6445646252391</c:v>
                </c:pt>
                <c:pt idx="105">
                  <c:v>3162.2776601683804</c:v>
                </c:pt>
                <c:pt idx="106">
                  <c:v>3414.5488738336035</c:v>
                </c:pt>
                <c:pt idx="107">
                  <c:v>3686.9450645195784</c:v>
                </c:pt>
                <c:pt idx="108">
                  <c:v>3981.0717055349769</c:v>
                </c:pt>
                <c:pt idx="109">
                  <c:v>4298.6623470822833</c:v>
                </c:pt>
                <c:pt idx="110">
                  <c:v>4641.5888336127782</c:v>
                </c:pt>
                <c:pt idx="111">
                  <c:v>5011.8723362727324</c:v>
                </c:pt>
                <c:pt idx="112">
                  <c:v>5411.6952654646393</c:v>
                </c:pt>
                <c:pt idx="113">
                  <c:v>5843.4141337351803</c:v>
                </c:pt>
                <c:pt idx="114">
                  <c:v>6309.5734448019384</c:v>
                </c:pt>
                <c:pt idx="115">
                  <c:v>6812.9206905796218</c:v>
                </c:pt>
                <c:pt idx="116">
                  <c:v>7356.4225445964248</c:v>
                </c:pt>
                <c:pt idx="117">
                  <c:v>7943.2823472428154</c:v>
                </c:pt>
                <c:pt idx="118">
                  <c:v>8576.9589859089447</c:v>
                </c:pt>
                <c:pt idx="119">
                  <c:v>9261.187281287941</c:v>
                </c:pt>
                <c:pt idx="120">
                  <c:v>10000</c:v>
                </c:pt>
                <c:pt idx="121">
                  <c:v>10797.751623277109</c:v>
                </c:pt>
                <c:pt idx="122">
                  <c:v>11659.144011798313</c:v>
                </c:pt>
                <c:pt idx="123">
                  <c:v>12589.254117941671</c:v>
                </c:pt>
                <c:pt idx="124">
                  <c:v>13593.563908785283</c:v>
                </c:pt>
                <c:pt idx="125">
                  <c:v>14677.992676220729</c:v>
                </c:pt>
                <c:pt idx="126">
                  <c:v>15848.931924611146</c:v>
                </c:pt>
                <c:pt idx="127">
                  <c:v>17113.283041617826</c:v>
                </c:pt>
                <c:pt idx="128">
                  <c:v>18478.497974222933</c:v>
                </c:pt>
                <c:pt idx="129">
                  <c:v>19952.623149688792</c:v>
                </c:pt>
                <c:pt idx="130">
                  <c:v>21544.346900318837</c:v>
                </c:pt>
                <c:pt idx="131">
                  <c:v>23263.050671536268</c:v>
                </c:pt>
                <c:pt idx="132">
                  <c:v>25118.86431509586</c:v>
                </c:pt>
                <c:pt idx="133">
                  <c:v>27122.725793320307</c:v>
                </c:pt>
                <c:pt idx="134">
                  <c:v>29286.445646252399</c:v>
                </c:pt>
                <c:pt idx="135">
                  <c:v>31622.77660168384</c:v>
                </c:pt>
                <c:pt idx="136">
                  <c:v>34145.488738336011</c:v>
                </c:pt>
                <c:pt idx="137">
                  <c:v>36869.450645195764</c:v>
                </c:pt>
                <c:pt idx="138">
                  <c:v>39810.717055349742</c:v>
                </c:pt>
                <c:pt idx="139">
                  <c:v>42986.62347082288</c:v>
                </c:pt>
                <c:pt idx="140">
                  <c:v>46415.888336127835</c:v>
                </c:pt>
                <c:pt idx="141">
                  <c:v>50118.723362727294</c:v>
                </c:pt>
                <c:pt idx="142">
                  <c:v>54116.952654646455</c:v>
                </c:pt>
                <c:pt idx="143">
                  <c:v>58434.141337351764</c:v>
                </c:pt>
                <c:pt idx="144">
                  <c:v>63095.734448019342</c:v>
                </c:pt>
                <c:pt idx="145">
                  <c:v>68129.206905796163</c:v>
                </c:pt>
                <c:pt idx="146">
                  <c:v>73564.225445964199</c:v>
                </c:pt>
                <c:pt idx="147">
                  <c:v>79432.823472428237</c:v>
                </c:pt>
                <c:pt idx="148">
                  <c:v>85769.589859089538</c:v>
                </c:pt>
                <c:pt idx="149">
                  <c:v>92611.872812879505</c:v>
                </c:pt>
                <c:pt idx="150">
                  <c:v>100000</c:v>
                </c:pt>
                <c:pt idx="151">
                  <c:v>107977.51623277101</c:v>
                </c:pt>
                <c:pt idx="152">
                  <c:v>116591.44011798326</c:v>
                </c:pt>
                <c:pt idx="153">
                  <c:v>125892.54117941685</c:v>
                </c:pt>
                <c:pt idx="154">
                  <c:v>135935.63908785273</c:v>
                </c:pt>
                <c:pt idx="155">
                  <c:v>146779.92676220718</c:v>
                </c:pt>
                <c:pt idx="156">
                  <c:v>158489.31924611164</c:v>
                </c:pt>
                <c:pt idx="157">
                  <c:v>171132.83041617845</c:v>
                </c:pt>
                <c:pt idx="158">
                  <c:v>184784.97974222922</c:v>
                </c:pt>
                <c:pt idx="159">
                  <c:v>199526.23149688813</c:v>
                </c:pt>
                <c:pt idx="160">
                  <c:v>215443.46900318863</c:v>
                </c:pt>
                <c:pt idx="161">
                  <c:v>232630.50671536254</c:v>
                </c:pt>
                <c:pt idx="162">
                  <c:v>251188.64315095844</c:v>
                </c:pt>
                <c:pt idx="163">
                  <c:v>271227.25793320336</c:v>
                </c:pt>
                <c:pt idx="164">
                  <c:v>292864.45646252431</c:v>
                </c:pt>
                <c:pt idx="165">
                  <c:v>316227.7660168382</c:v>
                </c:pt>
                <c:pt idx="166">
                  <c:v>341454.88738336053</c:v>
                </c:pt>
                <c:pt idx="167">
                  <c:v>368694.50645195803</c:v>
                </c:pt>
                <c:pt idx="168">
                  <c:v>398107.17055349716</c:v>
                </c:pt>
                <c:pt idx="169">
                  <c:v>429866.2347082285</c:v>
                </c:pt>
                <c:pt idx="170">
                  <c:v>464158.88336127886</c:v>
                </c:pt>
                <c:pt idx="171">
                  <c:v>501187.23362727347</c:v>
                </c:pt>
                <c:pt idx="172">
                  <c:v>541169.52654646419</c:v>
                </c:pt>
                <c:pt idx="173">
                  <c:v>584341.41337351827</c:v>
                </c:pt>
                <c:pt idx="174">
                  <c:v>630957.34448019415</c:v>
                </c:pt>
                <c:pt idx="175">
                  <c:v>681292.06905796123</c:v>
                </c:pt>
                <c:pt idx="176">
                  <c:v>735642.25445964152</c:v>
                </c:pt>
                <c:pt idx="177">
                  <c:v>794328.23472428333</c:v>
                </c:pt>
                <c:pt idx="178">
                  <c:v>857695.89859089628</c:v>
                </c:pt>
                <c:pt idx="179">
                  <c:v>926118.72812879446</c:v>
                </c:pt>
                <c:pt idx="180">
                  <c:v>1000000</c:v>
                </c:pt>
                <c:pt idx="181">
                  <c:v>1079775.1623277115</c:v>
                </c:pt>
                <c:pt idx="182">
                  <c:v>1165914.4011798317</c:v>
                </c:pt>
                <c:pt idx="183">
                  <c:v>1258925.4117941677</c:v>
                </c:pt>
                <c:pt idx="184">
                  <c:v>1359356.3908785288</c:v>
                </c:pt>
                <c:pt idx="185">
                  <c:v>1467799.2676220734</c:v>
                </c:pt>
                <c:pt idx="186">
                  <c:v>1584893.1924611153</c:v>
                </c:pt>
                <c:pt idx="187">
                  <c:v>1711328.3041617833</c:v>
                </c:pt>
                <c:pt idx="188">
                  <c:v>1847849.797422294</c:v>
                </c:pt>
                <c:pt idx="189">
                  <c:v>1995262.31496888</c:v>
                </c:pt>
                <c:pt idx="190">
                  <c:v>2154434.6900318847</c:v>
                </c:pt>
                <c:pt idx="191">
                  <c:v>2326305.067153628</c:v>
                </c:pt>
                <c:pt idx="192">
                  <c:v>2511886.431509587</c:v>
                </c:pt>
                <c:pt idx="193">
                  <c:v>2712272.5793320318</c:v>
                </c:pt>
                <c:pt idx="194">
                  <c:v>2928644.5646252413</c:v>
                </c:pt>
                <c:pt idx="195">
                  <c:v>3162277.6601683851</c:v>
                </c:pt>
                <c:pt idx="196">
                  <c:v>3414548.8738336028</c:v>
                </c:pt>
                <c:pt idx="197">
                  <c:v>3686945.0645195777</c:v>
                </c:pt>
                <c:pt idx="198">
                  <c:v>3981071.705534976</c:v>
                </c:pt>
                <c:pt idx="199">
                  <c:v>4298662.3470822899</c:v>
                </c:pt>
                <c:pt idx="200">
                  <c:v>4641588.8336127857</c:v>
                </c:pt>
                <c:pt idx="201">
                  <c:v>5011872.3362727314</c:v>
                </c:pt>
                <c:pt idx="202">
                  <c:v>5411695.2654646477</c:v>
                </c:pt>
                <c:pt idx="203">
                  <c:v>5843414.133735179</c:v>
                </c:pt>
                <c:pt idx="204">
                  <c:v>6309573.4448019378</c:v>
                </c:pt>
                <c:pt idx="205">
                  <c:v>6812920.6905796202</c:v>
                </c:pt>
                <c:pt idx="206">
                  <c:v>7356422.5445964225</c:v>
                </c:pt>
                <c:pt idx="207">
                  <c:v>7943282.3472428275</c:v>
                </c:pt>
                <c:pt idx="208">
                  <c:v>8576958.9859089572</c:v>
                </c:pt>
                <c:pt idx="209">
                  <c:v>9261187.2812879551</c:v>
                </c:pt>
                <c:pt idx="210">
                  <c:v>10000000</c:v>
                </c:pt>
              </c:numCache>
            </c:numRef>
          </c:xVal>
          <c:yVal>
            <c:numRef>
              <c:f>'Small Signal'!$N$2:$N$212</c:f>
              <c:numCache>
                <c:formatCode>General</c:formatCode>
                <c:ptCount val="21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numCache>
            </c:numRef>
          </c:yVal>
          <c:smooth val="1"/>
          <c:extLst xmlns:c16r2="http://schemas.microsoft.com/office/drawing/2015/06/chart">
            <c:ext xmlns:c16="http://schemas.microsoft.com/office/drawing/2014/chart" uri="{C3380CC4-5D6E-409C-BE32-E72D297353CC}">
              <c16:uniqueId val="{00000001-042A-452A-95C5-5D6672919C70}"/>
            </c:ext>
          </c:extLst>
        </c:ser>
        <c:ser>
          <c:idx val="0"/>
          <c:order val="4"/>
          <c:tx>
            <c:v>Compensation Gain</c:v>
          </c:tx>
          <c:spPr>
            <a:ln w="25400">
              <a:solidFill>
                <a:srgbClr val="FF0000"/>
              </a:solidFill>
              <a:prstDash val="solid"/>
            </a:ln>
          </c:spPr>
          <c:marker>
            <c:symbol val="none"/>
          </c:marker>
          <c:xVal>
            <c:numRef>
              <c:f>'Small Signal'!$L$2:$L$212</c:f>
              <c:numCache>
                <c:formatCode>General</c:formatCode>
                <c:ptCount val="211"/>
                <c:pt idx="0">
                  <c:v>1</c:v>
                </c:pt>
                <c:pt idx="1">
                  <c:v>1.0797751623277096</c:v>
                </c:pt>
                <c:pt idx="2">
                  <c:v>1.1659144011798317</c:v>
                </c:pt>
                <c:pt idx="3">
                  <c:v>1.2589254117941673</c:v>
                </c:pt>
                <c:pt idx="4">
                  <c:v>1.3593563908785258</c:v>
                </c:pt>
                <c:pt idx="5">
                  <c:v>1.4677992676220697</c:v>
                </c:pt>
                <c:pt idx="6">
                  <c:v>1.5848931924611136</c:v>
                </c:pt>
                <c:pt idx="7">
                  <c:v>1.7113283041617808</c:v>
                </c:pt>
                <c:pt idx="8">
                  <c:v>1.8478497974222912</c:v>
                </c:pt>
                <c:pt idx="9">
                  <c:v>1.9952623149688797</c:v>
                </c:pt>
                <c:pt idx="10">
                  <c:v>2.1544346900318838</c:v>
                </c:pt>
                <c:pt idx="11">
                  <c:v>2.3263050671536263</c:v>
                </c:pt>
                <c:pt idx="12">
                  <c:v>2.5118864315095806</c:v>
                </c:pt>
                <c:pt idx="13">
                  <c:v>2.7122725793320286</c:v>
                </c:pt>
                <c:pt idx="14">
                  <c:v>2.9286445646252366</c:v>
                </c:pt>
                <c:pt idx="15">
                  <c:v>3.1622776601683795</c:v>
                </c:pt>
                <c:pt idx="16">
                  <c:v>3.4145488738336023</c:v>
                </c:pt>
                <c:pt idx="17">
                  <c:v>3.6869450645195756</c:v>
                </c:pt>
                <c:pt idx="18">
                  <c:v>3.9810717055349727</c:v>
                </c:pt>
                <c:pt idx="19">
                  <c:v>4.2986623470822769</c:v>
                </c:pt>
                <c:pt idx="20">
                  <c:v>4.6415888336127793</c:v>
                </c:pt>
                <c:pt idx="21">
                  <c:v>5.0118723362727229</c:v>
                </c:pt>
                <c:pt idx="22">
                  <c:v>5.4116952654646369</c:v>
                </c:pt>
                <c:pt idx="23">
                  <c:v>5.8434141337351777</c:v>
                </c:pt>
                <c:pt idx="24">
                  <c:v>6.3095734448019343</c:v>
                </c:pt>
                <c:pt idx="25">
                  <c:v>6.812920690579614</c:v>
                </c:pt>
                <c:pt idx="26">
                  <c:v>7.3564225445964153</c:v>
                </c:pt>
                <c:pt idx="27">
                  <c:v>7.9432823472428176</c:v>
                </c:pt>
                <c:pt idx="28">
                  <c:v>8.5769589859089415</c:v>
                </c:pt>
                <c:pt idx="29">
                  <c:v>9.2611872812879383</c:v>
                </c:pt>
                <c:pt idx="30">
                  <c:v>10</c:v>
                </c:pt>
                <c:pt idx="31">
                  <c:v>10.797751623277103</c:v>
                </c:pt>
                <c:pt idx="32">
                  <c:v>11.659144011798322</c:v>
                </c:pt>
                <c:pt idx="33">
                  <c:v>12.58925411794168</c:v>
                </c:pt>
                <c:pt idx="34">
                  <c:v>13.593563908785256</c:v>
                </c:pt>
                <c:pt idx="35">
                  <c:v>14.677992676220699</c:v>
                </c:pt>
                <c:pt idx="36">
                  <c:v>15.848931924611136</c:v>
                </c:pt>
                <c:pt idx="37">
                  <c:v>17.113283041617812</c:v>
                </c:pt>
                <c:pt idx="38">
                  <c:v>18.478497974222911</c:v>
                </c:pt>
                <c:pt idx="39">
                  <c:v>19.952623149688804</c:v>
                </c:pt>
                <c:pt idx="40">
                  <c:v>21.544346900318843</c:v>
                </c:pt>
                <c:pt idx="41">
                  <c:v>23.263050671536273</c:v>
                </c:pt>
                <c:pt idx="42">
                  <c:v>25.118864315095799</c:v>
                </c:pt>
                <c:pt idx="43">
                  <c:v>27.122725793320289</c:v>
                </c:pt>
                <c:pt idx="44">
                  <c:v>29.286445646252368</c:v>
                </c:pt>
                <c:pt idx="45">
                  <c:v>31.622776601683803</c:v>
                </c:pt>
                <c:pt idx="46">
                  <c:v>34.145488738336034</c:v>
                </c:pt>
                <c:pt idx="47">
                  <c:v>36.869450645195769</c:v>
                </c:pt>
                <c:pt idx="48">
                  <c:v>39.810717055349755</c:v>
                </c:pt>
                <c:pt idx="49">
                  <c:v>42.986623470822771</c:v>
                </c:pt>
                <c:pt idx="50">
                  <c:v>46.415888336127807</c:v>
                </c:pt>
                <c:pt idx="51">
                  <c:v>50.118723362727238</c:v>
                </c:pt>
                <c:pt idx="52">
                  <c:v>54.11695265464639</c:v>
                </c:pt>
                <c:pt idx="53">
                  <c:v>58.434141337351775</c:v>
                </c:pt>
                <c:pt idx="54">
                  <c:v>63.095734448019364</c:v>
                </c:pt>
                <c:pt idx="55">
                  <c:v>68.129206905796124</c:v>
                </c:pt>
                <c:pt idx="56">
                  <c:v>73.564225445964155</c:v>
                </c:pt>
                <c:pt idx="57">
                  <c:v>79.432823472428197</c:v>
                </c:pt>
                <c:pt idx="58">
                  <c:v>85.769589859089479</c:v>
                </c:pt>
                <c:pt idx="59">
                  <c:v>92.611872812879369</c:v>
                </c:pt>
                <c:pt idx="60">
                  <c:v>100</c:v>
                </c:pt>
                <c:pt idx="61">
                  <c:v>107.97751623277095</c:v>
                </c:pt>
                <c:pt idx="62">
                  <c:v>116.59144011798328</c:v>
                </c:pt>
                <c:pt idx="63">
                  <c:v>125.89254117941677</c:v>
                </c:pt>
                <c:pt idx="64">
                  <c:v>135.93563908785265</c:v>
                </c:pt>
                <c:pt idx="65">
                  <c:v>146.77992676220697</c:v>
                </c:pt>
                <c:pt idx="66">
                  <c:v>158.48931924611153</c:v>
                </c:pt>
                <c:pt idx="67">
                  <c:v>171.13283041617817</c:v>
                </c:pt>
                <c:pt idx="68">
                  <c:v>184.7849797422291</c:v>
                </c:pt>
                <c:pt idx="69">
                  <c:v>199.52623149688802</c:v>
                </c:pt>
                <c:pt idx="70">
                  <c:v>215.44346900318848</c:v>
                </c:pt>
                <c:pt idx="71">
                  <c:v>232.6305067153628</c:v>
                </c:pt>
                <c:pt idx="72">
                  <c:v>251.18864315095806</c:v>
                </c:pt>
                <c:pt idx="73">
                  <c:v>271.22725793320296</c:v>
                </c:pt>
                <c:pt idx="74">
                  <c:v>292.86445646252383</c:v>
                </c:pt>
                <c:pt idx="75">
                  <c:v>316.22776601683825</c:v>
                </c:pt>
                <c:pt idx="76">
                  <c:v>341.4548873833603</c:v>
                </c:pt>
                <c:pt idx="77">
                  <c:v>368.69450645195781</c:v>
                </c:pt>
                <c:pt idx="78">
                  <c:v>398.10717055349761</c:v>
                </c:pt>
                <c:pt idx="79">
                  <c:v>429.86623470822781</c:v>
                </c:pt>
                <c:pt idx="80">
                  <c:v>464.15888336127819</c:v>
                </c:pt>
                <c:pt idx="81">
                  <c:v>501.18723362727269</c:v>
                </c:pt>
                <c:pt idx="82">
                  <c:v>541.16952654646434</c:v>
                </c:pt>
                <c:pt idx="83">
                  <c:v>584.34141337351787</c:v>
                </c:pt>
                <c:pt idx="84">
                  <c:v>630.95734448019323</c:v>
                </c:pt>
                <c:pt idx="85">
                  <c:v>681.29206905796195</c:v>
                </c:pt>
                <c:pt idx="86">
                  <c:v>735.64225445964166</c:v>
                </c:pt>
                <c:pt idx="87">
                  <c:v>794.32823472428208</c:v>
                </c:pt>
                <c:pt idx="88">
                  <c:v>857.69589859089422</c:v>
                </c:pt>
                <c:pt idx="89">
                  <c:v>926.11872812879471</c:v>
                </c:pt>
                <c:pt idx="90">
                  <c:v>1000</c:v>
                </c:pt>
                <c:pt idx="91">
                  <c:v>1079.7751623277097</c:v>
                </c:pt>
                <c:pt idx="92">
                  <c:v>1165.914401179833</c:v>
                </c:pt>
                <c:pt idx="93">
                  <c:v>1258.925411794168</c:v>
                </c:pt>
                <c:pt idx="94">
                  <c:v>1359.3563908785268</c:v>
                </c:pt>
                <c:pt idx="95">
                  <c:v>1467.7992676220699</c:v>
                </c:pt>
                <c:pt idx="96">
                  <c:v>1584.8931924611156</c:v>
                </c:pt>
                <c:pt idx="97">
                  <c:v>1711.3283041617822</c:v>
                </c:pt>
                <c:pt idx="98">
                  <c:v>1847.8497974222912</c:v>
                </c:pt>
                <c:pt idx="99">
                  <c:v>1995.2623149688804</c:v>
                </c:pt>
                <c:pt idx="100">
                  <c:v>2154.4346900318851</c:v>
                </c:pt>
                <c:pt idx="101">
                  <c:v>2326.3050671536284</c:v>
                </c:pt>
                <c:pt idx="102">
                  <c:v>2511.8864315095811</c:v>
                </c:pt>
                <c:pt idx="103">
                  <c:v>2712.2725793320301</c:v>
                </c:pt>
                <c:pt idx="104">
                  <c:v>2928.6445646252391</c:v>
                </c:pt>
                <c:pt idx="105">
                  <c:v>3162.2776601683804</c:v>
                </c:pt>
                <c:pt idx="106">
                  <c:v>3414.5488738336035</c:v>
                </c:pt>
                <c:pt idx="107">
                  <c:v>3686.9450645195784</c:v>
                </c:pt>
                <c:pt idx="108">
                  <c:v>3981.0717055349769</c:v>
                </c:pt>
                <c:pt idx="109">
                  <c:v>4298.6623470822833</c:v>
                </c:pt>
                <c:pt idx="110">
                  <c:v>4641.5888336127782</c:v>
                </c:pt>
                <c:pt idx="111">
                  <c:v>5011.8723362727324</c:v>
                </c:pt>
                <c:pt idx="112">
                  <c:v>5411.6952654646393</c:v>
                </c:pt>
                <c:pt idx="113">
                  <c:v>5843.4141337351803</c:v>
                </c:pt>
                <c:pt idx="114">
                  <c:v>6309.5734448019384</c:v>
                </c:pt>
                <c:pt idx="115">
                  <c:v>6812.9206905796218</c:v>
                </c:pt>
                <c:pt idx="116">
                  <c:v>7356.4225445964248</c:v>
                </c:pt>
                <c:pt idx="117">
                  <c:v>7943.2823472428154</c:v>
                </c:pt>
                <c:pt idx="118">
                  <c:v>8576.9589859089447</c:v>
                </c:pt>
                <c:pt idx="119">
                  <c:v>9261.187281287941</c:v>
                </c:pt>
                <c:pt idx="120">
                  <c:v>10000</c:v>
                </c:pt>
                <c:pt idx="121">
                  <c:v>10797.751623277109</c:v>
                </c:pt>
                <c:pt idx="122">
                  <c:v>11659.144011798313</c:v>
                </c:pt>
                <c:pt idx="123">
                  <c:v>12589.254117941671</c:v>
                </c:pt>
                <c:pt idx="124">
                  <c:v>13593.563908785283</c:v>
                </c:pt>
                <c:pt idx="125">
                  <c:v>14677.992676220729</c:v>
                </c:pt>
                <c:pt idx="126">
                  <c:v>15848.931924611146</c:v>
                </c:pt>
                <c:pt idx="127">
                  <c:v>17113.283041617826</c:v>
                </c:pt>
                <c:pt idx="128">
                  <c:v>18478.497974222933</c:v>
                </c:pt>
                <c:pt idx="129">
                  <c:v>19952.623149688792</c:v>
                </c:pt>
                <c:pt idx="130">
                  <c:v>21544.346900318837</c:v>
                </c:pt>
                <c:pt idx="131">
                  <c:v>23263.050671536268</c:v>
                </c:pt>
                <c:pt idx="132">
                  <c:v>25118.86431509586</c:v>
                </c:pt>
                <c:pt idx="133">
                  <c:v>27122.725793320307</c:v>
                </c:pt>
                <c:pt idx="134">
                  <c:v>29286.445646252399</c:v>
                </c:pt>
                <c:pt idx="135">
                  <c:v>31622.77660168384</c:v>
                </c:pt>
                <c:pt idx="136">
                  <c:v>34145.488738336011</c:v>
                </c:pt>
                <c:pt idx="137">
                  <c:v>36869.450645195764</c:v>
                </c:pt>
                <c:pt idx="138">
                  <c:v>39810.717055349742</c:v>
                </c:pt>
                <c:pt idx="139">
                  <c:v>42986.62347082288</c:v>
                </c:pt>
                <c:pt idx="140">
                  <c:v>46415.888336127835</c:v>
                </c:pt>
                <c:pt idx="141">
                  <c:v>50118.723362727294</c:v>
                </c:pt>
                <c:pt idx="142">
                  <c:v>54116.952654646455</c:v>
                </c:pt>
                <c:pt idx="143">
                  <c:v>58434.141337351764</c:v>
                </c:pt>
                <c:pt idx="144">
                  <c:v>63095.734448019342</c:v>
                </c:pt>
                <c:pt idx="145">
                  <c:v>68129.206905796163</c:v>
                </c:pt>
                <c:pt idx="146">
                  <c:v>73564.225445964199</c:v>
                </c:pt>
                <c:pt idx="147">
                  <c:v>79432.823472428237</c:v>
                </c:pt>
                <c:pt idx="148">
                  <c:v>85769.589859089538</c:v>
                </c:pt>
                <c:pt idx="149">
                  <c:v>92611.872812879505</c:v>
                </c:pt>
                <c:pt idx="150">
                  <c:v>100000</c:v>
                </c:pt>
                <c:pt idx="151">
                  <c:v>107977.51623277101</c:v>
                </c:pt>
                <c:pt idx="152">
                  <c:v>116591.44011798326</c:v>
                </c:pt>
                <c:pt idx="153">
                  <c:v>125892.54117941685</c:v>
                </c:pt>
                <c:pt idx="154">
                  <c:v>135935.63908785273</c:v>
                </c:pt>
                <c:pt idx="155">
                  <c:v>146779.92676220718</c:v>
                </c:pt>
                <c:pt idx="156">
                  <c:v>158489.31924611164</c:v>
                </c:pt>
                <c:pt idx="157">
                  <c:v>171132.83041617845</c:v>
                </c:pt>
                <c:pt idx="158">
                  <c:v>184784.97974222922</c:v>
                </c:pt>
                <c:pt idx="159">
                  <c:v>199526.23149688813</c:v>
                </c:pt>
                <c:pt idx="160">
                  <c:v>215443.46900318863</c:v>
                </c:pt>
                <c:pt idx="161">
                  <c:v>232630.50671536254</c:v>
                </c:pt>
                <c:pt idx="162">
                  <c:v>251188.64315095844</c:v>
                </c:pt>
                <c:pt idx="163">
                  <c:v>271227.25793320336</c:v>
                </c:pt>
                <c:pt idx="164">
                  <c:v>292864.45646252431</c:v>
                </c:pt>
                <c:pt idx="165">
                  <c:v>316227.7660168382</c:v>
                </c:pt>
                <c:pt idx="166">
                  <c:v>341454.88738336053</c:v>
                </c:pt>
                <c:pt idx="167">
                  <c:v>368694.50645195803</c:v>
                </c:pt>
                <c:pt idx="168">
                  <c:v>398107.17055349716</c:v>
                </c:pt>
                <c:pt idx="169">
                  <c:v>429866.2347082285</c:v>
                </c:pt>
                <c:pt idx="170">
                  <c:v>464158.88336127886</c:v>
                </c:pt>
                <c:pt idx="171">
                  <c:v>501187.23362727347</c:v>
                </c:pt>
                <c:pt idx="172">
                  <c:v>541169.52654646419</c:v>
                </c:pt>
                <c:pt idx="173">
                  <c:v>584341.41337351827</c:v>
                </c:pt>
                <c:pt idx="174">
                  <c:v>630957.34448019415</c:v>
                </c:pt>
                <c:pt idx="175">
                  <c:v>681292.06905796123</c:v>
                </c:pt>
                <c:pt idx="176">
                  <c:v>735642.25445964152</c:v>
                </c:pt>
                <c:pt idx="177">
                  <c:v>794328.23472428333</c:v>
                </c:pt>
                <c:pt idx="178">
                  <c:v>857695.89859089628</c:v>
                </c:pt>
                <c:pt idx="179">
                  <c:v>926118.72812879446</c:v>
                </c:pt>
                <c:pt idx="180">
                  <c:v>1000000</c:v>
                </c:pt>
                <c:pt idx="181">
                  <c:v>1079775.1623277115</c:v>
                </c:pt>
                <c:pt idx="182">
                  <c:v>1165914.4011798317</c:v>
                </c:pt>
                <c:pt idx="183">
                  <c:v>1258925.4117941677</c:v>
                </c:pt>
                <c:pt idx="184">
                  <c:v>1359356.3908785288</c:v>
                </c:pt>
                <c:pt idx="185">
                  <c:v>1467799.2676220734</c:v>
                </c:pt>
                <c:pt idx="186">
                  <c:v>1584893.1924611153</c:v>
                </c:pt>
                <c:pt idx="187">
                  <c:v>1711328.3041617833</c:v>
                </c:pt>
                <c:pt idx="188">
                  <c:v>1847849.797422294</c:v>
                </c:pt>
                <c:pt idx="189">
                  <c:v>1995262.31496888</c:v>
                </c:pt>
                <c:pt idx="190">
                  <c:v>2154434.6900318847</c:v>
                </c:pt>
                <c:pt idx="191">
                  <c:v>2326305.067153628</c:v>
                </c:pt>
                <c:pt idx="192">
                  <c:v>2511886.431509587</c:v>
                </c:pt>
                <c:pt idx="193">
                  <c:v>2712272.5793320318</c:v>
                </c:pt>
                <c:pt idx="194">
                  <c:v>2928644.5646252413</c:v>
                </c:pt>
                <c:pt idx="195">
                  <c:v>3162277.6601683851</c:v>
                </c:pt>
                <c:pt idx="196">
                  <c:v>3414548.8738336028</c:v>
                </c:pt>
                <c:pt idx="197">
                  <c:v>3686945.0645195777</c:v>
                </c:pt>
                <c:pt idx="198">
                  <c:v>3981071.705534976</c:v>
                </c:pt>
                <c:pt idx="199">
                  <c:v>4298662.3470822899</c:v>
                </c:pt>
                <c:pt idx="200">
                  <c:v>4641588.8336127857</c:v>
                </c:pt>
                <c:pt idx="201">
                  <c:v>5011872.3362727314</c:v>
                </c:pt>
                <c:pt idx="202">
                  <c:v>5411695.2654646477</c:v>
                </c:pt>
                <c:pt idx="203">
                  <c:v>5843414.133735179</c:v>
                </c:pt>
                <c:pt idx="204">
                  <c:v>6309573.4448019378</c:v>
                </c:pt>
                <c:pt idx="205">
                  <c:v>6812920.6905796202</c:v>
                </c:pt>
                <c:pt idx="206">
                  <c:v>7356422.5445964225</c:v>
                </c:pt>
                <c:pt idx="207">
                  <c:v>7943282.3472428275</c:v>
                </c:pt>
                <c:pt idx="208">
                  <c:v>8576958.9859089572</c:v>
                </c:pt>
                <c:pt idx="209">
                  <c:v>9261187.2812879551</c:v>
                </c:pt>
                <c:pt idx="210">
                  <c:v>10000000</c:v>
                </c:pt>
              </c:numCache>
            </c:numRef>
          </c:xVal>
          <c:yVal>
            <c:numRef>
              <c:f>'Small Signal'!$X$2:$X$212</c:f>
              <c:numCache>
                <c:formatCode>General</c:formatCode>
                <c:ptCount val="21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numCache>
            </c:numRef>
          </c:yVal>
          <c:smooth val="1"/>
          <c:extLst xmlns:c16r2="http://schemas.microsoft.com/office/drawing/2015/06/chart">
            <c:ext xmlns:c16="http://schemas.microsoft.com/office/drawing/2014/chart" uri="{C3380CC4-5D6E-409C-BE32-E72D297353CC}">
              <c16:uniqueId val="{00000002-042A-452A-95C5-5D6672919C70}"/>
            </c:ext>
          </c:extLst>
        </c:ser>
        <c:dLbls>
          <c:showLegendKey val="0"/>
          <c:showVal val="0"/>
          <c:showCatName val="0"/>
          <c:showSerName val="0"/>
          <c:showPercent val="0"/>
          <c:showBubbleSize val="0"/>
        </c:dLbls>
        <c:axId val="756411776"/>
        <c:axId val="536294912"/>
      </c:scatterChart>
      <c:scatterChart>
        <c:scatterStyle val="smoothMarker"/>
        <c:varyColors val="0"/>
        <c:ser>
          <c:idx val="5"/>
          <c:order val="1"/>
          <c:tx>
            <c:v>Overall Phase</c:v>
          </c:tx>
          <c:spPr>
            <a:ln w="38100">
              <a:solidFill>
                <a:srgbClr val="000000"/>
              </a:solidFill>
              <a:prstDash val="sysDash"/>
            </a:ln>
          </c:spPr>
          <c:marker>
            <c:symbol val="none"/>
          </c:marker>
          <c:xVal>
            <c:numRef>
              <c:f>'Small Signal'!$L$2:$L$212</c:f>
              <c:numCache>
                <c:formatCode>General</c:formatCode>
                <c:ptCount val="211"/>
                <c:pt idx="0">
                  <c:v>1</c:v>
                </c:pt>
                <c:pt idx="1">
                  <c:v>1.0797751623277096</c:v>
                </c:pt>
                <c:pt idx="2">
                  <c:v>1.1659144011798317</c:v>
                </c:pt>
                <c:pt idx="3">
                  <c:v>1.2589254117941673</c:v>
                </c:pt>
                <c:pt idx="4">
                  <c:v>1.3593563908785258</c:v>
                </c:pt>
                <c:pt idx="5">
                  <c:v>1.4677992676220697</c:v>
                </c:pt>
                <c:pt idx="6">
                  <c:v>1.5848931924611136</c:v>
                </c:pt>
                <c:pt idx="7">
                  <c:v>1.7113283041617808</c:v>
                </c:pt>
                <c:pt idx="8">
                  <c:v>1.8478497974222912</c:v>
                </c:pt>
                <c:pt idx="9">
                  <c:v>1.9952623149688797</c:v>
                </c:pt>
                <c:pt idx="10">
                  <c:v>2.1544346900318838</c:v>
                </c:pt>
                <c:pt idx="11">
                  <c:v>2.3263050671536263</c:v>
                </c:pt>
                <c:pt idx="12">
                  <c:v>2.5118864315095806</c:v>
                </c:pt>
                <c:pt idx="13">
                  <c:v>2.7122725793320286</c:v>
                </c:pt>
                <c:pt idx="14">
                  <c:v>2.9286445646252366</c:v>
                </c:pt>
                <c:pt idx="15">
                  <c:v>3.1622776601683795</c:v>
                </c:pt>
                <c:pt idx="16">
                  <c:v>3.4145488738336023</c:v>
                </c:pt>
                <c:pt idx="17">
                  <c:v>3.6869450645195756</c:v>
                </c:pt>
                <c:pt idx="18">
                  <c:v>3.9810717055349727</c:v>
                </c:pt>
                <c:pt idx="19">
                  <c:v>4.2986623470822769</c:v>
                </c:pt>
                <c:pt idx="20">
                  <c:v>4.6415888336127793</c:v>
                </c:pt>
                <c:pt idx="21">
                  <c:v>5.0118723362727229</c:v>
                </c:pt>
                <c:pt idx="22">
                  <c:v>5.4116952654646369</c:v>
                </c:pt>
                <c:pt idx="23">
                  <c:v>5.8434141337351777</c:v>
                </c:pt>
                <c:pt idx="24">
                  <c:v>6.3095734448019343</c:v>
                </c:pt>
                <c:pt idx="25">
                  <c:v>6.812920690579614</c:v>
                </c:pt>
                <c:pt idx="26">
                  <c:v>7.3564225445964153</c:v>
                </c:pt>
                <c:pt idx="27">
                  <c:v>7.9432823472428176</c:v>
                </c:pt>
                <c:pt idx="28">
                  <c:v>8.5769589859089415</c:v>
                </c:pt>
                <c:pt idx="29">
                  <c:v>9.2611872812879383</c:v>
                </c:pt>
                <c:pt idx="30">
                  <c:v>10</c:v>
                </c:pt>
                <c:pt idx="31">
                  <c:v>10.797751623277103</c:v>
                </c:pt>
                <c:pt idx="32">
                  <c:v>11.659144011798322</c:v>
                </c:pt>
                <c:pt idx="33">
                  <c:v>12.58925411794168</c:v>
                </c:pt>
                <c:pt idx="34">
                  <c:v>13.593563908785256</c:v>
                </c:pt>
                <c:pt idx="35">
                  <c:v>14.677992676220699</c:v>
                </c:pt>
                <c:pt idx="36">
                  <c:v>15.848931924611136</c:v>
                </c:pt>
                <c:pt idx="37">
                  <c:v>17.113283041617812</c:v>
                </c:pt>
                <c:pt idx="38">
                  <c:v>18.478497974222911</c:v>
                </c:pt>
                <c:pt idx="39">
                  <c:v>19.952623149688804</c:v>
                </c:pt>
                <c:pt idx="40">
                  <c:v>21.544346900318843</c:v>
                </c:pt>
                <c:pt idx="41">
                  <c:v>23.263050671536273</c:v>
                </c:pt>
                <c:pt idx="42">
                  <c:v>25.118864315095799</c:v>
                </c:pt>
                <c:pt idx="43">
                  <c:v>27.122725793320289</c:v>
                </c:pt>
                <c:pt idx="44">
                  <c:v>29.286445646252368</c:v>
                </c:pt>
                <c:pt idx="45">
                  <c:v>31.622776601683803</c:v>
                </c:pt>
                <c:pt idx="46">
                  <c:v>34.145488738336034</c:v>
                </c:pt>
                <c:pt idx="47">
                  <c:v>36.869450645195769</c:v>
                </c:pt>
                <c:pt idx="48">
                  <c:v>39.810717055349755</c:v>
                </c:pt>
                <c:pt idx="49">
                  <c:v>42.986623470822771</c:v>
                </c:pt>
                <c:pt idx="50">
                  <c:v>46.415888336127807</c:v>
                </c:pt>
                <c:pt idx="51">
                  <c:v>50.118723362727238</c:v>
                </c:pt>
                <c:pt idx="52">
                  <c:v>54.11695265464639</c:v>
                </c:pt>
                <c:pt idx="53">
                  <c:v>58.434141337351775</c:v>
                </c:pt>
                <c:pt idx="54">
                  <c:v>63.095734448019364</c:v>
                </c:pt>
                <c:pt idx="55">
                  <c:v>68.129206905796124</c:v>
                </c:pt>
                <c:pt idx="56">
                  <c:v>73.564225445964155</c:v>
                </c:pt>
                <c:pt idx="57">
                  <c:v>79.432823472428197</c:v>
                </c:pt>
                <c:pt idx="58">
                  <c:v>85.769589859089479</c:v>
                </c:pt>
                <c:pt idx="59">
                  <c:v>92.611872812879369</c:v>
                </c:pt>
                <c:pt idx="60">
                  <c:v>100</c:v>
                </c:pt>
                <c:pt idx="61">
                  <c:v>107.97751623277095</c:v>
                </c:pt>
                <c:pt idx="62">
                  <c:v>116.59144011798328</c:v>
                </c:pt>
                <c:pt idx="63">
                  <c:v>125.89254117941677</c:v>
                </c:pt>
                <c:pt idx="64">
                  <c:v>135.93563908785265</c:v>
                </c:pt>
                <c:pt idx="65">
                  <c:v>146.77992676220697</c:v>
                </c:pt>
                <c:pt idx="66">
                  <c:v>158.48931924611153</c:v>
                </c:pt>
                <c:pt idx="67">
                  <c:v>171.13283041617817</c:v>
                </c:pt>
                <c:pt idx="68">
                  <c:v>184.7849797422291</c:v>
                </c:pt>
                <c:pt idx="69">
                  <c:v>199.52623149688802</c:v>
                </c:pt>
                <c:pt idx="70">
                  <c:v>215.44346900318848</c:v>
                </c:pt>
                <c:pt idx="71">
                  <c:v>232.6305067153628</c:v>
                </c:pt>
                <c:pt idx="72">
                  <c:v>251.18864315095806</c:v>
                </c:pt>
                <c:pt idx="73">
                  <c:v>271.22725793320296</c:v>
                </c:pt>
                <c:pt idx="74">
                  <c:v>292.86445646252383</c:v>
                </c:pt>
                <c:pt idx="75">
                  <c:v>316.22776601683825</c:v>
                </c:pt>
                <c:pt idx="76">
                  <c:v>341.4548873833603</c:v>
                </c:pt>
                <c:pt idx="77">
                  <c:v>368.69450645195781</c:v>
                </c:pt>
                <c:pt idx="78">
                  <c:v>398.10717055349761</c:v>
                </c:pt>
                <c:pt idx="79">
                  <c:v>429.86623470822781</c:v>
                </c:pt>
                <c:pt idx="80">
                  <c:v>464.15888336127819</c:v>
                </c:pt>
                <c:pt idx="81">
                  <c:v>501.18723362727269</c:v>
                </c:pt>
                <c:pt idx="82">
                  <c:v>541.16952654646434</c:v>
                </c:pt>
                <c:pt idx="83">
                  <c:v>584.34141337351787</c:v>
                </c:pt>
                <c:pt idx="84">
                  <c:v>630.95734448019323</c:v>
                </c:pt>
                <c:pt idx="85">
                  <c:v>681.29206905796195</c:v>
                </c:pt>
                <c:pt idx="86">
                  <c:v>735.64225445964166</c:v>
                </c:pt>
                <c:pt idx="87">
                  <c:v>794.32823472428208</c:v>
                </c:pt>
                <c:pt idx="88">
                  <c:v>857.69589859089422</c:v>
                </c:pt>
                <c:pt idx="89">
                  <c:v>926.11872812879471</c:v>
                </c:pt>
                <c:pt idx="90">
                  <c:v>1000</c:v>
                </c:pt>
                <c:pt idx="91">
                  <c:v>1079.7751623277097</c:v>
                </c:pt>
                <c:pt idx="92">
                  <c:v>1165.914401179833</c:v>
                </c:pt>
                <c:pt idx="93">
                  <c:v>1258.925411794168</c:v>
                </c:pt>
                <c:pt idx="94">
                  <c:v>1359.3563908785268</c:v>
                </c:pt>
                <c:pt idx="95">
                  <c:v>1467.7992676220699</c:v>
                </c:pt>
                <c:pt idx="96">
                  <c:v>1584.8931924611156</c:v>
                </c:pt>
                <c:pt idx="97">
                  <c:v>1711.3283041617822</c:v>
                </c:pt>
                <c:pt idx="98">
                  <c:v>1847.8497974222912</c:v>
                </c:pt>
                <c:pt idx="99">
                  <c:v>1995.2623149688804</c:v>
                </c:pt>
                <c:pt idx="100">
                  <c:v>2154.4346900318851</c:v>
                </c:pt>
                <c:pt idx="101">
                  <c:v>2326.3050671536284</c:v>
                </c:pt>
                <c:pt idx="102">
                  <c:v>2511.8864315095811</c:v>
                </c:pt>
                <c:pt idx="103">
                  <c:v>2712.2725793320301</c:v>
                </c:pt>
                <c:pt idx="104">
                  <c:v>2928.6445646252391</c:v>
                </c:pt>
                <c:pt idx="105">
                  <c:v>3162.2776601683804</c:v>
                </c:pt>
                <c:pt idx="106">
                  <c:v>3414.5488738336035</c:v>
                </c:pt>
                <c:pt idx="107">
                  <c:v>3686.9450645195784</c:v>
                </c:pt>
                <c:pt idx="108">
                  <c:v>3981.0717055349769</c:v>
                </c:pt>
                <c:pt idx="109">
                  <c:v>4298.6623470822833</c:v>
                </c:pt>
                <c:pt idx="110">
                  <c:v>4641.5888336127782</c:v>
                </c:pt>
                <c:pt idx="111">
                  <c:v>5011.8723362727324</c:v>
                </c:pt>
                <c:pt idx="112">
                  <c:v>5411.6952654646393</c:v>
                </c:pt>
                <c:pt idx="113">
                  <c:v>5843.4141337351803</c:v>
                </c:pt>
                <c:pt idx="114">
                  <c:v>6309.5734448019384</c:v>
                </c:pt>
                <c:pt idx="115">
                  <c:v>6812.9206905796218</c:v>
                </c:pt>
                <c:pt idx="116">
                  <c:v>7356.4225445964248</c:v>
                </c:pt>
                <c:pt idx="117">
                  <c:v>7943.2823472428154</c:v>
                </c:pt>
                <c:pt idx="118">
                  <c:v>8576.9589859089447</c:v>
                </c:pt>
                <c:pt idx="119">
                  <c:v>9261.187281287941</c:v>
                </c:pt>
                <c:pt idx="120">
                  <c:v>10000</c:v>
                </c:pt>
                <c:pt idx="121">
                  <c:v>10797.751623277109</c:v>
                </c:pt>
                <c:pt idx="122">
                  <c:v>11659.144011798313</c:v>
                </c:pt>
                <c:pt idx="123">
                  <c:v>12589.254117941671</c:v>
                </c:pt>
                <c:pt idx="124">
                  <c:v>13593.563908785283</c:v>
                </c:pt>
                <c:pt idx="125">
                  <c:v>14677.992676220729</c:v>
                </c:pt>
                <c:pt idx="126">
                  <c:v>15848.931924611146</c:v>
                </c:pt>
                <c:pt idx="127">
                  <c:v>17113.283041617826</c:v>
                </c:pt>
                <c:pt idx="128">
                  <c:v>18478.497974222933</c:v>
                </c:pt>
                <c:pt idx="129">
                  <c:v>19952.623149688792</c:v>
                </c:pt>
                <c:pt idx="130">
                  <c:v>21544.346900318837</c:v>
                </c:pt>
                <c:pt idx="131">
                  <c:v>23263.050671536268</c:v>
                </c:pt>
                <c:pt idx="132">
                  <c:v>25118.86431509586</c:v>
                </c:pt>
                <c:pt idx="133">
                  <c:v>27122.725793320307</c:v>
                </c:pt>
                <c:pt idx="134">
                  <c:v>29286.445646252399</c:v>
                </c:pt>
                <c:pt idx="135">
                  <c:v>31622.77660168384</c:v>
                </c:pt>
                <c:pt idx="136">
                  <c:v>34145.488738336011</c:v>
                </c:pt>
                <c:pt idx="137">
                  <c:v>36869.450645195764</c:v>
                </c:pt>
                <c:pt idx="138">
                  <c:v>39810.717055349742</c:v>
                </c:pt>
                <c:pt idx="139">
                  <c:v>42986.62347082288</c:v>
                </c:pt>
                <c:pt idx="140">
                  <c:v>46415.888336127835</c:v>
                </c:pt>
                <c:pt idx="141">
                  <c:v>50118.723362727294</c:v>
                </c:pt>
                <c:pt idx="142">
                  <c:v>54116.952654646455</c:v>
                </c:pt>
                <c:pt idx="143">
                  <c:v>58434.141337351764</c:v>
                </c:pt>
                <c:pt idx="144">
                  <c:v>63095.734448019342</c:v>
                </c:pt>
                <c:pt idx="145">
                  <c:v>68129.206905796163</c:v>
                </c:pt>
                <c:pt idx="146">
                  <c:v>73564.225445964199</c:v>
                </c:pt>
                <c:pt idx="147">
                  <c:v>79432.823472428237</c:v>
                </c:pt>
                <c:pt idx="148">
                  <c:v>85769.589859089538</c:v>
                </c:pt>
                <c:pt idx="149">
                  <c:v>92611.872812879505</c:v>
                </c:pt>
                <c:pt idx="150">
                  <c:v>100000</c:v>
                </c:pt>
                <c:pt idx="151">
                  <c:v>107977.51623277101</c:v>
                </c:pt>
                <c:pt idx="152">
                  <c:v>116591.44011798326</c:v>
                </c:pt>
                <c:pt idx="153">
                  <c:v>125892.54117941685</c:v>
                </c:pt>
                <c:pt idx="154">
                  <c:v>135935.63908785273</c:v>
                </c:pt>
                <c:pt idx="155">
                  <c:v>146779.92676220718</c:v>
                </c:pt>
                <c:pt idx="156">
                  <c:v>158489.31924611164</c:v>
                </c:pt>
                <c:pt idx="157">
                  <c:v>171132.83041617845</c:v>
                </c:pt>
                <c:pt idx="158">
                  <c:v>184784.97974222922</c:v>
                </c:pt>
                <c:pt idx="159">
                  <c:v>199526.23149688813</c:v>
                </c:pt>
                <c:pt idx="160">
                  <c:v>215443.46900318863</c:v>
                </c:pt>
                <c:pt idx="161">
                  <c:v>232630.50671536254</c:v>
                </c:pt>
                <c:pt idx="162">
                  <c:v>251188.64315095844</c:v>
                </c:pt>
                <c:pt idx="163">
                  <c:v>271227.25793320336</c:v>
                </c:pt>
                <c:pt idx="164">
                  <c:v>292864.45646252431</c:v>
                </c:pt>
                <c:pt idx="165">
                  <c:v>316227.7660168382</c:v>
                </c:pt>
                <c:pt idx="166">
                  <c:v>341454.88738336053</c:v>
                </c:pt>
                <c:pt idx="167">
                  <c:v>368694.50645195803</c:v>
                </c:pt>
                <c:pt idx="168">
                  <c:v>398107.17055349716</c:v>
                </c:pt>
                <c:pt idx="169">
                  <c:v>429866.2347082285</c:v>
                </c:pt>
                <c:pt idx="170">
                  <c:v>464158.88336127886</c:v>
                </c:pt>
                <c:pt idx="171">
                  <c:v>501187.23362727347</c:v>
                </c:pt>
                <c:pt idx="172">
                  <c:v>541169.52654646419</c:v>
                </c:pt>
                <c:pt idx="173">
                  <c:v>584341.41337351827</c:v>
                </c:pt>
                <c:pt idx="174">
                  <c:v>630957.34448019415</c:v>
                </c:pt>
                <c:pt idx="175">
                  <c:v>681292.06905796123</c:v>
                </c:pt>
                <c:pt idx="176">
                  <c:v>735642.25445964152</c:v>
                </c:pt>
                <c:pt idx="177">
                  <c:v>794328.23472428333</c:v>
                </c:pt>
                <c:pt idx="178">
                  <c:v>857695.89859089628</c:v>
                </c:pt>
                <c:pt idx="179">
                  <c:v>926118.72812879446</c:v>
                </c:pt>
                <c:pt idx="180">
                  <c:v>1000000</c:v>
                </c:pt>
                <c:pt idx="181">
                  <c:v>1079775.1623277115</c:v>
                </c:pt>
                <c:pt idx="182">
                  <c:v>1165914.4011798317</c:v>
                </c:pt>
                <c:pt idx="183">
                  <c:v>1258925.4117941677</c:v>
                </c:pt>
                <c:pt idx="184">
                  <c:v>1359356.3908785288</c:v>
                </c:pt>
                <c:pt idx="185">
                  <c:v>1467799.2676220734</c:v>
                </c:pt>
                <c:pt idx="186">
                  <c:v>1584893.1924611153</c:v>
                </c:pt>
                <c:pt idx="187">
                  <c:v>1711328.3041617833</c:v>
                </c:pt>
                <c:pt idx="188">
                  <c:v>1847849.797422294</c:v>
                </c:pt>
                <c:pt idx="189">
                  <c:v>1995262.31496888</c:v>
                </c:pt>
                <c:pt idx="190">
                  <c:v>2154434.6900318847</c:v>
                </c:pt>
                <c:pt idx="191">
                  <c:v>2326305.067153628</c:v>
                </c:pt>
                <c:pt idx="192">
                  <c:v>2511886.431509587</c:v>
                </c:pt>
                <c:pt idx="193">
                  <c:v>2712272.5793320318</c:v>
                </c:pt>
                <c:pt idx="194">
                  <c:v>2928644.5646252413</c:v>
                </c:pt>
                <c:pt idx="195">
                  <c:v>3162277.6601683851</c:v>
                </c:pt>
                <c:pt idx="196">
                  <c:v>3414548.8738336028</c:v>
                </c:pt>
                <c:pt idx="197">
                  <c:v>3686945.0645195777</c:v>
                </c:pt>
                <c:pt idx="198">
                  <c:v>3981071.705534976</c:v>
                </c:pt>
                <c:pt idx="199">
                  <c:v>4298662.3470822899</c:v>
                </c:pt>
                <c:pt idx="200">
                  <c:v>4641588.8336127857</c:v>
                </c:pt>
                <c:pt idx="201">
                  <c:v>5011872.3362727314</c:v>
                </c:pt>
                <c:pt idx="202">
                  <c:v>5411695.2654646477</c:v>
                </c:pt>
                <c:pt idx="203">
                  <c:v>5843414.133735179</c:v>
                </c:pt>
                <c:pt idx="204">
                  <c:v>6309573.4448019378</c:v>
                </c:pt>
                <c:pt idx="205">
                  <c:v>6812920.6905796202</c:v>
                </c:pt>
                <c:pt idx="206">
                  <c:v>7356422.5445964225</c:v>
                </c:pt>
                <c:pt idx="207">
                  <c:v>7943282.3472428275</c:v>
                </c:pt>
                <c:pt idx="208">
                  <c:v>8576958.9859089572</c:v>
                </c:pt>
                <c:pt idx="209">
                  <c:v>9261187.2812879551</c:v>
                </c:pt>
                <c:pt idx="210">
                  <c:v>10000000</c:v>
                </c:pt>
              </c:numCache>
            </c:numRef>
          </c:xVal>
          <c:yVal>
            <c:numRef>
              <c:f>'Small Signal'!$Q$2:$Q$212</c:f>
              <c:numCache>
                <c:formatCode>General</c:formatCode>
                <c:ptCount val="211"/>
                <c:pt idx="0">
                  <c:v>176.64861200375321</c:v>
                </c:pt>
                <c:pt idx="1">
                  <c:v>176.38193506206588</c:v>
                </c:pt>
                <c:pt idx="2">
                  <c:v>176.0941595147095</c:v>
                </c:pt>
                <c:pt idx="3">
                  <c:v>175.78364738905628</c:v>
                </c:pt>
                <c:pt idx="4">
                  <c:v>175.44864160308998</c:v>
                </c:pt>
                <c:pt idx="5">
                  <c:v>175.08725939366093</c:v>
                </c:pt>
                <c:pt idx="6">
                  <c:v>174.69748595018228</c:v>
                </c:pt>
                <c:pt idx="7">
                  <c:v>174.27716844585152</c:v>
                </c:pt>
                <c:pt idx="8">
                  <c:v>173.82401071332154</c:v>
                </c:pt>
                <c:pt idx="9">
                  <c:v>173.33556887856207</c:v>
                </c:pt>
                <c:pt idx="10">
                  <c:v>172.80924834722754</c:v>
                </c:pt>
                <c:pt idx="11">
                  <c:v>172.24230263388557</c:v>
                </c:pt>
                <c:pt idx="12">
                  <c:v>171.63183463732554</c:v>
                </c:pt>
                <c:pt idx="13">
                  <c:v>170.97480109552174</c:v>
                </c:pt>
                <c:pt idx="14">
                  <c:v>170.26802110111765</c:v>
                </c:pt>
                <c:pt idx="15">
                  <c:v>169.50818971997654</c:v>
                </c:pt>
                <c:pt idx="16">
                  <c:v>168.69189792586207</c:v>
                </c:pt>
                <c:pt idx="17">
                  <c:v>167.8156602338108</c:v>
                </c:pt>
                <c:pt idx="18">
                  <c:v>166.87595156742623</c:v>
                </c:pt>
                <c:pt idx="19">
                  <c:v>165.86925500759571</c:v>
                </c:pt>
                <c:pt idx="20">
                  <c:v>164.79212210883742</c:v>
                </c:pt>
                <c:pt idx="21">
                  <c:v>163.6412473903907</c:v>
                </c:pt>
                <c:pt idx="22">
                  <c:v>162.41355835668091</c:v>
                </c:pt>
                <c:pt idx="23">
                  <c:v>161.10632191063178</c:v>
                </c:pt>
                <c:pt idx="24">
                  <c:v>159.71726722386555</c:v>
                </c:pt>
                <c:pt idx="25">
                  <c:v>158.24472395637784</c:v>
                </c:pt>
                <c:pt idx="26">
                  <c:v>156.68777313371234</c:v>
                </c:pt>
                <c:pt idx="27">
                  <c:v>155.04640599707349</c:v>
                </c:pt>
                <c:pt idx="28">
                  <c:v>153.32168382116723</c:v>
                </c:pt>
                <c:pt idx="29">
                  <c:v>151.515889229679</c:v>
                </c:pt>
                <c:pt idx="30">
                  <c:v>149.63265723661451</c:v>
                </c:pt>
                <c:pt idx="31">
                  <c:v>147.6770725315381</c:v>
                </c:pt>
                <c:pt idx="32">
                  <c:v>145.65571891749437</c:v>
                </c:pt>
                <c:pt idx="33">
                  <c:v>143.57666780575542</c:v>
                </c:pt>
                <c:pt idx="34">
                  <c:v>141.44939563872879</c:v>
                </c:pt>
                <c:pt idx="35">
                  <c:v>139.28462513139442</c:v>
                </c:pt>
                <c:pt idx="36">
                  <c:v>137.09409196002838</c:v>
                </c:pt>
                <c:pt idx="37">
                  <c:v>134.89024619779539</c:v>
                </c:pt>
                <c:pt idx="38">
                  <c:v>132.68590524590982</c:v>
                </c:pt>
                <c:pt idx="39">
                  <c:v>130.49388093913134</c:v>
                </c:pt>
                <c:pt idx="40">
                  <c:v>128.32660678715112</c:v>
                </c:pt>
                <c:pt idx="41">
                  <c:v>126.19579129328929</c:v>
                </c:pt>
                <c:pt idx="42">
                  <c:v>124.11211997301223</c:v>
                </c:pt>
                <c:pt idx="43">
                  <c:v>122.08502273950795</c:v>
                </c:pt>
                <c:pt idx="44">
                  <c:v>120.12251586417052</c:v>
                </c:pt>
                <c:pt idx="45">
                  <c:v>118.2311200535995</c:v>
                </c:pt>
                <c:pt idx="46">
                  <c:v>116.41584946259879</c:v>
                </c:pt>
                <c:pt idx="47">
                  <c:v>114.68026146644786</c:v>
                </c:pt>
                <c:pt idx="48">
                  <c:v>113.02655407262314</c:v>
                </c:pt>
                <c:pt idx="49">
                  <c:v>111.45569687795764</c:v>
                </c:pt>
                <c:pt idx="50">
                  <c:v>109.96758210229362</c:v>
                </c:pt>
                <c:pt idx="51">
                  <c:v>108.5611839495304</c:v>
                </c:pt>
                <c:pt idx="52">
                  <c:v>107.2347168527601</c:v>
                </c:pt>
                <c:pt idx="53">
                  <c:v>105.98578562487175</c:v>
                </c:pt>
                <c:pt idx="54">
                  <c:v>104.81152285366882</c:v>
                </c:pt>
                <c:pt idx="55">
                  <c:v>103.70871086874389</c:v>
                </c:pt>
                <c:pt idx="56">
                  <c:v>102.67388718719315</c:v>
                </c:pt>
                <c:pt idx="57">
                  <c:v>101.70343351237109</c:v>
                </c:pt>
                <c:pt idx="58">
                  <c:v>100.79364915581492</c:v>
                </c:pt>
                <c:pt idx="59">
                  <c:v>99.940810241126485</c:v>
                </c:pt>
                <c:pt idx="60">
                  <c:v>99.141216299668443</c:v>
                </c:pt>
                <c:pt idx="61">
                  <c:v>98.391225946655098</c:v>
                </c:pt>
                <c:pt idx="62">
                  <c:v>97.687283288166554</c:v>
                </c:pt>
                <c:pt idx="63">
                  <c:v>97.02593659898595</c:v>
                </c:pt>
                <c:pt idx="64">
                  <c:v>96.4038506611451</c:v>
                </c:pt>
                <c:pt idx="65">
                  <c:v>95.817813987302998</c:v>
                </c:pt>
                <c:pt idx="66">
                  <c:v>95.264741987498496</c:v>
                </c:pt>
                <c:pt idx="67">
                  <c:v>94.741676982487022</c:v>
                </c:pt>
                <c:pt idx="68">
                  <c:v>94.245785827586985</c:v>
                </c:pt>
                <c:pt idx="69">
                  <c:v>93.774355790624895</c:v>
                </c:pt>
                <c:pt idx="70">
                  <c:v>93.32478922713598</c:v>
                </c:pt>
                <c:pt idx="71">
                  <c:v>92.89459751529786</c:v>
                </c:pt>
                <c:pt idx="72">
                  <c:v>92.48139465133859</c:v>
                </c:pt>
                <c:pt idx="73">
                  <c:v>92.082890862315836</c:v>
                </c:pt>
                <c:pt idx="74">
                  <c:v>91.696886566120568</c:v>
                </c:pt>
                <c:pt idx="75">
                  <c:v>91.321266997250476</c:v>
                </c:pt>
                <c:pt idx="76">
                  <c:v>90.953997820380607</c:v>
                </c:pt>
                <c:pt idx="77">
                  <c:v>90.593122071059966</c:v>
                </c:pt>
                <c:pt idx="78">
                  <c:v>90.23675879288642</c:v>
                </c:pt>
                <c:pt idx="79">
                  <c:v>89.883103781761392</c:v>
                </c:pt>
                <c:pt idx="80">
                  <c:v>89.530432898046541</c:v>
                </c:pt>
                <c:pt idx="81">
                  <c:v>89.177108463119566</c:v>
                </c:pt>
                <c:pt idx="82">
                  <c:v>88.821589312501288</c:v>
                </c:pt>
                <c:pt idx="83">
                  <c:v>88.462445125179698</c:v>
                </c:pt>
                <c:pt idx="84">
                  <c:v>88.098375675976499</c:v>
                </c:pt>
                <c:pt idx="85">
                  <c:v>87.728235647865574</c:v>
                </c:pt>
                <c:pt idx="86">
                  <c:v>87.351065571228304</c:v>
                </c:pt>
                <c:pt idx="87">
                  <c:v>86.966129297561608</c:v>
                </c:pt>
                <c:pt idx="88">
                  <c:v>86.572958130167478</c:v>
                </c:pt>
                <c:pt idx="89">
                  <c:v>86.171401282990871</c:v>
                </c:pt>
                <c:pt idx="90">
                  <c:v>85.761681679864253</c:v>
                </c:pt>
                <c:pt idx="91">
                  <c:v>85.344455206405513</c:v>
                </c:pt>
                <c:pt idx="92">
                  <c:v>84.920870372965723</c:v>
                </c:pt>
                <c:pt idx="93">
                  <c:v>84.492623965610633</c:v>
                </c:pt>
                <c:pt idx="94">
                  <c:v>84.062006741153269</c:v>
                </c:pt>
                <c:pt idx="95">
                  <c:v>83.631931734349095</c:v>
                </c:pt>
                <c:pt idx="96">
                  <c:v>83.205936563681135</c:v>
                </c:pt>
                <c:pt idx="97">
                  <c:v>82.788150617367791</c:v>
                </c:pt>
                <c:pt idx="98">
                  <c:v>82.383218605700677</c:v>
                </c:pt>
                <c:pt idx="99">
                  <c:v>81.996174093334446</c:v>
                </c:pt>
                <c:pt idx="100">
                  <c:v>81.632260544256724</c:v>
                </c:pt>
                <c:pt idx="101">
                  <c:v>81.296703092337651</c:v>
                </c:pt>
                <c:pt idx="102">
                  <c:v>80.994441223104076</c:v>
                </c:pt>
                <c:pt idx="103">
                  <c:v>80.729839853248265</c:v>
                </c:pt>
                <c:pt idx="104">
                  <c:v>80.506402548797524</c:v>
                </c:pt>
                <c:pt idx="105">
                  <c:v>80.326514308202107</c:v>
                </c:pt>
                <c:pt idx="106">
                  <c:v>80.191241184301703</c:v>
                </c:pt>
                <c:pt idx="107">
                  <c:v>80.100209444244655</c:v>
                </c:pt>
                <c:pt idx="108">
                  <c:v>80.051578363464017</c:v>
                </c:pt>
                <c:pt idx="109">
                  <c:v>80.042109513021558</c:v>
                </c:pt>
                <c:pt idx="110">
                  <c:v>80.06732361777496</c:v>
                </c:pt>
                <c:pt idx="111">
                  <c:v>80.121725972150671</c:v>
                </c:pt>
                <c:pt idx="112">
                  <c:v>80.199074784647905</c:v>
                </c:pt>
                <c:pt idx="113">
                  <c:v>80.292664573469565</c:v>
                </c:pt>
                <c:pt idx="114">
                  <c:v>80.39559871637907</c:v>
                </c:pt>
                <c:pt idx="115">
                  <c:v>80.501030478344134</c:v>
                </c:pt>
                <c:pt idx="116">
                  <c:v>80.602358845191688</c:v>
                </c:pt>
                <c:pt idx="117">
                  <c:v>80.693372792348953</c:v>
                </c:pt>
                <c:pt idx="118">
                  <c:v>80.768344033008873</c:v>
                </c:pt>
                <c:pt idx="119">
                  <c:v>80.822073113889772</c:v>
                </c:pt>
                <c:pt idx="120">
                  <c:v>80.849896733602776</c:v>
                </c:pt>
                <c:pt idx="121">
                  <c:v>80.847665493954381</c:v>
                </c:pt>
                <c:pt idx="122">
                  <c:v>80.81170132140376</c:v>
                </c:pt>
                <c:pt idx="123">
                  <c:v>80.738742951082827</c:v>
                </c:pt>
                <c:pt idx="124">
                  <c:v>80.625886556264263</c:v>
                </c:pt>
                <c:pt idx="125">
                  <c:v>80.470527152563122</c:v>
                </c:pt>
                <c:pt idx="126">
                  <c:v>80.270305025212636</c:v>
                </c:pt>
                <c:pt idx="127">
                  <c:v>80.023060240100662</c:v>
                </c:pt>
                <c:pt idx="128">
                  <c:v>79.726797349188487</c:v>
                </c:pt>
                <c:pt idx="129">
                  <c:v>79.37966167877795</c:v>
                </c:pt>
                <c:pt idx="130">
                  <c:v>78.979928050476673</c:v>
                </c:pt>
                <c:pt idx="131">
                  <c:v>78.526002365068578</c:v>
                </c:pt>
                <c:pt idx="132">
                  <c:v>78.016436103436291</c:v>
                </c:pt>
                <c:pt idx="133">
                  <c:v>77.449953386233332</c:v>
                </c:pt>
                <c:pt idx="134">
                  <c:v>76.825489705303966</c:v>
                </c:pt>
                <c:pt idx="135">
                  <c:v>76.142240720885766</c:v>
                </c:pt>
                <c:pt idx="136">
                  <c:v>75.399718549967076</c:v>
                </c:pt>
                <c:pt idx="137">
                  <c:v>74.597811721930853</c:v>
                </c:pt>
                <c:pt idx="138">
                  <c:v>73.736843465137014</c:v>
                </c:pt>
                <c:pt idx="139">
                  <c:v>72.817621302758866</c:v>
                </c:pt>
                <c:pt idx="140">
                  <c:v>71.841469267117759</c:v>
                </c:pt>
                <c:pt idx="141">
                  <c:v>70.810232695018627</c:v>
                </c:pt>
                <c:pt idx="142">
                  <c:v>69.726244963306399</c:v>
                </c:pt>
                <c:pt idx="143">
                  <c:v>68.592246162285136</c:v>
                </c:pt>
                <c:pt idx="144">
                  <c:v>67.411246073497495</c:v>
                </c:pt>
                <c:pt idx="145">
                  <c:v>66.186328258449024</c:v>
                </c:pt>
                <c:pt idx="146">
                  <c:v>64.920398597878602</c:v>
                </c:pt>
                <c:pt idx="147">
                  <c:v>63.615889790300848</c:v>
                </c:pt>
                <c:pt idx="148">
                  <c:v>62.274442108570881</c:v>
                </c:pt>
                <c:pt idx="149">
                  <c:v>60.896588619242152</c:v>
                </c:pt>
                <c:pt idx="150">
                  <c:v>59.481478352492509</c:v>
                </c:pt>
                <c:pt idx="151">
                  <c:v>58.026672011200198</c:v>
                </c:pt>
                <c:pt idx="152">
                  <c:v>56.528040814680715</c:v>
                </c:pt>
                <c:pt idx="153">
                  <c:v>54.979790082094731</c:v>
                </c:pt>
                <c:pt idx="154">
                  <c:v>53.374616378868538</c:v>
                </c:pt>
                <c:pt idx="155">
                  <c:v>51.70399256144524</c:v>
                </c:pt>
                <c:pt idx="156">
                  <c:v>49.95856131261931</c:v>
                </c:pt>
                <c:pt idx="157">
                  <c:v>48.128606952539862</c:v>
                </c:pt>
                <c:pt idx="158">
                  <c:v>46.204568845836</c:v>
                </c:pt>
                <c:pt idx="159">
                  <c:v>44.177557977014771</c:v>
                </c:pt>
                <c:pt idx="160">
                  <c:v>42.039840664099053</c:v>
                </c:pt>
                <c:pt idx="161">
                  <c:v>39.785258763623865</c:v>
                </c:pt>
                <c:pt idx="162">
                  <c:v>37.409562795363385</c:v>
                </c:pt>
                <c:pt idx="163">
                  <c:v>34.910642140378812</c:v>
                </c:pt>
                <c:pt idx="164">
                  <c:v>32.28864423646197</c:v>
                </c:pt>
                <c:pt idx="165">
                  <c:v>29.545982300302182</c:v>
                </c:pt>
                <c:pt idx="166">
                  <c:v>26.687238513857711</c:v>
                </c:pt>
                <c:pt idx="167">
                  <c:v>23.718976699849616</c:v>
                </c:pt>
                <c:pt idx="168">
                  <c:v>20.64948486336062</c:v>
                </c:pt>
                <c:pt idx="169">
                  <c:v>17.48847285489467</c:v>
                </c:pt>
                <c:pt idx="170">
                  <c:v>14.246752910665403</c:v>
                </c:pt>
                <c:pt idx="171">
                  <c:v>10.935930173844369</c:v>
                </c:pt>
                <c:pt idx="172">
                  <c:v>7.5681261712940087</c:v>
                </c:pt>
                <c:pt idx="173">
                  <c:v>4.1557509565827386</c:v>
                </c:pt>
                <c:pt idx="174">
                  <c:v>0.71133027074314559</c:v>
                </c:pt>
                <c:pt idx="175">
                  <c:v>-2.7526158225885307</c:v>
                </c:pt>
                <c:pt idx="176">
                  <c:v>-6.2236550400487776</c:v>
                </c:pt>
                <c:pt idx="177">
                  <c:v>-9.6895037836990774</c:v>
                </c:pt>
                <c:pt idx="178">
                  <c:v>-13.138086855967575</c:v>
                </c:pt>
                <c:pt idx="179">
                  <c:v>-16.557613662603892</c:v>
                </c:pt>
                <c:pt idx="180">
                  <c:v>-19.936682438366873</c:v>
                </c:pt>
                <c:pt idx="181">
                  <c:v>-23.264415301050523</c:v>
                </c:pt>
                <c:pt idx="182">
                  <c:v>-26.53061742227009</c:v>
                </c:pt>
                <c:pt idx="183">
                  <c:v>-29.725945326291875</c:v>
                </c:pt>
                <c:pt idx="184">
                  <c:v>-32.842064121707217</c:v>
                </c:pt>
                <c:pt idx="185">
                  <c:v>-35.871772538287054</c:v>
                </c:pt>
                <c:pt idx="186">
                  <c:v>-38.809078242494756</c:v>
                </c:pt>
                <c:pt idx="187">
                  <c:v>-41.64921325665965</c:v>
                </c:pt>
                <c:pt idx="188">
                  <c:v>-44.388588750411607</c:v>
                </c:pt>
                <c:pt idx="189">
                  <c:v>-47.024697882050312</c:v>
                </c:pt>
                <c:pt idx="190">
                  <c:v>-49.555982685895238</c:v>
                </c:pt>
                <c:pt idx="191">
                  <c:v>-51.98168476517732</c:v>
                </c:pt>
                <c:pt idx="192">
                  <c:v>-54.301699236290119</c:v>
                </c:pt>
                <c:pt idx="193">
                  <c:v>-56.516447474757925</c:v>
                </c:pt>
                <c:pt idx="194">
                  <c:v>-58.626778031966687</c:v>
                </c:pt>
                <c:pt idx="195">
                  <c:v>-60.633898290987119</c:v>
                </c:pt>
                <c:pt idx="196">
                  <c:v>-62.539333555779422</c:v>
                </c:pt>
                <c:pt idx="197">
                  <c:v>-64.344906359958571</c:v>
                </c:pt>
                <c:pt idx="198">
                  <c:v>-66.052727199437598</c:v>
                </c:pt>
                <c:pt idx="199">
                  <c:v>-67.665188379084128</c:v>
                </c:pt>
                <c:pt idx="200">
                  <c:v>-69.184954561489135</c:v>
                </c:pt>
                <c:pt idx="201">
                  <c:v>-70.614946137380656</c:v>
                </c:pt>
                <c:pt idx="202">
                  <c:v>-71.95831402543206</c:v>
                </c:pt>
                <c:pt idx="203">
                  <c:v>-73.218406505524513</c:v>
                </c:pt>
                <c:pt idx="204">
                  <c:v>-74.398729995809518</c:v>
                </c:pt>
                <c:pt idx="205">
                  <c:v>-75.502906305135909</c:v>
                </c:pt>
                <c:pt idx="206">
                  <c:v>-76.534628958725975</c:v>
                </c:pt>
                <c:pt idx="207">
                  <c:v>-77.497620886293475</c:v>
                </c:pt>
                <c:pt idx="208">
                  <c:v>-78.395595253154468</c:v>
                </c:pt>
                <c:pt idx="209">
                  <c:v>-79.232220645958634</c:v>
                </c:pt>
                <c:pt idx="210">
                  <c:v>-80.011091290016338</c:v>
                </c:pt>
              </c:numCache>
            </c:numRef>
          </c:yVal>
          <c:smooth val="1"/>
          <c:extLst xmlns:c16r2="http://schemas.microsoft.com/office/drawing/2015/06/chart">
            <c:ext xmlns:c16="http://schemas.microsoft.com/office/drawing/2014/chart" uri="{C3380CC4-5D6E-409C-BE32-E72D297353CC}">
              <c16:uniqueId val="{00000003-042A-452A-95C5-5D6672919C70}"/>
            </c:ext>
          </c:extLst>
        </c:ser>
        <c:ser>
          <c:idx val="3"/>
          <c:order val="3"/>
          <c:tx>
            <c:v>Power Stage Phase</c:v>
          </c:tx>
          <c:spPr>
            <a:ln w="25400">
              <a:solidFill>
                <a:srgbClr val="000080"/>
              </a:solidFill>
              <a:prstDash val="sysDash"/>
            </a:ln>
          </c:spPr>
          <c:marker>
            <c:symbol val="none"/>
          </c:marker>
          <c:xVal>
            <c:numRef>
              <c:f>'Small Signal'!$L$2:$L$212</c:f>
              <c:numCache>
                <c:formatCode>General</c:formatCode>
                <c:ptCount val="211"/>
                <c:pt idx="0">
                  <c:v>1</c:v>
                </c:pt>
                <c:pt idx="1">
                  <c:v>1.0797751623277096</c:v>
                </c:pt>
                <c:pt idx="2">
                  <c:v>1.1659144011798317</c:v>
                </c:pt>
                <c:pt idx="3">
                  <c:v>1.2589254117941673</c:v>
                </c:pt>
                <c:pt idx="4">
                  <c:v>1.3593563908785258</c:v>
                </c:pt>
                <c:pt idx="5">
                  <c:v>1.4677992676220697</c:v>
                </c:pt>
                <c:pt idx="6">
                  <c:v>1.5848931924611136</c:v>
                </c:pt>
                <c:pt idx="7">
                  <c:v>1.7113283041617808</c:v>
                </c:pt>
                <c:pt idx="8">
                  <c:v>1.8478497974222912</c:v>
                </c:pt>
                <c:pt idx="9">
                  <c:v>1.9952623149688797</c:v>
                </c:pt>
                <c:pt idx="10">
                  <c:v>2.1544346900318838</c:v>
                </c:pt>
                <c:pt idx="11">
                  <c:v>2.3263050671536263</c:v>
                </c:pt>
                <c:pt idx="12">
                  <c:v>2.5118864315095806</c:v>
                </c:pt>
                <c:pt idx="13">
                  <c:v>2.7122725793320286</c:v>
                </c:pt>
                <c:pt idx="14">
                  <c:v>2.9286445646252366</c:v>
                </c:pt>
                <c:pt idx="15">
                  <c:v>3.1622776601683795</c:v>
                </c:pt>
                <c:pt idx="16">
                  <c:v>3.4145488738336023</c:v>
                </c:pt>
                <c:pt idx="17">
                  <c:v>3.6869450645195756</c:v>
                </c:pt>
                <c:pt idx="18">
                  <c:v>3.9810717055349727</c:v>
                </c:pt>
                <c:pt idx="19">
                  <c:v>4.2986623470822769</c:v>
                </c:pt>
                <c:pt idx="20">
                  <c:v>4.6415888336127793</c:v>
                </c:pt>
                <c:pt idx="21">
                  <c:v>5.0118723362727229</c:v>
                </c:pt>
                <c:pt idx="22">
                  <c:v>5.4116952654646369</c:v>
                </c:pt>
                <c:pt idx="23">
                  <c:v>5.8434141337351777</c:v>
                </c:pt>
                <c:pt idx="24">
                  <c:v>6.3095734448019343</c:v>
                </c:pt>
                <c:pt idx="25">
                  <c:v>6.812920690579614</c:v>
                </c:pt>
                <c:pt idx="26">
                  <c:v>7.3564225445964153</c:v>
                </c:pt>
                <c:pt idx="27">
                  <c:v>7.9432823472428176</c:v>
                </c:pt>
                <c:pt idx="28">
                  <c:v>8.5769589859089415</c:v>
                </c:pt>
                <c:pt idx="29">
                  <c:v>9.2611872812879383</c:v>
                </c:pt>
                <c:pt idx="30">
                  <c:v>10</c:v>
                </c:pt>
                <c:pt idx="31">
                  <c:v>10.797751623277103</c:v>
                </c:pt>
                <c:pt idx="32">
                  <c:v>11.659144011798322</c:v>
                </c:pt>
                <c:pt idx="33">
                  <c:v>12.58925411794168</c:v>
                </c:pt>
                <c:pt idx="34">
                  <c:v>13.593563908785256</c:v>
                </c:pt>
                <c:pt idx="35">
                  <c:v>14.677992676220699</c:v>
                </c:pt>
                <c:pt idx="36">
                  <c:v>15.848931924611136</c:v>
                </c:pt>
                <c:pt idx="37">
                  <c:v>17.113283041617812</c:v>
                </c:pt>
                <c:pt idx="38">
                  <c:v>18.478497974222911</c:v>
                </c:pt>
                <c:pt idx="39">
                  <c:v>19.952623149688804</c:v>
                </c:pt>
                <c:pt idx="40">
                  <c:v>21.544346900318843</c:v>
                </c:pt>
                <c:pt idx="41">
                  <c:v>23.263050671536273</c:v>
                </c:pt>
                <c:pt idx="42">
                  <c:v>25.118864315095799</c:v>
                </c:pt>
                <c:pt idx="43">
                  <c:v>27.122725793320289</c:v>
                </c:pt>
                <c:pt idx="44">
                  <c:v>29.286445646252368</c:v>
                </c:pt>
                <c:pt idx="45">
                  <c:v>31.622776601683803</c:v>
                </c:pt>
                <c:pt idx="46">
                  <c:v>34.145488738336034</c:v>
                </c:pt>
                <c:pt idx="47">
                  <c:v>36.869450645195769</c:v>
                </c:pt>
                <c:pt idx="48">
                  <c:v>39.810717055349755</c:v>
                </c:pt>
                <c:pt idx="49">
                  <c:v>42.986623470822771</c:v>
                </c:pt>
                <c:pt idx="50">
                  <c:v>46.415888336127807</c:v>
                </c:pt>
                <c:pt idx="51">
                  <c:v>50.118723362727238</c:v>
                </c:pt>
                <c:pt idx="52">
                  <c:v>54.11695265464639</c:v>
                </c:pt>
                <c:pt idx="53">
                  <c:v>58.434141337351775</c:v>
                </c:pt>
                <c:pt idx="54">
                  <c:v>63.095734448019364</c:v>
                </c:pt>
                <c:pt idx="55">
                  <c:v>68.129206905796124</c:v>
                </c:pt>
                <c:pt idx="56">
                  <c:v>73.564225445964155</c:v>
                </c:pt>
                <c:pt idx="57">
                  <c:v>79.432823472428197</c:v>
                </c:pt>
                <c:pt idx="58">
                  <c:v>85.769589859089479</c:v>
                </c:pt>
                <c:pt idx="59">
                  <c:v>92.611872812879369</c:v>
                </c:pt>
                <c:pt idx="60">
                  <c:v>100</c:v>
                </c:pt>
                <c:pt idx="61">
                  <c:v>107.97751623277095</c:v>
                </c:pt>
                <c:pt idx="62">
                  <c:v>116.59144011798328</c:v>
                </c:pt>
                <c:pt idx="63">
                  <c:v>125.89254117941677</c:v>
                </c:pt>
                <c:pt idx="64">
                  <c:v>135.93563908785265</c:v>
                </c:pt>
                <c:pt idx="65">
                  <c:v>146.77992676220697</c:v>
                </c:pt>
                <c:pt idx="66">
                  <c:v>158.48931924611153</c:v>
                </c:pt>
                <c:pt idx="67">
                  <c:v>171.13283041617817</c:v>
                </c:pt>
                <c:pt idx="68">
                  <c:v>184.7849797422291</c:v>
                </c:pt>
                <c:pt idx="69">
                  <c:v>199.52623149688802</c:v>
                </c:pt>
                <c:pt idx="70">
                  <c:v>215.44346900318848</c:v>
                </c:pt>
                <c:pt idx="71">
                  <c:v>232.6305067153628</c:v>
                </c:pt>
                <c:pt idx="72">
                  <c:v>251.18864315095806</c:v>
                </c:pt>
                <c:pt idx="73">
                  <c:v>271.22725793320296</c:v>
                </c:pt>
                <c:pt idx="74">
                  <c:v>292.86445646252383</c:v>
                </c:pt>
                <c:pt idx="75">
                  <c:v>316.22776601683825</c:v>
                </c:pt>
                <c:pt idx="76">
                  <c:v>341.4548873833603</c:v>
                </c:pt>
                <c:pt idx="77">
                  <c:v>368.69450645195781</c:v>
                </c:pt>
                <c:pt idx="78">
                  <c:v>398.10717055349761</c:v>
                </c:pt>
                <c:pt idx="79">
                  <c:v>429.86623470822781</c:v>
                </c:pt>
                <c:pt idx="80">
                  <c:v>464.15888336127819</c:v>
                </c:pt>
                <c:pt idx="81">
                  <c:v>501.18723362727269</c:v>
                </c:pt>
                <c:pt idx="82">
                  <c:v>541.16952654646434</c:v>
                </c:pt>
                <c:pt idx="83">
                  <c:v>584.34141337351787</c:v>
                </c:pt>
                <c:pt idx="84">
                  <c:v>630.95734448019323</c:v>
                </c:pt>
                <c:pt idx="85">
                  <c:v>681.29206905796195</c:v>
                </c:pt>
                <c:pt idx="86">
                  <c:v>735.64225445964166</c:v>
                </c:pt>
                <c:pt idx="87">
                  <c:v>794.32823472428208</c:v>
                </c:pt>
                <c:pt idx="88">
                  <c:v>857.69589859089422</c:v>
                </c:pt>
                <c:pt idx="89">
                  <c:v>926.11872812879471</c:v>
                </c:pt>
                <c:pt idx="90">
                  <c:v>1000</c:v>
                </c:pt>
                <c:pt idx="91">
                  <c:v>1079.7751623277097</c:v>
                </c:pt>
                <c:pt idx="92">
                  <c:v>1165.914401179833</c:v>
                </c:pt>
                <c:pt idx="93">
                  <c:v>1258.925411794168</c:v>
                </c:pt>
                <c:pt idx="94">
                  <c:v>1359.3563908785268</c:v>
                </c:pt>
                <c:pt idx="95">
                  <c:v>1467.7992676220699</c:v>
                </c:pt>
                <c:pt idx="96">
                  <c:v>1584.8931924611156</c:v>
                </c:pt>
                <c:pt idx="97">
                  <c:v>1711.3283041617822</c:v>
                </c:pt>
                <c:pt idx="98">
                  <c:v>1847.8497974222912</c:v>
                </c:pt>
                <c:pt idx="99">
                  <c:v>1995.2623149688804</c:v>
                </c:pt>
                <c:pt idx="100">
                  <c:v>2154.4346900318851</c:v>
                </c:pt>
                <c:pt idx="101">
                  <c:v>2326.3050671536284</c:v>
                </c:pt>
                <c:pt idx="102">
                  <c:v>2511.8864315095811</c:v>
                </c:pt>
                <c:pt idx="103">
                  <c:v>2712.2725793320301</c:v>
                </c:pt>
                <c:pt idx="104">
                  <c:v>2928.6445646252391</c:v>
                </c:pt>
                <c:pt idx="105">
                  <c:v>3162.2776601683804</c:v>
                </c:pt>
                <c:pt idx="106">
                  <c:v>3414.5488738336035</c:v>
                </c:pt>
                <c:pt idx="107">
                  <c:v>3686.9450645195784</c:v>
                </c:pt>
                <c:pt idx="108">
                  <c:v>3981.0717055349769</c:v>
                </c:pt>
                <c:pt idx="109">
                  <c:v>4298.6623470822833</c:v>
                </c:pt>
                <c:pt idx="110">
                  <c:v>4641.5888336127782</c:v>
                </c:pt>
                <c:pt idx="111">
                  <c:v>5011.8723362727324</c:v>
                </c:pt>
                <c:pt idx="112">
                  <c:v>5411.6952654646393</c:v>
                </c:pt>
                <c:pt idx="113">
                  <c:v>5843.4141337351803</c:v>
                </c:pt>
                <c:pt idx="114">
                  <c:v>6309.5734448019384</c:v>
                </c:pt>
                <c:pt idx="115">
                  <c:v>6812.9206905796218</c:v>
                </c:pt>
                <c:pt idx="116">
                  <c:v>7356.4225445964248</c:v>
                </c:pt>
                <c:pt idx="117">
                  <c:v>7943.2823472428154</c:v>
                </c:pt>
                <c:pt idx="118">
                  <c:v>8576.9589859089447</c:v>
                </c:pt>
                <c:pt idx="119">
                  <c:v>9261.187281287941</c:v>
                </c:pt>
                <c:pt idx="120">
                  <c:v>10000</c:v>
                </c:pt>
                <c:pt idx="121">
                  <c:v>10797.751623277109</c:v>
                </c:pt>
                <c:pt idx="122">
                  <c:v>11659.144011798313</c:v>
                </c:pt>
                <c:pt idx="123">
                  <c:v>12589.254117941671</c:v>
                </c:pt>
                <c:pt idx="124">
                  <c:v>13593.563908785283</c:v>
                </c:pt>
                <c:pt idx="125">
                  <c:v>14677.992676220729</c:v>
                </c:pt>
                <c:pt idx="126">
                  <c:v>15848.931924611146</c:v>
                </c:pt>
                <c:pt idx="127">
                  <c:v>17113.283041617826</c:v>
                </c:pt>
                <c:pt idx="128">
                  <c:v>18478.497974222933</c:v>
                </c:pt>
                <c:pt idx="129">
                  <c:v>19952.623149688792</c:v>
                </c:pt>
                <c:pt idx="130">
                  <c:v>21544.346900318837</c:v>
                </c:pt>
                <c:pt idx="131">
                  <c:v>23263.050671536268</c:v>
                </c:pt>
                <c:pt idx="132">
                  <c:v>25118.86431509586</c:v>
                </c:pt>
                <c:pt idx="133">
                  <c:v>27122.725793320307</c:v>
                </c:pt>
                <c:pt idx="134">
                  <c:v>29286.445646252399</c:v>
                </c:pt>
                <c:pt idx="135">
                  <c:v>31622.77660168384</c:v>
                </c:pt>
                <c:pt idx="136">
                  <c:v>34145.488738336011</c:v>
                </c:pt>
                <c:pt idx="137">
                  <c:v>36869.450645195764</c:v>
                </c:pt>
                <c:pt idx="138">
                  <c:v>39810.717055349742</c:v>
                </c:pt>
                <c:pt idx="139">
                  <c:v>42986.62347082288</c:v>
                </c:pt>
                <c:pt idx="140">
                  <c:v>46415.888336127835</c:v>
                </c:pt>
                <c:pt idx="141">
                  <c:v>50118.723362727294</c:v>
                </c:pt>
                <c:pt idx="142">
                  <c:v>54116.952654646455</c:v>
                </c:pt>
                <c:pt idx="143">
                  <c:v>58434.141337351764</c:v>
                </c:pt>
                <c:pt idx="144">
                  <c:v>63095.734448019342</c:v>
                </c:pt>
                <c:pt idx="145">
                  <c:v>68129.206905796163</c:v>
                </c:pt>
                <c:pt idx="146">
                  <c:v>73564.225445964199</c:v>
                </c:pt>
                <c:pt idx="147">
                  <c:v>79432.823472428237</c:v>
                </c:pt>
                <c:pt idx="148">
                  <c:v>85769.589859089538</c:v>
                </c:pt>
                <c:pt idx="149">
                  <c:v>92611.872812879505</c:v>
                </c:pt>
                <c:pt idx="150">
                  <c:v>100000</c:v>
                </c:pt>
                <c:pt idx="151">
                  <c:v>107977.51623277101</c:v>
                </c:pt>
                <c:pt idx="152">
                  <c:v>116591.44011798326</c:v>
                </c:pt>
                <c:pt idx="153">
                  <c:v>125892.54117941685</c:v>
                </c:pt>
                <c:pt idx="154">
                  <c:v>135935.63908785273</c:v>
                </c:pt>
                <c:pt idx="155">
                  <c:v>146779.92676220718</c:v>
                </c:pt>
                <c:pt idx="156">
                  <c:v>158489.31924611164</c:v>
                </c:pt>
                <c:pt idx="157">
                  <c:v>171132.83041617845</c:v>
                </c:pt>
                <c:pt idx="158">
                  <c:v>184784.97974222922</c:v>
                </c:pt>
                <c:pt idx="159">
                  <c:v>199526.23149688813</c:v>
                </c:pt>
                <c:pt idx="160">
                  <c:v>215443.46900318863</c:v>
                </c:pt>
                <c:pt idx="161">
                  <c:v>232630.50671536254</c:v>
                </c:pt>
                <c:pt idx="162">
                  <c:v>251188.64315095844</c:v>
                </c:pt>
                <c:pt idx="163">
                  <c:v>271227.25793320336</c:v>
                </c:pt>
                <c:pt idx="164">
                  <c:v>292864.45646252431</c:v>
                </c:pt>
                <c:pt idx="165">
                  <c:v>316227.7660168382</c:v>
                </c:pt>
                <c:pt idx="166">
                  <c:v>341454.88738336053</c:v>
                </c:pt>
                <c:pt idx="167">
                  <c:v>368694.50645195803</c:v>
                </c:pt>
                <c:pt idx="168">
                  <c:v>398107.17055349716</c:v>
                </c:pt>
                <c:pt idx="169">
                  <c:v>429866.2347082285</c:v>
                </c:pt>
                <c:pt idx="170">
                  <c:v>464158.88336127886</c:v>
                </c:pt>
                <c:pt idx="171">
                  <c:v>501187.23362727347</c:v>
                </c:pt>
                <c:pt idx="172">
                  <c:v>541169.52654646419</c:v>
                </c:pt>
                <c:pt idx="173">
                  <c:v>584341.41337351827</c:v>
                </c:pt>
                <c:pt idx="174">
                  <c:v>630957.34448019415</c:v>
                </c:pt>
                <c:pt idx="175">
                  <c:v>681292.06905796123</c:v>
                </c:pt>
                <c:pt idx="176">
                  <c:v>735642.25445964152</c:v>
                </c:pt>
                <c:pt idx="177">
                  <c:v>794328.23472428333</c:v>
                </c:pt>
                <c:pt idx="178">
                  <c:v>857695.89859089628</c:v>
                </c:pt>
                <c:pt idx="179">
                  <c:v>926118.72812879446</c:v>
                </c:pt>
                <c:pt idx="180">
                  <c:v>1000000</c:v>
                </c:pt>
                <c:pt idx="181">
                  <c:v>1079775.1623277115</c:v>
                </c:pt>
                <c:pt idx="182">
                  <c:v>1165914.4011798317</c:v>
                </c:pt>
                <c:pt idx="183">
                  <c:v>1258925.4117941677</c:v>
                </c:pt>
                <c:pt idx="184">
                  <c:v>1359356.3908785288</c:v>
                </c:pt>
                <c:pt idx="185">
                  <c:v>1467799.2676220734</c:v>
                </c:pt>
                <c:pt idx="186">
                  <c:v>1584893.1924611153</c:v>
                </c:pt>
                <c:pt idx="187">
                  <c:v>1711328.3041617833</c:v>
                </c:pt>
                <c:pt idx="188">
                  <c:v>1847849.797422294</c:v>
                </c:pt>
                <c:pt idx="189">
                  <c:v>1995262.31496888</c:v>
                </c:pt>
                <c:pt idx="190">
                  <c:v>2154434.6900318847</c:v>
                </c:pt>
                <c:pt idx="191">
                  <c:v>2326305.067153628</c:v>
                </c:pt>
                <c:pt idx="192">
                  <c:v>2511886.431509587</c:v>
                </c:pt>
                <c:pt idx="193">
                  <c:v>2712272.5793320318</c:v>
                </c:pt>
                <c:pt idx="194">
                  <c:v>2928644.5646252413</c:v>
                </c:pt>
                <c:pt idx="195">
                  <c:v>3162277.6601683851</c:v>
                </c:pt>
                <c:pt idx="196">
                  <c:v>3414548.8738336028</c:v>
                </c:pt>
                <c:pt idx="197">
                  <c:v>3686945.0645195777</c:v>
                </c:pt>
                <c:pt idx="198">
                  <c:v>3981071.705534976</c:v>
                </c:pt>
                <c:pt idx="199">
                  <c:v>4298662.3470822899</c:v>
                </c:pt>
                <c:pt idx="200">
                  <c:v>4641588.8336127857</c:v>
                </c:pt>
                <c:pt idx="201">
                  <c:v>5011872.3362727314</c:v>
                </c:pt>
                <c:pt idx="202">
                  <c:v>5411695.2654646477</c:v>
                </c:pt>
                <c:pt idx="203">
                  <c:v>5843414.133735179</c:v>
                </c:pt>
                <c:pt idx="204">
                  <c:v>6309573.4448019378</c:v>
                </c:pt>
                <c:pt idx="205">
                  <c:v>6812920.6905796202</c:v>
                </c:pt>
                <c:pt idx="206">
                  <c:v>7356422.5445964225</c:v>
                </c:pt>
                <c:pt idx="207">
                  <c:v>7943282.3472428275</c:v>
                </c:pt>
                <c:pt idx="208">
                  <c:v>8576958.9859089572</c:v>
                </c:pt>
                <c:pt idx="209">
                  <c:v>9261187.2812879551</c:v>
                </c:pt>
                <c:pt idx="210">
                  <c:v>10000000</c:v>
                </c:pt>
              </c:numCache>
            </c:numRef>
          </c:xVal>
          <c:yVal>
            <c:numRef>
              <c:f>'Small Signal'!$O$2:$O$212</c:f>
              <c:numCache>
                <c:formatCode>General</c:formatCode>
                <c:ptCount val="21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numCache>
            </c:numRef>
          </c:yVal>
          <c:smooth val="1"/>
          <c:extLst xmlns:c16r2="http://schemas.microsoft.com/office/drawing/2015/06/chart">
            <c:ext xmlns:c16="http://schemas.microsoft.com/office/drawing/2014/chart" uri="{C3380CC4-5D6E-409C-BE32-E72D297353CC}">
              <c16:uniqueId val="{00000004-042A-452A-95C5-5D6672919C70}"/>
            </c:ext>
          </c:extLst>
        </c:ser>
        <c:ser>
          <c:idx val="4"/>
          <c:order val="5"/>
          <c:tx>
            <c:v>Compensation Phase</c:v>
          </c:tx>
          <c:spPr>
            <a:ln w="25400">
              <a:solidFill>
                <a:srgbClr val="FF0000"/>
              </a:solidFill>
              <a:prstDash val="sysDash"/>
            </a:ln>
          </c:spPr>
          <c:marker>
            <c:symbol val="none"/>
          </c:marker>
          <c:xVal>
            <c:numRef>
              <c:f>'Small Signal'!$L$2:$L$212</c:f>
              <c:numCache>
                <c:formatCode>General</c:formatCode>
                <c:ptCount val="211"/>
                <c:pt idx="0">
                  <c:v>1</c:v>
                </c:pt>
                <c:pt idx="1">
                  <c:v>1.0797751623277096</c:v>
                </c:pt>
                <c:pt idx="2">
                  <c:v>1.1659144011798317</c:v>
                </c:pt>
                <c:pt idx="3">
                  <c:v>1.2589254117941673</c:v>
                </c:pt>
                <c:pt idx="4">
                  <c:v>1.3593563908785258</c:v>
                </c:pt>
                <c:pt idx="5">
                  <c:v>1.4677992676220697</c:v>
                </c:pt>
                <c:pt idx="6">
                  <c:v>1.5848931924611136</c:v>
                </c:pt>
                <c:pt idx="7">
                  <c:v>1.7113283041617808</c:v>
                </c:pt>
                <c:pt idx="8">
                  <c:v>1.8478497974222912</c:v>
                </c:pt>
                <c:pt idx="9">
                  <c:v>1.9952623149688797</c:v>
                </c:pt>
                <c:pt idx="10">
                  <c:v>2.1544346900318838</c:v>
                </c:pt>
                <c:pt idx="11">
                  <c:v>2.3263050671536263</c:v>
                </c:pt>
                <c:pt idx="12">
                  <c:v>2.5118864315095806</c:v>
                </c:pt>
                <c:pt idx="13">
                  <c:v>2.7122725793320286</c:v>
                </c:pt>
                <c:pt idx="14">
                  <c:v>2.9286445646252366</c:v>
                </c:pt>
                <c:pt idx="15">
                  <c:v>3.1622776601683795</c:v>
                </c:pt>
                <c:pt idx="16">
                  <c:v>3.4145488738336023</c:v>
                </c:pt>
                <c:pt idx="17">
                  <c:v>3.6869450645195756</c:v>
                </c:pt>
                <c:pt idx="18">
                  <c:v>3.9810717055349727</c:v>
                </c:pt>
                <c:pt idx="19">
                  <c:v>4.2986623470822769</c:v>
                </c:pt>
                <c:pt idx="20">
                  <c:v>4.6415888336127793</c:v>
                </c:pt>
                <c:pt idx="21">
                  <c:v>5.0118723362727229</c:v>
                </c:pt>
                <c:pt idx="22">
                  <c:v>5.4116952654646369</c:v>
                </c:pt>
                <c:pt idx="23">
                  <c:v>5.8434141337351777</c:v>
                </c:pt>
                <c:pt idx="24">
                  <c:v>6.3095734448019343</c:v>
                </c:pt>
                <c:pt idx="25">
                  <c:v>6.812920690579614</c:v>
                </c:pt>
                <c:pt idx="26">
                  <c:v>7.3564225445964153</c:v>
                </c:pt>
                <c:pt idx="27">
                  <c:v>7.9432823472428176</c:v>
                </c:pt>
                <c:pt idx="28">
                  <c:v>8.5769589859089415</c:v>
                </c:pt>
                <c:pt idx="29">
                  <c:v>9.2611872812879383</c:v>
                </c:pt>
                <c:pt idx="30">
                  <c:v>10</c:v>
                </c:pt>
                <c:pt idx="31">
                  <c:v>10.797751623277103</c:v>
                </c:pt>
                <c:pt idx="32">
                  <c:v>11.659144011798322</c:v>
                </c:pt>
                <c:pt idx="33">
                  <c:v>12.58925411794168</c:v>
                </c:pt>
                <c:pt idx="34">
                  <c:v>13.593563908785256</c:v>
                </c:pt>
                <c:pt idx="35">
                  <c:v>14.677992676220699</c:v>
                </c:pt>
                <c:pt idx="36">
                  <c:v>15.848931924611136</c:v>
                </c:pt>
                <c:pt idx="37">
                  <c:v>17.113283041617812</c:v>
                </c:pt>
                <c:pt idx="38">
                  <c:v>18.478497974222911</c:v>
                </c:pt>
                <c:pt idx="39">
                  <c:v>19.952623149688804</c:v>
                </c:pt>
                <c:pt idx="40">
                  <c:v>21.544346900318843</c:v>
                </c:pt>
                <c:pt idx="41">
                  <c:v>23.263050671536273</c:v>
                </c:pt>
                <c:pt idx="42">
                  <c:v>25.118864315095799</c:v>
                </c:pt>
                <c:pt idx="43">
                  <c:v>27.122725793320289</c:v>
                </c:pt>
                <c:pt idx="44">
                  <c:v>29.286445646252368</c:v>
                </c:pt>
                <c:pt idx="45">
                  <c:v>31.622776601683803</c:v>
                </c:pt>
                <c:pt idx="46">
                  <c:v>34.145488738336034</c:v>
                </c:pt>
                <c:pt idx="47">
                  <c:v>36.869450645195769</c:v>
                </c:pt>
                <c:pt idx="48">
                  <c:v>39.810717055349755</c:v>
                </c:pt>
                <c:pt idx="49">
                  <c:v>42.986623470822771</c:v>
                </c:pt>
                <c:pt idx="50">
                  <c:v>46.415888336127807</c:v>
                </c:pt>
                <c:pt idx="51">
                  <c:v>50.118723362727238</c:v>
                </c:pt>
                <c:pt idx="52">
                  <c:v>54.11695265464639</c:v>
                </c:pt>
                <c:pt idx="53">
                  <c:v>58.434141337351775</c:v>
                </c:pt>
                <c:pt idx="54">
                  <c:v>63.095734448019364</c:v>
                </c:pt>
                <c:pt idx="55">
                  <c:v>68.129206905796124</c:v>
                </c:pt>
                <c:pt idx="56">
                  <c:v>73.564225445964155</c:v>
                </c:pt>
                <c:pt idx="57">
                  <c:v>79.432823472428197</c:v>
                </c:pt>
                <c:pt idx="58">
                  <c:v>85.769589859089479</c:v>
                </c:pt>
                <c:pt idx="59">
                  <c:v>92.611872812879369</c:v>
                </c:pt>
                <c:pt idx="60">
                  <c:v>100</c:v>
                </c:pt>
                <c:pt idx="61">
                  <c:v>107.97751623277095</c:v>
                </c:pt>
                <c:pt idx="62">
                  <c:v>116.59144011798328</c:v>
                </c:pt>
                <c:pt idx="63">
                  <c:v>125.89254117941677</c:v>
                </c:pt>
                <c:pt idx="64">
                  <c:v>135.93563908785265</c:v>
                </c:pt>
                <c:pt idx="65">
                  <c:v>146.77992676220697</c:v>
                </c:pt>
                <c:pt idx="66">
                  <c:v>158.48931924611153</c:v>
                </c:pt>
                <c:pt idx="67">
                  <c:v>171.13283041617817</c:v>
                </c:pt>
                <c:pt idx="68">
                  <c:v>184.7849797422291</c:v>
                </c:pt>
                <c:pt idx="69">
                  <c:v>199.52623149688802</c:v>
                </c:pt>
                <c:pt idx="70">
                  <c:v>215.44346900318848</c:v>
                </c:pt>
                <c:pt idx="71">
                  <c:v>232.6305067153628</c:v>
                </c:pt>
                <c:pt idx="72">
                  <c:v>251.18864315095806</c:v>
                </c:pt>
                <c:pt idx="73">
                  <c:v>271.22725793320296</c:v>
                </c:pt>
                <c:pt idx="74">
                  <c:v>292.86445646252383</c:v>
                </c:pt>
                <c:pt idx="75">
                  <c:v>316.22776601683825</c:v>
                </c:pt>
                <c:pt idx="76">
                  <c:v>341.4548873833603</c:v>
                </c:pt>
                <c:pt idx="77">
                  <c:v>368.69450645195781</c:v>
                </c:pt>
                <c:pt idx="78">
                  <c:v>398.10717055349761</c:v>
                </c:pt>
                <c:pt idx="79">
                  <c:v>429.86623470822781</c:v>
                </c:pt>
                <c:pt idx="80">
                  <c:v>464.15888336127819</c:v>
                </c:pt>
                <c:pt idx="81">
                  <c:v>501.18723362727269</c:v>
                </c:pt>
                <c:pt idx="82">
                  <c:v>541.16952654646434</c:v>
                </c:pt>
                <c:pt idx="83">
                  <c:v>584.34141337351787</c:v>
                </c:pt>
                <c:pt idx="84">
                  <c:v>630.95734448019323</c:v>
                </c:pt>
                <c:pt idx="85">
                  <c:v>681.29206905796195</c:v>
                </c:pt>
                <c:pt idx="86">
                  <c:v>735.64225445964166</c:v>
                </c:pt>
                <c:pt idx="87">
                  <c:v>794.32823472428208</c:v>
                </c:pt>
                <c:pt idx="88">
                  <c:v>857.69589859089422</c:v>
                </c:pt>
                <c:pt idx="89">
                  <c:v>926.11872812879471</c:v>
                </c:pt>
                <c:pt idx="90">
                  <c:v>1000</c:v>
                </c:pt>
                <c:pt idx="91">
                  <c:v>1079.7751623277097</c:v>
                </c:pt>
                <c:pt idx="92">
                  <c:v>1165.914401179833</c:v>
                </c:pt>
                <c:pt idx="93">
                  <c:v>1258.925411794168</c:v>
                </c:pt>
                <c:pt idx="94">
                  <c:v>1359.3563908785268</c:v>
                </c:pt>
                <c:pt idx="95">
                  <c:v>1467.7992676220699</c:v>
                </c:pt>
                <c:pt idx="96">
                  <c:v>1584.8931924611156</c:v>
                </c:pt>
                <c:pt idx="97">
                  <c:v>1711.3283041617822</c:v>
                </c:pt>
                <c:pt idx="98">
                  <c:v>1847.8497974222912</c:v>
                </c:pt>
                <c:pt idx="99">
                  <c:v>1995.2623149688804</c:v>
                </c:pt>
                <c:pt idx="100">
                  <c:v>2154.4346900318851</c:v>
                </c:pt>
                <c:pt idx="101">
                  <c:v>2326.3050671536284</c:v>
                </c:pt>
                <c:pt idx="102">
                  <c:v>2511.8864315095811</c:v>
                </c:pt>
                <c:pt idx="103">
                  <c:v>2712.2725793320301</c:v>
                </c:pt>
                <c:pt idx="104">
                  <c:v>2928.6445646252391</c:v>
                </c:pt>
                <c:pt idx="105">
                  <c:v>3162.2776601683804</c:v>
                </c:pt>
                <c:pt idx="106">
                  <c:v>3414.5488738336035</c:v>
                </c:pt>
                <c:pt idx="107">
                  <c:v>3686.9450645195784</c:v>
                </c:pt>
                <c:pt idx="108">
                  <c:v>3981.0717055349769</c:v>
                </c:pt>
                <c:pt idx="109">
                  <c:v>4298.6623470822833</c:v>
                </c:pt>
                <c:pt idx="110">
                  <c:v>4641.5888336127782</c:v>
                </c:pt>
                <c:pt idx="111">
                  <c:v>5011.8723362727324</c:v>
                </c:pt>
                <c:pt idx="112">
                  <c:v>5411.6952654646393</c:v>
                </c:pt>
                <c:pt idx="113">
                  <c:v>5843.4141337351803</c:v>
                </c:pt>
                <c:pt idx="114">
                  <c:v>6309.5734448019384</c:v>
                </c:pt>
                <c:pt idx="115">
                  <c:v>6812.9206905796218</c:v>
                </c:pt>
                <c:pt idx="116">
                  <c:v>7356.4225445964248</c:v>
                </c:pt>
                <c:pt idx="117">
                  <c:v>7943.2823472428154</c:v>
                </c:pt>
                <c:pt idx="118">
                  <c:v>8576.9589859089447</c:v>
                </c:pt>
                <c:pt idx="119">
                  <c:v>9261.187281287941</c:v>
                </c:pt>
                <c:pt idx="120">
                  <c:v>10000</c:v>
                </c:pt>
                <c:pt idx="121">
                  <c:v>10797.751623277109</c:v>
                </c:pt>
                <c:pt idx="122">
                  <c:v>11659.144011798313</c:v>
                </c:pt>
                <c:pt idx="123">
                  <c:v>12589.254117941671</c:v>
                </c:pt>
                <c:pt idx="124">
                  <c:v>13593.563908785283</c:v>
                </c:pt>
                <c:pt idx="125">
                  <c:v>14677.992676220729</c:v>
                </c:pt>
                <c:pt idx="126">
                  <c:v>15848.931924611146</c:v>
                </c:pt>
                <c:pt idx="127">
                  <c:v>17113.283041617826</c:v>
                </c:pt>
                <c:pt idx="128">
                  <c:v>18478.497974222933</c:v>
                </c:pt>
                <c:pt idx="129">
                  <c:v>19952.623149688792</c:v>
                </c:pt>
                <c:pt idx="130">
                  <c:v>21544.346900318837</c:v>
                </c:pt>
                <c:pt idx="131">
                  <c:v>23263.050671536268</c:v>
                </c:pt>
                <c:pt idx="132">
                  <c:v>25118.86431509586</c:v>
                </c:pt>
                <c:pt idx="133">
                  <c:v>27122.725793320307</c:v>
                </c:pt>
                <c:pt idx="134">
                  <c:v>29286.445646252399</c:v>
                </c:pt>
                <c:pt idx="135">
                  <c:v>31622.77660168384</c:v>
                </c:pt>
                <c:pt idx="136">
                  <c:v>34145.488738336011</c:v>
                </c:pt>
                <c:pt idx="137">
                  <c:v>36869.450645195764</c:v>
                </c:pt>
                <c:pt idx="138">
                  <c:v>39810.717055349742</c:v>
                </c:pt>
                <c:pt idx="139">
                  <c:v>42986.62347082288</c:v>
                </c:pt>
                <c:pt idx="140">
                  <c:v>46415.888336127835</c:v>
                </c:pt>
                <c:pt idx="141">
                  <c:v>50118.723362727294</c:v>
                </c:pt>
                <c:pt idx="142">
                  <c:v>54116.952654646455</c:v>
                </c:pt>
                <c:pt idx="143">
                  <c:v>58434.141337351764</c:v>
                </c:pt>
                <c:pt idx="144">
                  <c:v>63095.734448019342</c:v>
                </c:pt>
                <c:pt idx="145">
                  <c:v>68129.206905796163</c:v>
                </c:pt>
                <c:pt idx="146">
                  <c:v>73564.225445964199</c:v>
                </c:pt>
                <c:pt idx="147">
                  <c:v>79432.823472428237</c:v>
                </c:pt>
                <c:pt idx="148">
                  <c:v>85769.589859089538</c:v>
                </c:pt>
                <c:pt idx="149">
                  <c:v>92611.872812879505</c:v>
                </c:pt>
                <c:pt idx="150">
                  <c:v>100000</c:v>
                </c:pt>
                <c:pt idx="151">
                  <c:v>107977.51623277101</c:v>
                </c:pt>
                <c:pt idx="152">
                  <c:v>116591.44011798326</c:v>
                </c:pt>
                <c:pt idx="153">
                  <c:v>125892.54117941685</c:v>
                </c:pt>
                <c:pt idx="154">
                  <c:v>135935.63908785273</c:v>
                </c:pt>
                <c:pt idx="155">
                  <c:v>146779.92676220718</c:v>
                </c:pt>
                <c:pt idx="156">
                  <c:v>158489.31924611164</c:v>
                </c:pt>
                <c:pt idx="157">
                  <c:v>171132.83041617845</c:v>
                </c:pt>
                <c:pt idx="158">
                  <c:v>184784.97974222922</c:v>
                </c:pt>
                <c:pt idx="159">
                  <c:v>199526.23149688813</c:v>
                </c:pt>
                <c:pt idx="160">
                  <c:v>215443.46900318863</c:v>
                </c:pt>
                <c:pt idx="161">
                  <c:v>232630.50671536254</c:v>
                </c:pt>
                <c:pt idx="162">
                  <c:v>251188.64315095844</c:v>
                </c:pt>
                <c:pt idx="163">
                  <c:v>271227.25793320336</c:v>
                </c:pt>
                <c:pt idx="164">
                  <c:v>292864.45646252431</c:v>
                </c:pt>
                <c:pt idx="165">
                  <c:v>316227.7660168382</c:v>
                </c:pt>
                <c:pt idx="166">
                  <c:v>341454.88738336053</c:v>
                </c:pt>
                <c:pt idx="167">
                  <c:v>368694.50645195803</c:v>
                </c:pt>
                <c:pt idx="168">
                  <c:v>398107.17055349716</c:v>
                </c:pt>
                <c:pt idx="169">
                  <c:v>429866.2347082285</c:v>
                </c:pt>
                <c:pt idx="170">
                  <c:v>464158.88336127886</c:v>
                </c:pt>
                <c:pt idx="171">
                  <c:v>501187.23362727347</c:v>
                </c:pt>
                <c:pt idx="172">
                  <c:v>541169.52654646419</c:v>
                </c:pt>
                <c:pt idx="173">
                  <c:v>584341.41337351827</c:v>
                </c:pt>
                <c:pt idx="174">
                  <c:v>630957.34448019415</c:v>
                </c:pt>
                <c:pt idx="175">
                  <c:v>681292.06905796123</c:v>
                </c:pt>
                <c:pt idx="176">
                  <c:v>735642.25445964152</c:v>
                </c:pt>
                <c:pt idx="177">
                  <c:v>794328.23472428333</c:v>
                </c:pt>
                <c:pt idx="178">
                  <c:v>857695.89859089628</c:v>
                </c:pt>
                <c:pt idx="179">
                  <c:v>926118.72812879446</c:v>
                </c:pt>
                <c:pt idx="180">
                  <c:v>1000000</c:v>
                </c:pt>
                <c:pt idx="181">
                  <c:v>1079775.1623277115</c:v>
                </c:pt>
                <c:pt idx="182">
                  <c:v>1165914.4011798317</c:v>
                </c:pt>
                <c:pt idx="183">
                  <c:v>1258925.4117941677</c:v>
                </c:pt>
                <c:pt idx="184">
                  <c:v>1359356.3908785288</c:v>
                </c:pt>
                <c:pt idx="185">
                  <c:v>1467799.2676220734</c:v>
                </c:pt>
                <c:pt idx="186">
                  <c:v>1584893.1924611153</c:v>
                </c:pt>
                <c:pt idx="187">
                  <c:v>1711328.3041617833</c:v>
                </c:pt>
                <c:pt idx="188">
                  <c:v>1847849.797422294</c:v>
                </c:pt>
                <c:pt idx="189">
                  <c:v>1995262.31496888</c:v>
                </c:pt>
                <c:pt idx="190">
                  <c:v>2154434.6900318847</c:v>
                </c:pt>
                <c:pt idx="191">
                  <c:v>2326305.067153628</c:v>
                </c:pt>
                <c:pt idx="192">
                  <c:v>2511886.431509587</c:v>
                </c:pt>
                <c:pt idx="193">
                  <c:v>2712272.5793320318</c:v>
                </c:pt>
                <c:pt idx="194">
                  <c:v>2928644.5646252413</c:v>
                </c:pt>
                <c:pt idx="195">
                  <c:v>3162277.6601683851</c:v>
                </c:pt>
                <c:pt idx="196">
                  <c:v>3414548.8738336028</c:v>
                </c:pt>
                <c:pt idx="197">
                  <c:v>3686945.0645195777</c:v>
                </c:pt>
                <c:pt idx="198">
                  <c:v>3981071.705534976</c:v>
                </c:pt>
                <c:pt idx="199">
                  <c:v>4298662.3470822899</c:v>
                </c:pt>
                <c:pt idx="200">
                  <c:v>4641588.8336127857</c:v>
                </c:pt>
                <c:pt idx="201">
                  <c:v>5011872.3362727314</c:v>
                </c:pt>
                <c:pt idx="202">
                  <c:v>5411695.2654646477</c:v>
                </c:pt>
                <c:pt idx="203">
                  <c:v>5843414.133735179</c:v>
                </c:pt>
                <c:pt idx="204">
                  <c:v>6309573.4448019378</c:v>
                </c:pt>
                <c:pt idx="205">
                  <c:v>6812920.6905796202</c:v>
                </c:pt>
                <c:pt idx="206">
                  <c:v>7356422.5445964225</c:v>
                </c:pt>
                <c:pt idx="207">
                  <c:v>7943282.3472428275</c:v>
                </c:pt>
                <c:pt idx="208">
                  <c:v>8576958.9859089572</c:v>
                </c:pt>
                <c:pt idx="209">
                  <c:v>9261187.2812879551</c:v>
                </c:pt>
                <c:pt idx="210">
                  <c:v>10000000</c:v>
                </c:pt>
              </c:numCache>
            </c:numRef>
          </c:xVal>
          <c:yVal>
            <c:numRef>
              <c:f>'Small Signal'!$Y$2:$Y$212</c:f>
              <c:numCache>
                <c:formatCode>General</c:formatCode>
                <c:ptCount val="21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numCache>
            </c:numRef>
          </c:yVal>
          <c:smooth val="1"/>
          <c:extLst xmlns:c16r2="http://schemas.microsoft.com/office/drawing/2015/06/chart">
            <c:ext xmlns:c16="http://schemas.microsoft.com/office/drawing/2014/chart" uri="{C3380CC4-5D6E-409C-BE32-E72D297353CC}">
              <c16:uniqueId val="{00000005-042A-452A-95C5-5D6672919C70}"/>
            </c:ext>
          </c:extLst>
        </c:ser>
        <c:dLbls>
          <c:showLegendKey val="0"/>
          <c:showVal val="0"/>
          <c:showCatName val="0"/>
          <c:showSerName val="0"/>
          <c:showPercent val="0"/>
          <c:showBubbleSize val="0"/>
        </c:dLbls>
        <c:axId val="536296832"/>
        <c:axId val="536298624"/>
      </c:scatterChart>
      <c:valAx>
        <c:axId val="756411776"/>
        <c:scaling>
          <c:logBase val="10"/>
          <c:orientation val="minMax"/>
          <c:max val="1000000"/>
          <c:min val="10"/>
        </c:scaling>
        <c:delete val="1"/>
        <c:axPos val="b"/>
        <c:majorGridlines>
          <c:spPr>
            <a:ln w="3175">
              <a:solidFill>
                <a:srgbClr val="000000"/>
              </a:solidFill>
              <a:prstDash val="solid"/>
            </a:ln>
          </c:spPr>
        </c:majorGridlines>
        <c:title>
          <c:tx>
            <c:rich>
              <a:bodyPr/>
              <a:lstStyle/>
              <a:p>
                <a:pPr>
                  <a:defRPr sz="1000" b="1" i="0" u="none" strike="noStrike" baseline="0">
                    <a:solidFill>
                      <a:srgbClr val="000000"/>
                    </a:solidFill>
                    <a:latin typeface="Arial"/>
                    <a:ea typeface="Arial"/>
                    <a:cs typeface="Arial"/>
                  </a:defRPr>
                </a:pPr>
                <a:r>
                  <a:rPr lang="en-US"/>
                  <a:t>Frequency (Hz)</a:t>
                </a:r>
              </a:p>
            </c:rich>
          </c:tx>
          <c:layout>
            <c:manualLayout>
              <c:xMode val="edge"/>
              <c:yMode val="edge"/>
              <c:x val="0.43990130318677484"/>
              <c:y val="0.88903473333438965"/>
            </c:manualLayout>
          </c:layout>
          <c:overlay val="0"/>
          <c:spPr>
            <a:noFill/>
            <a:ln w="25400">
              <a:noFill/>
            </a:ln>
          </c:spPr>
        </c:title>
        <c:numFmt formatCode="General" sourceLinked="1"/>
        <c:majorTickMark val="out"/>
        <c:minorTickMark val="none"/>
        <c:tickLblPos val="nextTo"/>
        <c:crossAx val="536294912"/>
        <c:crossesAt val="0"/>
        <c:crossBetween val="midCat"/>
      </c:valAx>
      <c:valAx>
        <c:axId val="536294912"/>
        <c:scaling>
          <c:orientation val="minMax"/>
          <c:max val="60"/>
          <c:min val="-40"/>
        </c:scaling>
        <c:delete val="0"/>
        <c:axPos val="l"/>
        <c:majorGridlines>
          <c:spPr>
            <a:ln w="3175">
              <a:solidFill>
                <a:srgbClr val="000000"/>
              </a:solidFill>
              <a:prstDash val="solid"/>
            </a:ln>
          </c:spPr>
        </c:majorGridlines>
        <c:minorGridlines/>
        <c:title>
          <c:tx>
            <c:rich>
              <a:bodyPr/>
              <a:lstStyle/>
              <a:p>
                <a:pPr>
                  <a:defRPr sz="1000" b="1" i="0" u="none" strike="noStrike" baseline="0">
                    <a:solidFill>
                      <a:srgbClr val="000000"/>
                    </a:solidFill>
                    <a:latin typeface="Arial"/>
                    <a:ea typeface="Arial"/>
                    <a:cs typeface="Arial"/>
                  </a:defRPr>
                </a:pPr>
                <a:r>
                  <a:rPr lang="en-US"/>
                  <a:t>Gain - dB</a:t>
                </a:r>
              </a:p>
            </c:rich>
          </c:tx>
          <c:layout>
            <c:manualLayout>
              <c:xMode val="edge"/>
              <c:yMode val="edge"/>
              <c:x val="1.6337105465302676E-2"/>
              <c:y val="0.41125163051801622"/>
            </c:manualLayout>
          </c:layout>
          <c:overlay val="0"/>
          <c:spPr>
            <a:noFill/>
            <a:ln w="25400">
              <a:noFill/>
            </a:ln>
          </c:spPr>
        </c:title>
        <c:numFmt formatCode="General" sourceLinked="1"/>
        <c:majorTickMark val="cross"/>
        <c:minorTickMark val="none"/>
        <c:tickLblPos val="nextTo"/>
        <c:txPr>
          <a:bodyPr rot="0" vert="horz"/>
          <a:lstStyle/>
          <a:p>
            <a:pPr>
              <a:defRPr sz="1000" b="0" i="0" u="none" strike="noStrike" baseline="0">
                <a:solidFill>
                  <a:srgbClr val="000000"/>
                </a:solidFill>
                <a:latin typeface="Arial"/>
                <a:ea typeface="Arial"/>
                <a:cs typeface="Arial"/>
              </a:defRPr>
            </a:pPr>
            <a:endParaRPr lang="en-US"/>
          </a:p>
        </c:txPr>
        <c:crossAx val="756411776"/>
        <c:crosses val="autoZero"/>
        <c:crossBetween val="midCat"/>
        <c:majorUnit val="10"/>
        <c:minorUnit val="5"/>
      </c:valAx>
      <c:valAx>
        <c:axId val="536296832"/>
        <c:scaling>
          <c:logBase val="10"/>
          <c:orientation val="minMax"/>
          <c:max val="1000000"/>
          <c:min val="10"/>
        </c:scaling>
        <c:delete val="0"/>
        <c:axPos val="b"/>
        <c:minorGridlines/>
        <c:numFmt formatCode="General" sourceLinked="1"/>
        <c:majorTickMark val="cross"/>
        <c:minorTickMark val="none"/>
        <c:tickLblPos val="low"/>
        <c:spPr>
          <a:ln w="19050" cmpd="sng">
            <a:solidFill>
              <a:schemeClr val="tx1"/>
            </a:solidFill>
          </a:ln>
        </c:spPr>
        <c:txPr>
          <a:bodyPr rot="0" vert="horz"/>
          <a:lstStyle/>
          <a:p>
            <a:pPr>
              <a:defRPr sz="1000" b="0" i="0" u="none" strike="noStrike" baseline="0">
                <a:solidFill>
                  <a:srgbClr val="000000"/>
                </a:solidFill>
                <a:latin typeface="Arial"/>
                <a:ea typeface="Arial"/>
                <a:cs typeface="Arial"/>
              </a:defRPr>
            </a:pPr>
            <a:endParaRPr lang="en-US"/>
          </a:p>
        </c:txPr>
        <c:crossAx val="536298624"/>
        <c:crosses val="autoZero"/>
        <c:crossBetween val="midCat"/>
      </c:valAx>
      <c:valAx>
        <c:axId val="536298624"/>
        <c:scaling>
          <c:orientation val="minMax"/>
          <c:max val="270"/>
          <c:min val="-180"/>
        </c:scaling>
        <c:delete val="0"/>
        <c:axPos val="r"/>
        <c:title>
          <c:tx>
            <c:rich>
              <a:bodyPr/>
              <a:lstStyle/>
              <a:p>
                <a:pPr>
                  <a:defRPr sz="1000" b="1" i="0" u="none" strike="noStrike" baseline="0">
                    <a:solidFill>
                      <a:srgbClr val="000000"/>
                    </a:solidFill>
                    <a:latin typeface="Arial"/>
                    <a:ea typeface="Arial"/>
                    <a:cs typeface="Arial"/>
                  </a:defRPr>
                </a:pPr>
                <a:r>
                  <a:rPr lang="en-US"/>
                  <a:t>Phase - deg</a:t>
                </a:r>
              </a:p>
            </c:rich>
          </c:tx>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Arial"/>
                <a:ea typeface="Arial"/>
                <a:cs typeface="Arial"/>
              </a:defRPr>
            </a:pPr>
            <a:endParaRPr lang="en-US"/>
          </a:p>
        </c:txPr>
        <c:crossAx val="536296832"/>
        <c:crosses val="max"/>
        <c:crossBetween val="midCat"/>
        <c:majorUnit val="45"/>
      </c:valAx>
      <c:spPr>
        <a:noFill/>
        <a:ln w="12700">
          <a:solidFill>
            <a:srgbClr val="808080"/>
          </a:solidFill>
          <a:prstDash val="solid"/>
        </a:ln>
      </c:spPr>
    </c:plotArea>
    <c:legend>
      <c:legendPos val="r"/>
      <c:layout>
        <c:manualLayout>
          <c:xMode val="edge"/>
          <c:yMode val="edge"/>
          <c:x val="5.519254265330123E-2"/>
          <c:y val="0.92555450815126983"/>
          <c:w val="0.87509163478748164"/>
          <c:h val="2.917505030181089E-2"/>
        </c:manualLayout>
      </c:layout>
      <c:overlay val="0"/>
      <c:spPr>
        <a:solidFill>
          <a:srgbClr val="FFFFFF"/>
        </a:solidFill>
        <a:ln w="3175">
          <a:solidFill>
            <a:srgbClr val="000000"/>
          </a:solidFill>
          <a:prstDash val="solid"/>
        </a:ln>
      </c:spPr>
      <c:txPr>
        <a:bodyPr/>
        <a:lstStyle/>
        <a:p>
          <a:pPr>
            <a:defRPr sz="900"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oddHeader>&amp;A</c:oddHeader>
      <c:oddFooter>Page &amp;P</c:oddFooter>
    </c:headerFooter>
    <c:pageMargins b="1" l="0.75000000000000211" r="0.75000000000000211" t="1" header="0.5" footer="0.5"/>
    <c:pageSetup orientation="landscape"/>
  </c:printSettings>
</c:chartSpace>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5" Type="http://schemas.openxmlformats.org/officeDocument/2006/relationships/image" Target="../media/image6.png"/><Relationship Id="rId4" Type="http://schemas.openxmlformats.org/officeDocument/2006/relationships/image" Target="../media/image5.png"/></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38100</xdr:colOff>
          <xdr:row>0</xdr:row>
          <xdr:rowOff>50800</xdr:rowOff>
        </xdr:from>
        <xdr:to>
          <xdr:col>7</xdr:col>
          <xdr:colOff>495300</xdr:colOff>
          <xdr:row>2</xdr:row>
          <xdr:rowOff>146050</xdr:rowOff>
        </xdr:to>
        <xdr:sp macro="" textlink="">
          <xdr:nvSpPr>
            <xdr:cNvPr id="9217" name="Button 1" hidden="1">
              <a:extLst>
                <a:ext uri="{63B3BB69-23CF-44E3-9099-C40C66FF867C}">
                  <a14:compatExt spid="_x0000_s9217"/>
                </a:ext>
              </a:extLst>
            </xdr:cNvPr>
            <xdr:cNvSpPr/>
          </xdr:nvSpPr>
          <xdr:spPr>
            <a:xfrm>
              <a:off x="0" y="0"/>
              <a:ext cx="0" cy="0"/>
            </a:xfrm>
            <a:prstGeom prst="rect">
              <a:avLst/>
            </a:prstGeom>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Arial"/>
                  <a:cs typeface="Arial"/>
                </a:rPr>
                <a:t>Check/Calculate Selected Column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7</xdr:col>
          <xdr:colOff>666750</xdr:colOff>
          <xdr:row>0</xdr:row>
          <xdr:rowOff>38100</xdr:rowOff>
        </xdr:from>
        <xdr:to>
          <xdr:col>9</xdr:col>
          <xdr:colOff>317500</xdr:colOff>
          <xdr:row>2</xdr:row>
          <xdr:rowOff>146050</xdr:rowOff>
        </xdr:to>
        <xdr:sp macro="" textlink="">
          <xdr:nvSpPr>
            <xdr:cNvPr id="9218" name="Button 2" hidden="1">
              <a:extLst>
                <a:ext uri="{63B3BB69-23CF-44E3-9099-C40C66FF867C}">
                  <a14:compatExt spid="_x0000_s9218"/>
                </a:ext>
              </a:extLst>
            </xdr:cNvPr>
            <xdr:cNvSpPr/>
          </xdr:nvSpPr>
          <xdr:spPr>
            <a:xfrm>
              <a:off x="0" y="0"/>
              <a:ext cx="0" cy="0"/>
            </a:xfrm>
            <a:prstGeom prst="rect">
              <a:avLst/>
            </a:prstGeom>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Arial"/>
                  <a:cs typeface="Arial"/>
                </a:rPr>
                <a:t>Insert New Design</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450850</xdr:colOff>
          <xdr:row>0</xdr:row>
          <xdr:rowOff>50800</xdr:rowOff>
        </xdr:from>
        <xdr:to>
          <xdr:col>11</xdr:col>
          <xdr:colOff>95250</xdr:colOff>
          <xdr:row>2</xdr:row>
          <xdr:rowOff>133350</xdr:rowOff>
        </xdr:to>
        <xdr:sp macro="" textlink="">
          <xdr:nvSpPr>
            <xdr:cNvPr id="9221" name="Button 5" hidden="1">
              <a:extLst>
                <a:ext uri="{63B3BB69-23CF-44E3-9099-C40C66FF867C}">
                  <a14:compatExt spid="_x0000_s9221"/>
                </a:ext>
              </a:extLst>
            </xdr:cNvPr>
            <xdr:cNvSpPr/>
          </xdr:nvSpPr>
          <xdr:spPr>
            <a:xfrm>
              <a:off x="0" y="0"/>
              <a:ext cx="0" cy="0"/>
            </a:xfrm>
            <a:prstGeom prst="rect">
              <a:avLst/>
            </a:prstGeom>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Arial"/>
                  <a:cs typeface="Arial"/>
                </a:rPr>
                <a:t>Pull Values from Calculator Sheet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298450</xdr:colOff>
          <xdr:row>0</xdr:row>
          <xdr:rowOff>50800</xdr:rowOff>
        </xdr:from>
        <xdr:to>
          <xdr:col>12</xdr:col>
          <xdr:colOff>755650</xdr:colOff>
          <xdr:row>2</xdr:row>
          <xdr:rowOff>133350</xdr:rowOff>
        </xdr:to>
        <xdr:sp macro="" textlink="">
          <xdr:nvSpPr>
            <xdr:cNvPr id="9225" name="Button 9" hidden="1">
              <a:extLst>
                <a:ext uri="{63B3BB69-23CF-44E3-9099-C40C66FF867C}">
                  <a14:compatExt spid="_x0000_s9225"/>
                </a:ext>
              </a:extLst>
            </xdr:cNvPr>
            <xdr:cNvSpPr/>
          </xdr:nvSpPr>
          <xdr:spPr>
            <a:xfrm>
              <a:off x="0" y="0"/>
              <a:ext cx="0" cy="0"/>
            </a:xfrm>
            <a:prstGeom prst="rect">
              <a:avLst/>
            </a:prstGeom>
          </xdr:spPr>
          <xdr:txBody>
            <a:bodyPr vertOverflow="clip" wrap="square" lIns="36576" tIns="32004" rIns="36576" bIns="32004" anchor="ctr" upright="1"/>
            <a:lstStyle/>
            <a:p>
              <a:pPr algn="ctr" rtl="0">
                <a:defRPr sz="1000"/>
              </a:pPr>
              <a:r>
                <a:rPr lang="en-US" sz="1100" b="0" i="0" u="none" strike="noStrike" baseline="0">
                  <a:solidFill>
                    <a:srgbClr val="000000"/>
                  </a:solidFill>
                  <a:latin typeface="Arial"/>
                  <a:cs typeface="Arial"/>
                </a:rPr>
                <a:t>Check/Calculate</a:t>
              </a:r>
            </a:p>
            <a:p>
              <a:pPr algn="ctr" rtl="0">
                <a:defRPr sz="1000"/>
              </a:pPr>
              <a:r>
                <a:rPr lang="en-US" sz="1100" b="0" i="0" u="none" strike="noStrike" baseline="0">
                  <a:solidFill>
                    <a:srgbClr val="000000"/>
                  </a:solidFill>
                  <a:latin typeface="Arial"/>
                  <a:cs typeface="Arial"/>
                </a:rPr>
                <a:t>All Columns</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12700</xdr:colOff>
          <xdr:row>13</xdr:row>
          <xdr:rowOff>12700</xdr:rowOff>
        </xdr:from>
        <xdr:to>
          <xdr:col>15</xdr:col>
          <xdr:colOff>241300</xdr:colOff>
          <xdr:row>32</xdr:row>
          <xdr:rowOff>266700</xdr:rowOff>
        </xdr:to>
        <xdr:sp macro="" textlink="">
          <xdr:nvSpPr>
            <xdr:cNvPr id="1037" name="Object 13" hidden="1">
              <a:extLst>
                <a:ext uri="{63B3BB69-23CF-44E3-9099-C40C66FF867C}">
                  <a14:compatExt spid="_x0000_s1037"/>
                </a:ext>
              </a:extLst>
            </xdr:cNvPr>
            <xdr:cNvSpPr/>
          </xdr:nvSpPr>
          <xdr:spPr>
            <a:xfrm>
              <a:off x="0" y="0"/>
              <a:ext cx="0" cy="0"/>
            </a:xfrm>
            <a:prstGeom prst="rect">
              <a:avLst/>
            </a:prstGeom>
          </xdr:spPr>
        </xdr:sp>
        <xdr:clientData/>
      </xdr:twoCellAnchor>
    </mc:Choice>
    <mc:Fallback/>
  </mc:AlternateContent>
  <xdr:twoCellAnchor>
    <xdr:from>
      <xdr:col>8</xdr:col>
      <xdr:colOff>0</xdr:colOff>
      <xdr:row>101</xdr:row>
      <xdr:rowOff>0</xdr:rowOff>
    </xdr:from>
    <xdr:to>
      <xdr:col>18</xdr:col>
      <xdr:colOff>22412</xdr:colOff>
      <xdr:row>134</xdr:row>
      <xdr:rowOff>123713</xdr:rowOff>
    </xdr:to>
    <xdr:graphicFrame macro="">
      <xdr:nvGraphicFramePr>
        <xdr:cNvPr id="5" name="Chart 4">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560916</xdr:colOff>
      <xdr:row>22</xdr:row>
      <xdr:rowOff>617803</xdr:rowOff>
    </xdr:from>
    <xdr:to>
      <xdr:col>4</xdr:col>
      <xdr:colOff>3036107</xdr:colOff>
      <xdr:row>22</xdr:row>
      <xdr:rowOff>3190538</xdr:rowOff>
    </xdr:to>
    <xdr:pic>
      <xdr:nvPicPr>
        <xdr:cNvPr id="20" name="Picture 19">
          <a:extLst>
            <a:ext uri="{FF2B5EF4-FFF2-40B4-BE49-F238E27FC236}">
              <a16:creationId xmlns="" xmlns:a16="http://schemas.microsoft.com/office/drawing/2014/main" id="{00000000-0008-0000-0200-000014000000}"/>
            </a:ext>
          </a:extLst>
        </xdr:cNvPr>
        <xdr:cNvPicPr>
          <a:picLocks noChangeAspect="1"/>
        </xdr:cNvPicPr>
      </xdr:nvPicPr>
      <xdr:blipFill>
        <a:blip xmlns:r="http://schemas.openxmlformats.org/officeDocument/2006/relationships" r:embed="rId1"/>
        <a:stretch>
          <a:fillRect/>
        </a:stretch>
      </xdr:blipFill>
      <xdr:spPr>
        <a:xfrm>
          <a:off x="5263885" y="19834491"/>
          <a:ext cx="2475191" cy="2572735"/>
        </a:xfrm>
        <a:prstGeom prst="rect">
          <a:avLst/>
        </a:prstGeom>
      </xdr:spPr>
    </xdr:pic>
    <xdr:clientData/>
  </xdr:twoCellAnchor>
  <xdr:twoCellAnchor>
    <xdr:from>
      <xdr:col>4</xdr:col>
      <xdr:colOff>748771</xdr:colOff>
      <xdr:row>35</xdr:row>
      <xdr:rowOff>455083</xdr:rowOff>
    </xdr:from>
    <xdr:to>
      <xdr:col>4</xdr:col>
      <xdr:colOff>2900846</xdr:colOff>
      <xdr:row>35</xdr:row>
      <xdr:rowOff>2448648</xdr:rowOff>
    </xdr:to>
    <xdr:pic>
      <xdr:nvPicPr>
        <xdr:cNvPr id="32" name="Picture 31">
          <a:extLst>
            <a:ext uri="{FF2B5EF4-FFF2-40B4-BE49-F238E27FC236}">
              <a16:creationId xmlns="" xmlns:a16="http://schemas.microsoft.com/office/drawing/2014/main" id="{00000000-0008-0000-0200-000020000000}"/>
            </a:ext>
          </a:extLst>
        </xdr:cNvPr>
        <xdr:cNvPicPr>
          <a:picLocks noChangeAspect="1"/>
        </xdr:cNvPicPr>
      </xdr:nvPicPr>
      <xdr:blipFill>
        <a:blip xmlns:r="http://schemas.openxmlformats.org/officeDocument/2006/relationships" r:embed="rId2"/>
        <a:stretch>
          <a:fillRect/>
        </a:stretch>
      </xdr:blipFill>
      <xdr:spPr>
        <a:xfrm>
          <a:off x="5451740" y="44341521"/>
          <a:ext cx="2152075" cy="1993565"/>
        </a:xfrm>
        <a:prstGeom prst="rect">
          <a:avLst/>
        </a:prstGeom>
      </xdr:spPr>
    </xdr:pic>
    <xdr:clientData/>
  </xdr:twoCellAnchor>
  <xdr:twoCellAnchor>
    <xdr:from>
      <xdr:col>4</xdr:col>
      <xdr:colOff>250032</xdr:colOff>
      <xdr:row>29</xdr:row>
      <xdr:rowOff>750094</xdr:rowOff>
    </xdr:from>
    <xdr:to>
      <xdr:col>4</xdr:col>
      <xdr:colOff>3475096</xdr:colOff>
      <xdr:row>29</xdr:row>
      <xdr:rowOff>1957207</xdr:rowOff>
    </xdr:to>
    <xdr:pic>
      <xdr:nvPicPr>
        <xdr:cNvPr id="2" name="Picture 1">
          <a:extLst>
            <a:ext uri="{FF2B5EF4-FFF2-40B4-BE49-F238E27FC236}">
              <a16:creationId xmlns="" xmlns:a16="http://schemas.microsoft.com/office/drawing/2014/main" id="{00000000-0008-0000-0200-000002000000}"/>
            </a:ext>
          </a:extLst>
        </xdr:cNvPr>
        <xdr:cNvPicPr>
          <a:picLocks noChangeAspect="1"/>
        </xdr:cNvPicPr>
      </xdr:nvPicPr>
      <xdr:blipFill>
        <a:blip xmlns:r="http://schemas.openxmlformats.org/officeDocument/2006/relationships" r:embed="rId3"/>
        <a:stretch>
          <a:fillRect/>
        </a:stretch>
      </xdr:blipFill>
      <xdr:spPr>
        <a:xfrm>
          <a:off x="4953001" y="30991969"/>
          <a:ext cx="3225064" cy="1207113"/>
        </a:xfrm>
        <a:prstGeom prst="rect">
          <a:avLst/>
        </a:prstGeom>
      </xdr:spPr>
    </xdr:pic>
    <xdr:clientData/>
  </xdr:twoCellAnchor>
  <xdr:twoCellAnchor>
    <xdr:from>
      <xdr:col>4</xdr:col>
      <xdr:colOff>678656</xdr:colOff>
      <xdr:row>32</xdr:row>
      <xdr:rowOff>869156</xdr:rowOff>
    </xdr:from>
    <xdr:to>
      <xdr:col>4</xdr:col>
      <xdr:colOff>3123364</xdr:colOff>
      <xdr:row>32</xdr:row>
      <xdr:rowOff>3088292</xdr:rowOff>
    </xdr:to>
    <xdr:pic>
      <xdr:nvPicPr>
        <xdr:cNvPr id="9" name="Picture 8">
          <a:extLst>
            <a:ext uri="{FF2B5EF4-FFF2-40B4-BE49-F238E27FC236}">
              <a16:creationId xmlns="" xmlns:a16="http://schemas.microsoft.com/office/drawing/2014/main" id="{00000000-0008-0000-0200-000009000000}"/>
            </a:ext>
          </a:extLst>
        </xdr:cNvPr>
        <xdr:cNvPicPr>
          <a:picLocks noChangeAspect="1"/>
        </xdr:cNvPicPr>
      </xdr:nvPicPr>
      <xdr:blipFill>
        <a:blip xmlns:r="http://schemas.openxmlformats.org/officeDocument/2006/relationships" r:embed="rId4"/>
        <a:stretch>
          <a:fillRect/>
        </a:stretch>
      </xdr:blipFill>
      <xdr:spPr>
        <a:xfrm>
          <a:off x="5381625" y="38635781"/>
          <a:ext cx="2444708" cy="2219136"/>
        </a:xfrm>
        <a:prstGeom prst="rect">
          <a:avLst/>
        </a:prstGeom>
      </xdr:spPr>
    </xdr:pic>
    <xdr:clientData/>
  </xdr:twoCellAnchor>
  <xdr:twoCellAnchor>
    <xdr:from>
      <xdr:col>4</xdr:col>
      <xdr:colOff>738187</xdr:colOff>
      <xdr:row>30</xdr:row>
      <xdr:rowOff>440531</xdr:rowOff>
    </xdr:from>
    <xdr:to>
      <xdr:col>4</xdr:col>
      <xdr:colOff>2762234</xdr:colOff>
      <xdr:row>30</xdr:row>
      <xdr:rowOff>3068135</xdr:rowOff>
    </xdr:to>
    <xdr:pic>
      <xdr:nvPicPr>
        <xdr:cNvPr id="10" name="Picture 9">
          <a:extLst>
            <a:ext uri="{FF2B5EF4-FFF2-40B4-BE49-F238E27FC236}">
              <a16:creationId xmlns="" xmlns:a16="http://schemas.microsoft.com/office/drawing/2014/main" id="{00000000-0008-0000-0200-00000A000000}"/>
            </a:ext>
          </a:extLst>
        </xdr:cNvPr>
        <xdr:cNvPicPr>
          <a:picLocks noChangeAspect="1"/>
        </xdr:cNvPicPr>
      </xdr:nvPicPr>
      <xdr:blipFill>
        <a:blip xmlns:r="http://schemas.openxmlformats.org/officeDocument/2006/relationships" r:embed="rId5"/>
        <a:stretch>
          <a:fillRect/>
        </a:stretch>
      </xdr:blipFill>
      <xdr:spPr>
        <a:xfrm>
          <a:off x="5441156" y="34516219"/>
          <a:ext cx="2024047" cy="262760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6</xdr:col>
      <xdr:colOff>0</xdr:colOff>
      <xdr:row>3</xdr:row>
      <xdr:rowOff>0</xdr:rowOff>
    </xdr:from>
    <xdr:to>
      <xdr:col>16</xdr:col>
      <xdr:colOff>1062317</xdr:colOff>
      <xdr:row>40</xdr:row>
      <xdr:rowOff>100293</xdr:rowOff>
    </xdr:to>
    <xdr:graphicFrame macro="">
      <xdr:nvGraphicFramePr>
        <xdr:cNvPr id="3" name="Chart 2">
          <a:extLst>
            <a:ext uri="{FF2B5EF4-FFF2-40B4-BE49-F238E27FC236}">
              <a16:creationId xmlns=""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a0232804\Documents\BSR-MV\TPS544C20\Tools\Excel\TPS546C23%20Updated%20Spreadshee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tData"/>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I58"/>
  <sheetViews>
    <sheetView tabSelected="1" zoomScale="85" zoomScaleNormal="85" workbookViewId="0">
      <pane xSplit="4" ySplit="3" topLeftCell="E16" activePane="bottomRight" state="frozen"/>
      <selection pane="topRight" activeCell="E1" sqref="E1"/>
      <selection pane="bottomLeft" activeCell="A4" sqref="A4"/>
      <selection pane="bottomRight" activeCell="E53" sqref="E53"/>
    </sheetView>
  </sheetViews>
  <sheetFormatPr defaultColWidth="9.1796875" defaultRowHeight="14" x14ac:dyDescent="0.3"/>
  <cols>
    <col min="1" max="1" width="24.7265625" style="360" bestFit="1" customWidth="1"/>
    <col min="2" max="2" width="6.26953125" style="360" bestFit="1" customWidth="1"/>
    <col min="3" max="3" width="7" style="360" bestFit="1" customWidth="1"/>
    <col min="4" max="4" width="15.1796875" style="360" customWidth="1"/>
    <col min="5" max="5" width="20.7265625" style="408" customWidth="1"/>
    <col min="6" max="18" width="12.1796875" style="360" bestFit="1" customWidth="1"/>
    <col min="19" max="16384" width="9.1796875" style="360"/>
  </cols>
  <sheetData>
    <row r="1" spans="1:7" ht="15.75" thickBot="1" x14ac:dyDescent="0.3">
      <c r="A1" s="356" t="s">
        <v>192</v>
      </c>
      <c r="B1" s="357" t="s">
        <v>197</v>
      </c>
      <c r="C1" s="357" t="s">
        <v>660</v>
      </c>
      <c r="D1" s="358" t="s">
        <v>661</v>
      </c>
      <c r="E1" s="415" t="s">
        <v>679</v>
      </c>
      <c r="F1" s="359" t="s">
        <v>662</v>
      </c>
    </row>
    <row r="2" spans="1:7" ht="14.25" x14ac:dyDescent="0.2">
      <c r="A2" s="265" t="s">
        <v>663</v>
      </c>
      <c r="B2" s="266"/>
      <c r="C2" s="361" t="s">
        <v>664</v>
      </c>
      <c r="D2" s="362"/>
      <c r="E2" s="363" t="s">
        <v>699</v>
      </c>
    </row>
    <row r="3" spans="1:7" x14ac:dyDescent="0.3">
      <c r="A3" s="258" t="s">
        <v>665</v>
      </c>
      <c r="B3" s="262"/>
      <c r="C3" s="364" t="s">
        <v>664</v>
      </c>
      <c r="D3" s="58"/>
      <c r="E3" s="391" t="s">
        <v>499</v>
      </c>
    </row>
    <row r="4" spans="1:7" ht="14.25" x14ac:dyDescent="0.2">
      <c r="A4" s="258" t="s">
        <v>243</v>
      </c>
      <c r="B4" s="262" t="s">
        <v>202</v>
      </c>
      <c r="C4" s="262" t="s">
        <v>666</v>
      </c>
      <c r="D4" s="58" t="s">
        <v>667</v>
      </c>
      <c r="E4" s="365">
        <v>12</v>
      </c>
    </row>
    <row r="5" spans="1:7" ht="15" x14ac:dyDescent="0.25">
      <c r="A5" s="258" t="s">
        <v>245</v>
      </c>
      <c r="B5" s="262" t="s">
        <v>202</v>
      </c>
      <c r="C5" s="364" t="s">
        <v>664</v>
      </c>
      <c r="D5" s="58"/>
      <c r="E5" s="365">
        <v>12</v>
      </c>
      <c r="G5" s="421" t="s">
        <v>700</v>
      </c>
    </row>
    <row r="6" spans="1:7" ht="15" x14ac:dyDescent="0.25">
      <c r="A6" s="258" t="s">
        <v>247</v>
      </c>
      <c r="B6" s="262" t="s">
        <v>202</v>
      </c>
      <c r="C6" s="262" t="s">
        <v>666</v>
      </c>
      <c r="D6" s="58" t="s">
        <v>668</v>
      </c>
      <c r="E6" s="365">
        <v>12</v>
      </c>
      <c r="G6" s="420" t="s">
        <v>707</v>
      </c>
    </row>
    <row r="7" spans="1:7" ht="14.25" x14ac:dyDescent="0.2">
      <c r="A7" s="258" t="s">
        <v>249</v>
      </c>
      <c r="B7" s="262" t="s">
        <v>202</v>
      </c>
      <c r="C7" s="364" t="s">
        <v>664</v>
      </c>
      <c r="D7" s="58"/>
      <c r="E7" s="365">
        <v>3.8</v>
      </c>
      <c r="G7" s="360" t="s">
        <v>701</v>
      </c>
    </row>
    <row r="8" spans="1:7" ht="14.25" x14ac:dyDescent="0.2">
      <c r="A8" s="258" t="s">
        <v>251</v>
      </c>
      <c r="B8" s="262" t="s">
        <v>214</v>
      </c>
      <c r="C8" s="262" t="s">
        <v>666</v>
      </c>
      <c r="D8" s="58" t="s">
        <v>213</v>
      </c>
      <c r="E8" s="365">
        <v>4</v>
      </c>
      <c r="G8" s="360" t="s">
        <v>702</v>
      </c>
    </row>
    <row r="9" spans="1:7" ht="14.25" x14ac:dyDescent="0.2">
      <c r="A9" s="258" t="s">
        <v>286</v>
      </c>
      <c r="B9" s="262"/>
      <c r="C9" s="262" t="s">
        <v>666</v>
      </c>
      <c r="D9" s="366" t="s">
        <v>683</v>
      </c>
      <c r="E9" s="392">
        <v>7.2000000000000008E-2</v>
      </c>
      <c r="G9" s="360" t="s">
        <v>703</v>
      </c>
    </row>
    <row r="10" spans="1:7" ht="14.25" x14ac:dyDescent="0.2">
      <c r="A10" s="258" t="s">
        <v>288</v>
      </c>
      <c r="B10" s="262"/>
      <c r="C10" s="262" t="s">
        <v>666</v>
      </c>
      <c r="D10" s="366" t="s">
        <v>684</v>
      </c>
      <c r="E10" s="392">
        <v>1.7999999999999999E-2</v>
      </c>
    </row>
    <row r="11" spans="1:7" ht="15.75" thickBot="1" x14ac:dyDescent="0.3">
      <c r="A11" s="100" t="s">
        <v>284</v>
      </c>
      <c r="B11" s="264" t="s">
        <v>214</v>
      </c>
      <c r="C11" s="264" t="s">
        <v>666</v>
      </c>
      <c r="D11" s="422" t="s">
        <v>669</v>
      </c>
      <c r="E11" s="425">
        <v>4</v>
      </c>
      <c r="G11" s="420" t="s">
        <v>704</v>
      </c>
    </row>
    <row r="12" spans="1:7" ht="14.25" x14ac:dyDescent="0.2">
      <c r="A12" s="265" t="s">
        <v>258</v>
      </c>
      <c r="B12" s="266" t="s">
        <v>255</v>
      </c>
      <c r="C12" s="266" t="s">
        <v>666</v>
      </c>
      <c r="D12" s="429" t="s">
        <v>715</v>
      </c>
      <c r="E12" s="431">
        <v>700</v>
      </c>
      <c r="G12" s="360" t="s">
        <v>705</v>
      </c>
    </row>
    <row r="13" spans="1:7" x14ac:dyDescent="0.3">
      <c r="A13" s="258" t="s">
        <v>640</v>
      </c>
      <c r="B13" s="262"/>
      <c r="C13" s="262" t="s">
        <v>666</v>
      </c>
      <c r="D13" s="373" t="s">
        <v>639</v>
      </c>
      <c r="E13" s="427">
        <v>53.6</v>
      </c>
      <c r="G13" s="360" t="s">
        <v>706</v>
      </c>
    </row>
    <row r="14" spans="1:7" ht="15" thickBot="1" x14ac:dyDescent="0.25">
      <c r="A14" s="69" t="s">
        <v>261</v>
      </c>
      <c r="B14" s="72" t="s">
        <v>255</v>
      </c>
      <c r="C14" s="72" t="s">
        <v>670</v>
      </c>
      <c r="D14" s="424"/>
      <c r="E14" s="428">
        <v>908.99812863428428</v>
      </c>
    </row>
    <row r="15" spans="1:7" x14ac:dyDescent="0.3">
      <c r="A15" s="53" t="s">
        <v>222</v>
      </c>
      <c r="B15" s="251" t="s">
        <v>223</v>
      </c>
      <c r="C15" s="423" t="s">
        <v>666</v>
      </c>
      <c r="D15" s="368" t="s">
        <v>658</v>
      </c>
      <c r="E15" s="426">
        <v>2.2000000000000002</v>
      </c>
      <c r="G15" s="420" t="s">
        <v>708</v>
      </c>
    </row>
    <row r="16" spans="1:7" x14ac:dyDescent="0.3">
      <c r="A16" s="258" t="s">
        <v>270</v>
      </c>
      <c r="B16" s="262" t="s">
        <v>236</v>
      </c>
      <c r="C16" s="262" t="s">
        <v>666</v>
      </c>
      <c r="D16" s="58" t="s">
        <v>238</v>
      </c>
      <c r="E16" s="365">
        <v>19</v>
      </c>
      <c r="G16" s="360" t="s">
        <v>709</v>
      </c>
    </row>
    <row r="17" spans="1:9" ht="15" thickBot="1" x14ac:dyDescent="0.25">
      <c r="A17" s="69" t="s">
        <v>272</v>
      </c>
      <c r="B17" s="72"/>
      <c r="C17" s="72" t="s">
        <v>666</v>
      </c>
      <c r="D17" s="370">
        <v>0.2</v>
      </c>
      <c r="E17" s="371">
        <v>0.2</v>
      </c>
      <c r="G17" s="360" t="s">
        <v>710</v>
      </c>
    </row>
    <row r="18" spans="1:9" x14ac:dyDescent="0.3">
      <c r="A18" s="265" t="s">
        <v>145</v>
      </c>
      <c r="B18" s="266" t="s">
        <v>226</v>
      </c>
      <c r="C18" s="369" t="s">
        <v>666</v>
      </c>
      <c r="D18" s="362" t="s">
        <v>310</v>
      </c>
      <c r="E18" s="379">
        <v>34.700000000000003</v>
      </c>
      <c r="G18" s="360" t="s">
        <v>711</v>
      </c>
    </row>
    <row r="19" spans="1:9" ht="14.25" x14ac:dyDescent="0.2">
      <c r="A19" s="380" t="s">
        <v>671</v>
      </c>
      <c r="B19" s="381"/>
      <c r="C19" s="262" t="s">
        <v>666</v>
      </c>
      <c r="D19" s="382">
        <v>0.5</v>
      </c>
      <c r="E19" s="383">
        <v>0.5</v>
      </c>
    </row>
    <row r="20" spans="1:9" ht="15.75" thickBot="1" x14ac:dyDescent="0.3">
      <c r="A20" s="48" t="s">
        <v>311</v>
      </c>
      <c r="B20" s="49" t="s">
        <v>301</v>
      </c>
      <c r="C20" s="49" t="s">
        <v>670</v>
      </c>
      <c r="D20" s="98"/>
      <c r="E20" s="403">
        <v>54.882322309121875</v>
      </c>
      <c r="G20" s="420" t="s">
        <v>716</v>
      </c>
    </row>
    <row r="21" spans="1:9" ht="14.25" x14ac:dyDescent="0.2">
      <c r="A21" s="265" t="s">
        <v>538</v>
      </c>
      <c r="B21" s="266"/>
      <c r="C21" s="369" t="s">
        <v>666</v>
      </c>
      <c r="D21" s="372">
        <v>1</v>
      </c>
      <c r="E21" s="431">
        <v>4</v>
      </c>
      <c r="G21" s="360" t="s">
        <v>717</v>
      </c>
    </row>
    <row r="22" spans="1:9" x14ac:dyDescent="0.3">
      <c r="A22" s="258" t="s">
        <v>536</v>
      </c>
      <c r="B22" s="262" t="s">
        <v>226</v>
      </c>
      <c r="C22" s="262" t="s">
        <v>666</v>
      </c>
      <c r="D22" s="373" t="s">
        <v>294</v>
      </c>
      <c r="E22" s="374">
        <v>44</v>
      </c>
    </row>
    <row r="23" spans="1:9" x14ac:dyDescent="0.3">
      <c r="A23" s="258" t="s">
        <v>539</v>
      </c>
      <c r="B23" s="262" t="s">
        <v>236</v>
      </c>
      <c r="C23" s="262" t="s">
        <v>666</v>
      </c>
      <c r="D23" s="373">
        <v>1</v>
      </c>
      <c r="E23" s="432">
        <v>3</v>
      </c>
    </row>
    <row r="24" spans="1:9" ht="14.25" x14ac:dyDescent="0.2">
      <c r="A24" s="258" t="s">
        <v>537</v>
      </c>
      <c r="B24" s="262"/>
      <c r="C24" s="262" t="s">
        <v>666</v>
      </c>
      <c r="D24" s="375">
        <v>0.8</v>
      </c>
      <c r="E24" s="367">
        <v>0.6</v>
      </c>
    </row>
    <row r="25" spans="1:9" ht="14.25" x14ac:dyDescent="0.2">
      <c r="A25" s="258" t="s">
        <v>552</v>
      </c>
      <c r="B25" s="262"/>
      <c r="C25" s="262" t="s">
        <v>666</v>
      </c>
      <c r="D25" s="373">
        <v>0</v>
      </c>
      <c r="E25" s="365">
        <v>0</v>
      </c>
      <c r="G25" s="376"/>
      <c r="H25" s="376"/>
      <c r="I25" s="376"/>
    </row>
    <row r="26" spans="1:9" x14ac:dyDescent="0.3">
      <c r="A26" s="258" t="s">
        <v>551</v>
      </c>
      <c r="B26" s="262" t="s">
        <v>226</v>
      </c>
      <c r="C26" s="262" t="s">
        <v>666</v>
      </c>
      <c r="D26" s="419">
        <v>0.1</v>
      </c>
      <c r="E26" s="433">
        <v>0.1</v>
      </c>
    </row>
    <row r="27" spans="1:9" x14ac:dyDescent="0.3">
      <c r="A27" s="100" t="s">
        <v>549</v>
      </c>
      <c r="B27" s="264" t="s">
        <v>236</v>
      </c>
      <c r="C27" s="264" t="s">
        <v>666</v>
      </c>
      <c r="D27" s="377">
        <v>1</v>
      </c>
      <c r="E27" s="432">
        <v>1</v>
      </c>
    </row>
    <row r="28" spans="1:9" x14ac:dyDescent="0.3">
      <c r="A28" s="48" t="s">
        <v>555</v>
      </c>
      <c r="B28" s="49" t="s">
        <v>226</v>
      </c>
      <c r="C28" s="49" t="s">
        <v>670</v>
      </c>
      <c r="D28" s="378"/>
      <c r="E28" s="402">
        <v>105.60000099999999</v>
      </c>
    </row>
    <row r="29" spans="1:9" ht="14.25" x14ac:dyDescent="0.2">
      <c r="A29" s="48" t="s">
        <v>581</v>
      </c>
      <c r="B29" s="49" t="s">
        <v>301</v>
      </c>
      <c r="C29" s="49" t="s">
        <v>670</v>
      </c>
      <c r="D29" s="378"/>
      <c r="E29" s="402">
        <v>176.58164284864867</v>
      </c>
    </row>
    <row r="30" spans="1:9" ht="15" thickBot="1" x14ac:dyDescent="0.25">
      <c r="A30" s="48" t="s">
        <v>302</v>
      </c>
      <c r="B30" s="49" t="s">
        <v>301</v>
      </c>
      <c r="C30" s="49" t="s">
        <v>670</v>
      </c>
      <c r="D30" s="378"/>
      <c r="E30" s="404">
        <v>2.9536414980611596</v>
      </c>
    </row>
    <row r="31" spans="1:9" x14ac:dyDescent="0.3">
      <c r="A31" s="133" t="s">
        <v>631</v>
      </c>
      <c r="B31" s="135" t="s">
        <v>227</v>
      </c>
      <c r="C31" s="135" t="s">
        <v>666</v>
      </c>
      <c r="D31" s="97" t="s">
        <v>713</v>
      </c>
      <c r="E31" s="434">
        <v>6.04</v>
      </c>
    </row>
    <row r="32" spans="1:9" x14ac:dyDescent="0.3">
      <c r="A32" s="34" t="s">
        <v>634</v>
      </c>
      <c r="B32" s="31" t="s">
        <v>227</v>
      </c>
      <c r="C32" s="31" t="s">
        <v>666</v>
      </c>
      <c r="D32" s="260" t="s">
        <v>633</v>
      </c>
      <c r="E32" s="435">
        <v>12.1</v>
      </c>
    </row>
    <row r="33" spans="1:5" ht="15" thickBot="1" x14ac:dyDescent="0.25">
      <c r="A33" s="48" t="s">
        <v>362</v>
      </c>
      <c r="B33" s="49" t="s">
        <v>202</v>
      </c>
      <c r="C33" s="49" t="s">
        <v>670</v>
      </c>
      <c r="D33" s="98"/>
      <c r="E33" s="405">
        <v>1.8019867549668873</v>
      </c>
    </row>
    <row r="34" spans="1:5" ht="14.25" x14ac:dyDescent="0.2">
      <c r="A34" s="133" t="s">
        <v>685</v>
      </c>
      <c r="B34" s="135" t="s">
        <v>255</v>
      </c>
      <c r="C34" s="135" t="s">
        <v>666</v>
      </c>
      <c r="D34" s="396" t="s">
        <v>693</v>
      </c>
      <c r="E34" s="434">
        <v>89.94</v>
      </c>
    </row>
    <row r="35" spans="1:5" ht="14.25" customHeight="1" x14ac:dyDescent="0.3">
      <c r="A35" s="34" t="s">
        <v>433</v>
      </c>
      <c r="B35" s="31" t="s">
        <v>227</v>
      </c>
      <c r="C35" s="31" t="s">
        <v>666</v>
      </c>
      <c r="D35" s="394" t="s">
        <v>587</v>
      </c>
      <c r="E35" s="385">
        <v>3.4</v>
      </c>
    </row>
    <row r="36" spans="1:5" ht="14.25" customHeight="1" x14ac:dyDescent="0.3">
      <c r="A36" s="34" t="s">
        <v>434</v>
      </c>
      <c r="B36" s="31" t="s">
        <v>234</v>
      </c>
      <c r="C36" s="31" t="s">
        <v>666</v>
      </c>
      <c r="D36" s="394" t="s">
        <v>594</v>
      </c>
      <c r="E36" s="393">
        <v>12</v>
      </c>
    </row>
    <row r="37" spans="1:5" ht="14.25" x14ac:dyDescent="0.2">
      <c r="A37" s="34" t="s">
        <v>436</v>
      </c>
      <c r="B37" s="31" t="s">
        <v>232</v>
      </c>
      <c r="C37" s="31" t="s">
        <v>666</v>
      </c>
      <c r="D37" s="394" t="s">
        <v>597</v>
      </c>
      <c r="E37" s="436">
        <v>22</v>
      </c>
    </row>
    <row r="38" spans="1:5" ht="14.25" x14ac:dyDescent="0.2">
      <c r="A38" s="34" t="s">
        <v>231</v>
      </c>
      <c r="B38" s="31" t="s">
        <v>232</v>
      </c>
      <c r="C38" s="31" t="s">
        <v>666</v>
      </c>
      <c r="D38" s="394" t="s">
        <v>602</v>
      </c>
      <c r="E38" s="436">
        <v>100</v>
      </c>
    </row>
    <row r="39" spans="1:5" ht="14.25" x14ac:dyDescent="0.2">
      <c r="A39" s="34" t="s">
        <v>354</v>
      </c>
      <c r="B39" s="31" t="s">
        <v>255</v>
      </c>
      <c r="C39" s="31" t="s">
        <v>670</v>
      </c>
      <c r="D39" s="394"/>
      <c r="E39" s="406">
        <v>34.145488738336013</v>
      </c>
    </row>
    <row r="40" spans="1:5" x14ac:dyDescent="0.3">
      <c r="A40" s="34" t="s">
        <v>568</v>
      </c>
      <c r="B40" s="31" t="s">
        <v>570</v>
      </c>
      <c r="C40" s="31" t="s">
        <v>670</v>
      </c>
      <c r="D40" s="394"/>
      <c r="E40" s="406">
        <v>75.399718549967076</v>
      </c>
    </row>
    <row r="41" spans="1:5" ht="15" thickBot="1" x14ac:dyDescent="0.25">
      <c r="A41" s="40" t="s">
        <v>569</v>
      </c>
      <c r="B41" s="136" t="s">
        <v>446</v>
      </c>
      <c r="C41" s="136" t="s">
        <v>670</v>
      </c>
      <c r="D41" s="400"/>
      <c r="E41" s="404">
        <v>-36.302272028828156</v>
      </c>
    </row>
    <row r="42" spans="1:5" x14ac:dyDescent="0.3">
      <c r="A42" s="23" t="s">
        <v>233</v>
      </c>
      <c r="B42" s="45" t="s">
        <v>234</v>
      </c>
      <c r="C42" s="45" t="s">
        <v>666</v>
      </c>
      <c r="D42" s="26" t="s">
        <v>608</v>
      </c>
      <c r="E42" s="386">
        <v>0</v>
      </c>
    </row>
    <row r="43" spans="1:5" ht="15" thickBot="1" x14ac:dyDescent="0.25">
      <c r="A43" s="48" t="s">
        <v>606</v>
      </c>
      <c r="B43" s="49" t="s">
        <v>336</v>
      </c>
      <c r="C43" s="49" t="s">
        <v>670</v>
      </c>
      <c r="D43" s="98"/>
      <c r="E43" s="405">
        <v>0</v>
      </c>
    </row>
    <row r="44" spans="1:5" x14ac:dyDescent="0.3">
      <c r="A44" s="133" t="s">
        <v>341</v>
      </c>
      <c r="B44" s="135" t="s">
        <v>227</v>
      </c>
      <c r="C44" s="135" t="s">
        <v>666</v>
      </c>
      <c r="D44" s="401">
        <v>10000</v>
      </c>
      <c r="E44" s="384">
        <v>10000</v>
      </c>
    </row>
    <row r="45" spans="1:5" x14ac:dyDescent="0.3">
      <c r="A45" s="34" t="s">
        <v>343</v>
      </c>
      <c r="B45" s="31" t="s">
        <v>227</v>
      </c>
      <c r="C45" s="31" t="s">
        <v>666</v>
      </c>
      <c r="D45" s="394">
        <v>0</v>
      </c>
      <c r="E45" s="385">
        <v>0</v>
      </c>
    </row>
    <row r="46" spans="1:5" x14ac:dyDescent="0.3">
      <c r="A46" s="34" t="s">
        <v>344</v>
      </c>
      <c r="B46" s="31" t="s">
        <v>202</v>
      </c>
      <c r="C46" s="31" t="s">
        <v>670</v>
      </c>
      <c r="D46" s="394"/>
      <c r="E46" s="398">
        <v>1.21</v>
      </c>
    </row>
    <row r="47" spans="1:5" ht="15" thickBot="1" x14ac:dyDescent="0.25">
      <c r="A47" s="395" t="s">
        <v>346</v>
      </c>
      <c r="B47" s="388" t="s">
        <v>202</v>
      </c>
      <c r="C47" s="388" t="s">
        <v>670</v>
      </c>
      <c r="D47" s="397"/>
      <c r="E47" s="407">
        <v>1.17</v>
      </c>
    </row>
    <row r="48" spans="1:5" x14ac:dyDescent="0.3">
      <c r="A48" s="23" t="s">
        <v>240</v>
      </c>
      <c r="B48" s="251" t="s">
        <v>226</v>
      </c>
      <c r="C48" s="45" t="s">
        <v>666</v>
      </c>
      <c r="D48" s="368" t="s">
        <v>541</v>
      </c>
      <c r="E48" s="386">
        <v>0.1</v>
      </c>
    </row>
    <row r="49" spans="1:5" ht="14.5" thickBot="1" x14ac:dyDescent="0.35">
      <c r="A49" s="40" t="s">
        <v>242</v>
      </c>
      <c r="B49" s="388" t="s">
        <v>227</v>
      </c>
      <c r="C49" s="388" t="s">
        <v>666</v>
      </c>
      <c r="D49" s="389" t="s">
        <v>317</v>
      </c>
      <c r="E49" s="387">
        <v>49.9</v>
      </c>
    </row>
    <row r="50" spans="1:5" x14ac:dyDescent="0.3">
      <c r="A50" s="133" t="s">
        <v>686</v>
      </c>
      <c r="B50" s="135"/>
      <c r="C50" s="135" t="s">
        <v>672</v>
      </c>
      <c r="D50" s="97"/>
      <c r="E50" s="416" t="s">
        <v>673</v>
      </c>
    </row>
    <row r="51" spans="1:5" x14ac:dyDescent="0.3">
      <c r="A51" s="34" t="s">
        <v>674</v>
      </c>
      <c r="B51" s="45"/>
      <c r="C51" s="45" t="s">
        <v>672</v>
      </c>
      <c r="D51" s="260"/>
      <c r="E51" s="417" t="s">
        <v>673</v>
      </c>
    </row>
    <row r="52" spans="1:5" ht="98" x14ac:dyDescent="0.3">
      <c r="A52" s="34" t="s">
        <v>675</v>
      </c>
      <c r="B52" s="45"/>
      <c r="C52" s="45" t="s">
        <v>672</v>
      </c>
      <c r="D52" s="260"/>
      <c r="E52" s="430" t="s">
        <v>718</v>
      </c>
    </row>
    <row r="53" spans="1:5" x14ac:dyDescent="0.3">
      <c r="A53" s="34" t="s">
        <v>676</v>
      </c>
      <c r="B53" s="45"/>
      <c r="C53" s="45" t="s">
        <v>672</v>
      </c>
      <c r="D53" s="260"/>
      <c r="E53" s="417" t="s">
        <v>673</v>
      </c>
    </row>
    <row r="54" spans="1:5" ht="42" x14ac:dyDescent="0.3">
      <c r="A54" s="34" t="s">
        <v>677</v>
      </c>
      <c r="B54" s="45"/>
      <c r="C54" s="45" t="s">
        <v>672</v>
      </c>
      <c r="D54" s="260"/>
      <c r="E54" s="430" t="s">
        <v>719</v>
      </c>
    </row>
    <row r="55" spans="1:5" ht="266" x14ac:dyDescent="0.3">
      <c r="A55" s="34" t="s">
        <v>687</v>
      </c>
      <c r="B55" s="45"/>
      <c r="C55" s="45" t="s">
        <v>672</v>
      </c>
      <c r="D55" s="260"/>
      <c r="E55" s="430" t="s">
        <v>720</v>
      </c>
    </row>
    <row r="56" spans="1:5" x14ac:dyDescent="0.3">
      <c r="A56" s="34" t="s">
        <v>696</v>
      </c>
      <c r="B56" s="45"/>
      <c r="C56" s="45" t="s">
        <v>672</v>
      </c>
      <c r="D56" s="260"/>
      <c r="E56" s="417" t="s">
        <v>673</v>
      </c>
    </row>
    <row r="57" spans="1:5" x14ac:dyDescent="0.3">
      <c r="A57" s="34" t="s">
        <v>678</v>
      </c>
      <c r="B57" s="45"/>
      <c r="C57" s="45" t="s">
        <v>672</v>
      </c>
      <c r="D57" s="260"/>
      <c r="E57" s="417" t="s">
        <v>673</v>
      </c>
    </row>
    <row r="58" spans="1:5" ht="14.5" thickBot="1" x14ac:dyDescent="0.35">
      <c r="A58" s="40" t="s">
        <v>688</v>
      </c>
      <c r="B58" s="390"/>
      <c r="C58" s="390" t="s">
        <v>672</v>
      </c>
      <c r="D58" s="41"/>
      <c r="E58" s="418" t="s">
        <v>673</v>
      </c>
    </row>
  </sheetData>
  <sheetProtection password="C574" sheet="1" objects="1" scenarios="1" formatCells="0" formatColumns="0" insertColumns="0" deleteColumns="0" selectLockedCells="1"/>
  <conditionalFormatting sqref="E2 E5 E7">
    <cfRule type="cellIs" dxfId="36" priority="17" operator="equal">
      <formula>0</formula>
    </cfRule>
  </conditionalFormatting>
  <dataValidations count="9">
    <dataValidation allowBlank="1" showInputMessage="1" showErrorMessage="1" prompt="Input 0 if only ceramic capacitance is used." sqref="E25"/>
    <dataValidation allowBlank="1" showInputMessage="1" showErrorMessage="1" prompt="Providing the ESR of the bulk capacitors is important to ensure ripple and transient requirements can be met." sqref="E27"/>
    <dataValidation allowBlank="1" showInputMessage="1" showErrorMessage="1" prompt="Input 0 if not used." sqref="E38"/>
    <dataValidation allowBlank="1" showInputMessage="1" showErrorMessage="1" prompt="Derating is important for ceramic capacitors. Provide estimate or look it up using the capacitor manufacturers tool. This varies with voltage rating, package size and dielectric." sqref="E24"/>
    <dataValidation allowBlank="1" showInputMessage="1" showErrorMessage="1" prompt="Input 10000 or leave empty if not used." sqref="E44"/>
    <dataValidation allowBlank="1" showInputMessage="1" showErrorMessage="1" prompt="Input 0 or leave empty if not used." sqref="E45"/>
    <dataValidation allowBlank="1" showInputMessage="1" showErrorMessage="1" prompt="Steady-state peak-to-peak ripple" sqref="E10"/>
    <dataValidation allowBlank="1" showInputMessage="1" showErrorMessage="1" prompt="Output transient overshoot or undershoot after a load step (not peak-to-peak)" sqref="E9"/>
    <dataValidation allowBlank="1" showInputMessage="1" showErrorMessage="1" prompt="Transient load step" sqref="E11"/>
  </dataValidation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9217" r:id="rId4" name="Button 1">
              <controlPr defaultSize="0" print="0" autoFill="0" autoPict="0" macro="[0]!CheckAndCaculateSingle">
                <anchor moveWithCells="1">
                  <from>
                    <xdr:col>6</xdr:col>
                    <xdr:colOff>38100</xdr:colOff>
                    <xdr:row>0</xdr:row>
                    <xdr:rowOff>50800</xdr:rowOff>
                  </from>
                  <to>
                    <xdr:col>7</xdr:col>
                    <xdr:colOff>495300</xdr:colOff>
                    <xdr:row>2</xdr:row>
                    <xdr:rowOff>146050</xdr:rowOff>
                  </to>
                </anchor>
              </controlPr>
            </control>
          </mc:Choice>
        </mc:AlternateContent>
        <mc:AlternateContent xmlns:mc="http://schemas.openxmlformats.org/markup-compatibility/2006">
          <mc:Choice Requires="x14">
            <control shapeId="9218" r:id="rId5" name="Button 2">
              <controlPr defaultSize="0" print="0" autoFill="0" autoPict="0" macro="[0]!InsertNewDesign">
                <anchor moveWithCells="1" sizeWithCells="1">
                  <from>
                    <xdr:col>7</xdr:col>
                    <xdr:colOff>666750</xdr:colOff>
                    <xdr:row>0</xdr:row>
                    <xdr:rowOff>38100</xdr:rowOff>
                  </from>
                  <to>
                    <xdr:col>9</xdr:col>
                    <xdr:colOff>317500</xdr:colOff>
                    <xdr:row>2</xdr:row>
                    <xdr:rowOff>146050</xdr:rowOff>
                  </to>
                </anchor>
              </controlPr>
            </control>
          </mc:Choice>
        </mc:AlternateContent>
        <mc:AlternateContent xmlns:mc="http://schemas.openxmlformats.org/markup-compatibility/2006">
          <mc:Choice Requires="x14">
            <control shapeId="9221" r:id="rId6" name="Button 5">
              <controlPr defaultSize="0" print="0" autoFill="0" autoPict="0" macro="[0]!PullValuesFromDeviceCalculator">
                <anchor moveWithCells="1">
                  <from>
                    <xdr:col>9</xdr:col>
                    <xdr:colOff>450850</xdr:colOff>
                    <xdr:row>0</xdr:row>
                    <xdr:rowOff>50800</xdr:rowOff>
                  </from>
                  <to>
                    <xdr:col>11</xdr:col>
                    <xdr:colOff>95250</xdr:colOff>
                    <xdr:row>2</xdr:row>
                    <xdr:rowOff>133350</xdr:rowOff>
                  </to>
                </anchor>
              </controlPr>
            </control>
          </mc:Choice>
        </mc:AlternateContent>
        <mc:AlternateContent xmlns:mc="http://schemas.openxmlformats.org/markup-compatibility/2006">
          <mc:Choice Requires="x14">
            <control shapeId="9225" r:id="rId7" name="Button 9">
              <controlPr defaultSize="0" print="0" autoFill="0" autoPict="0" macro="[0]!CheckAndCalculateAll">
                <anchor moveWithCells="1">
                  <from>
                    <xdr:col>11</xdr:col>
                    <xdr:colOff>298450</xdr:colOff>
                    <xdr:row>0</xdr:row>
                    <xdr:rowOff>50800</xdr:rowOff>
                  </from>
                  <to>
                    <xdr:col>12</xdr:col>
                    <xdr:colOff>755650</xdr:colOff>
                    <xdr:row>2</xdr:row>
                    <xdr:rowOff>133350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partData!$A$3:$A$17</xm:f>
          </x14:formula1>
          <xm:sqref>E3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B1:W166"/>
  <sheetViews>
    <sheetView topLeftCell="A109" zoomScale="85" zoomScaleNormal="85" workbookViewId="0">
      <selection activeCell="H44" sqref="H44"/>
    </sheetView>
  </sheetViews>
  <sheetFormatPr defaultColWidth="9.1796875" defaultRowHeight="14" x14ac:dyDescent="0.35"/>
  <cols>
    <col min="1" max="1" width="2.7265625" style="20" customWidth="1"/>
    <col min="2" max="2" width="20.81640625" style="20" bestFit="1" customWidth="1"/>
    <col min="3" max="3" width="15.7265625" style="20" customWidth="1"/>
    <col min="4" max="4" width="16.26953125" style="20" bestFit="1" customWidth="1"/>
    <col min="5" max="6" width="15.7265625" style="20" customWidth="1"/>
    <col min="7" max="7" width="6.26953125" style="20" bestFit="1" customWidth="1"/>
    <col min="8" max="8" width="75.7265625" style="43" customWidth="1"/>
    <col min="9" max="9" width="13.54296875" style="20" bestFit="1" customWidth="1"/>
    <col min="10" max="10" width="37.81640625" style="20" bestFit="1" customWidth="1"/>
    <col min="11" max="11" width="17.81640625" style="20" bestFit="1" customWidth="1"/>
    <col min="12" max="12" width="14.54296875" style="20" bestFit="1" customWidth="1"/>
    <col min="13" max="13" width="13.1796875" style="20" bestFit="1" customWidth="1"/>
    <col min="14" max="14" width="8.26953125" style="20" bestFit="1" customWidth="1"/>
    <col min="15" max="15" width="7.81640625" style="20" bestFit="1" customWidth="1"/>
    <col min="16" max="16" width="7.453125" style="20" bestFit="1" customWidth="1"/>
    <col min="17" max="17" width="6.7265625" style="20" bestFit="1" customWidth="1"/>
    <col min="18" max="18" width="9.54296875" style="20" bestFit="1" customWidth="1"/>
    <col min="19" max="19" width="3.7265625" style="20" bestFit="1" customWidth="1"/>
    <col min="20" max="16384" width="9.1796875" style="20"/>
  </cols>
  <sheetData>
    <row r="1" spans="2:18" ht="24" thickBot="1" x14ac:dyDescent="0.3">
      <c r="B1" s="458" t="s">
        <v>191</v>
      </c>
      <c r="C1" s="458"/>
      <c r="D1" s="458"/>
      <c r="E1" s="458"/>
      <c r="F1" s="458"/>
      <c r="G1" s="458"/>
      <c r="H1" s="458"/>
    </row>
    <row r="2" spans="2:18" ht="45.75" thickBot="1" x14ac:dyDescent="0.3">
      <c r="B2" s="21" t="s">
        <v>192</v>
      </c>
      <c r="C2" s="21" t="s">
        <v>193</v>
      </c>
      <c r="D2" s="21" t="s">
        <v>194</v>
      </c>
      <c r="E2" s="21" t="s">
        <v>195</v>
      </c>
      <c r="F2" s="21" t="s">
        <v>196</v>
      </c>
      <c r="G2" s="21" t="s">
        <v>197</v>
      </c>
      <c r="H2" s="21" t="s">
        <v>198</v>
      </c>
    </row>
    <row r="3" spans="2:18" s="22" customFormat="1" ht="16.5" thickBot="1" x14ac:dyDescent="0.3">
      <c r="B3" s="459" t="s">
        <v>199</v>
      </c>
      <c r="C3" s="460"/>
      <c r="D3" s="460"/>
      <c r="E3" s="460"/>
      <c r="F3" s="460"/>
      <c r="G3" s="460"/>
      <c r="H3" s="461"/>
      <c r="J3" s="20"/>
      <c r="K3" s="20"/>
      <c r="L3" s="20"/>
      <c r="M3" s="20"/>
      <c r="N3" s="20"/>
      <c r="O3" s="20"/>
      <c r="P3" s="20"/>
      <c r="Q3" s="20"/>
      <c r="R3" s="20"/>
    </row>
    <row r="4" spans="2:18" ht="18" x14ac:dyDescent="0.35">
      <c r="B4" s="23" t="s">
        <v>665</v>
      </c>
      <c r="C4" s="344" t="s">
        <v>499</v>
      </c>
      <c r="D4" s="107"/>
      <c r="E4" s="107"/>
      <c r="F4" s="107"/>
      <c r="G4" s="25"/>
      <c r="H4" s="26" t="s">
        <v>200</v>
      </c>
      <c r="J4" s="27" t="s">
        <v>201</v>
      </c>
      <c r="K4" s="28"/>
      <c r="L4" s="28"/>
      <c r="M4" s="28"/>
      <c r="N4" s="28"/>
      <c r="O4" s="28"/>
      <c r="P4" s="22"/>
      <c r="Q4" s="22"/>
      <c r="R4" s="22"/>
    </row>
    <row r="5" spans="2:18" ht="15" x14ac:dyDescent="0.25">
      <c r="B5" s="34" t="s">
        <v>204</v>
      </c>
      <c r="C5" s="29">
        <f>VLOOKUP($C$4,partData!$A$3:$ZZ$34,2,FALSE)</f>
        <v>4.5</v>
      </c>
      <c r="D5" s="30"/>
      <c r="E5" s="30"/>
      <c r="F5" s="30"/>
      <c r="G5" s="31" t="s">
        <v>202</v>
      </c>
      <c r="H5" s="95" t="s">
        <v>205</v>
      </c>
      <c r="J5" s="32" t="s">
        <v>203</v>
      </c>
      <c r="K5" s="28"/>
      <c r="L5" s="28"/>
      <c r="M5" s="33"/>
      <c r="N5" s="33"/>
      <c r="O5" s="96"/>
    </row>
    <row r="6" spans="2:18" ht="15" x14ac:dyDescent="0.25">
      <c r="B6" s="34" t="s">
        <v>207</v>
      </c>
      <c r="C6" s="29">
        <f>VLOOKUP($C$4,partData!$A$3:$ZZ$34,3,FALSE)</f>
        <v>17</v>
      </c>
      <c r="D6" s="30"/>
      <c r="E6" s="30"/>
      <c r="F6" s="30"/>
      <c r="G6" s="31" t="s">
        <v>202</v>
      </c>
      <c r="H6" s="95" t="s">
        <v>208</v>
      </c>
      <c r="J6" s="35" t="s">
        <v>206</v>
      </c>
      <c r="K6" s="28"/>
      <c r="L6" s="28"/>
      <c r="M6" s="33"/>
      <c r="N6" s="33"/>
      <c r="O6" s="96"/>
    </row>
    <row r="7" spans="2:18" ht="15" x14ac:dyDescent="0.25">
      <c r="B7" s="34" t="s">
        <v>210</v>
      </c>
      <c r="C7" s="29">
        <f>VLOOKUP($C$4,partData!$A$3:$ZZ$34,9,FALSE)</f>
        <v>0.6</v>
      </c>
      <c r="D7" s="30"/>
      <c r="E7" s="30"/>
      <c r="F7" s="30"/>
      <c r="G7" s="31" t="s">
        <v>202</v>
      </c>
      <c r="H7" s="95" t="s">
        <v>211</v>
      </c>
      <c r="J7" s="36" t="s">
        <v>209</v>
      </c>
      <c r="K7" s="28"/>
      <c r="L7" s="28"/>
      <c r="M7" s="96"/>
      <c r="N7" s="96"/>
      <c r="O7" s="96"/>
    </row>
    <row r="8" spans="2:18" ht="15" x14ac:dyDescent="0.25">
      <c r="B8" s="34" t="s">
        <v>213</v>
      </c>
      <c r="C8" s="29">
        <f>VLOOKUP($C$4,partData!$A$3:$ZZ$34,4,FALSE)</f>
        <v>6</v>
      </c>
      <c r="D8" s="30"/>
      <c r="E8" s="30"/>
      <c r="F8" s="30"/>
      <c r="G8" s="31" t="s">
        <v>214</v>
      </c>
      <c r="H8" s="95" t="s">
        <v>215</v>
      </c>
      <c r="J8" s="37" t="s">
        <v>212</v>
      </c>
      <c r="K8" s="28"/>
      <c r="L8" s="28"/>
    </row>
    <row r="9" spans="2:18" ht="15" x14ac:dyDescent="0.25">
      <c r="B9" s="34" t="s">
        <v>218</v>
      </c>
      <c r="C9" s="255">
        <f>VLOOKUP($C$4,partData!$A$3:$ZZ$34,16,FALSE)</f>
        <v>1.21</v>
      </c>
      <c r="D9" s="30"/>
      <c r="E9" s="30"/>
      <c r="F9" s="30"/>
      <c r="G9" s="31" t="s">
        <v>202</v>
      </c>
      <c r="H9" s="95" t="s">
        <v>219</v>
      </c>
      <c r="J9" s="38" t="s">
        <v>216</v>
      </c>
      <c r="K9" s="28"/>
      <c r="L9" s="28"/>
    </row>
    <row r="10" spans="2:18" ht="15" x14ac:dyDescent="0.25">
      <c r="B10" s="34" t="s">
        <v>220</v>
      </c>
      <c r="C10" s="255">
        <f>VLOOKUP($C$4,partData!$A$3:$ZZ$34,17,FALSE)</f>
        <v>1.17</v>
      </c>
      <c r="D10" s="30"/>
      <c r="E10" s="30"/>
      <c r="F10" s="30"/>
      <c r="G10" s="31" t="s">
        <v>202</v>
      </c>
      <c r="H10" s="95" t="s">
        <v>221</v>
      </c>
      <c r="J10" s="39" t="s">
        <v>217</v>
      </c>
      <c r="K10" s="28"/>
      <c r="L10" s="28"/>
    </row>
    <row r="11" spans="2:18" ht="14.25" x14ac:dyDescent="0.25">
      <c r="B11" s="34" t="s">
        <v>697</v>
      </c>
      <c r="C11" s="29">
        <f>VLOOKUP($C$4,partData!$A$3:$ZZ$34,11,FALSE)</f>
        <v>6</v>
      </c>
      <c r="D11" s="30"/>
      <c r="E11" s="30"/>
      <c r="F11" s="30"/>
      <c r="G11" s="31" t="s">
        <v>202</v>
      </c>
      <c r="H11" s="95" t="s">
        <v>504</v>
      </c>
    </row>
    <row r="12" spans="2:18" x14ac:dyDescent="0.35">
      <c r="B12" s="34" t="s">
        <v>396</v>
      </c>
      <c r="C12" s="29">
        <f>VLOOKUP($C$4,partData!$A$3:$ZZ$34,15,FALSE)</f>
        <v>2.2999999999999998</v>
      </c>
      <c r="D12" s="259"/>
      <c r="E12" s="259"/>
      <c r="F12" s="259"/>
      <c r="G12" s="31" t="s">
        <v>393</v>
      </c>
      <c r="H12" s="260" t="s">
        <v>612</v>
      </c>
    </row>
    <row r="13" spans="2:18" ht="14.25" x14ac:dyDescent="0.25">
      <c r="B13" s="34" t="s">
        <v>224</v>
      </c>
      <c r="C13" s="256" t="str">
        <f>VLOOKUP($C$4,partData!$A$3:$ZZ$34,10,FALSE)</f>
        <v>Hiccup</v>
      </c>
      <c r="D13" s="30"/>
      <c r="E13" s="30"/>
      <c r="F13" s="30"/>
      <c r="G13" s="31"/>
      <c r="H13" s="95" t="s">
        <v>225</v>
      </c>
    </row>
    <row r="14" spans="2:18" ht="14.25" x14ac:dyDescent="0.25">
      <c r="B14" s="34" t="s">
        <v>525</v>
      </c>
      <c r="C14" s="29">
        <f>VLOOKUP($C$4,partData!$A$3:$ZZ$34,7,FALSE)</f>
        <v>11</v>
      </c>
      <c r="D14" s="30"/>
      <c r="E14" s="30"/>
      <c r="F14" s="30"/>
      <c r="G14" s="31" t="s">
        <v>214</v>
      </c>
      <c r="H14" s="95" t="s">
        <v>523</v>
      </c>
    </row>
    <row r="15" spans="2:18" ht="14.25" x14ac:dyDescent="0.25">
      <c r="B15" s="34" t="s">
        <v>518</v>
      </c>
      <c r="C15" s="29">
        <f>VLOOKUP($C$4,partData!$A$3:$ZZ$34,5,FALSE)</f>
        <v>200000</v>
      </c>
      <c r="D15" s="30"/>
      <c r="E15" s="30"/>
      <c r="F15" s="30"/>
      <c r="G15" s="31" t="s">
        <v>395</v>
      </c>
      <c r="H15" s="95" t="s">
        <v>528</v>
      </c>
    </row>
    <row r="16" spans="2:18" ht="14.25" x14ac:dyDescent="0.25">
      <c r="B16" s="34" t="s">
        <v>517</v>
      </c>
      <c r="C16" s="29">
        <f>VLOOKUP($C$4,partData!$A$3:$ZZ$34,6,FALSE)</f>
        <v>1600000</v>
      </c>
      <c r="D16" s="30"/>
      <c r="E16" s="30"/>
      <c r="F16" s="30"/>
      <c r="G16" s="31" t="s">
        <v>395</v>
      </c>
      <c r="H16" s="95" t="s">
        <v>529</v>
      </c>
    </row>
    <row r="17" spans="2:18" ht="14.25" x14ac:dyDescent="0.25">
      <c r="B17" s="34" t="s">
        <v>228</v>
      </c>
      <c r="C17" s="29">
        <f>VLOOKUP($C$4,partData!$A$3:$ZZ$34,8,FALSE)</f>
        <v>145</v>
      </c>
      <c r="D17" s="30"/>
      <c r="E17" s="30"/>
      <c r="F17" s="30"/>
      <c r="G17" s="31" t="s">
        <v>229</v>
      </c>
      <c r="H17" s="95" t="s">
        <v>230</v>
      </c>
    </row>
    <row r="18" spans="2:18" ht="14.25" x14ac:dyDescent="0.25">
      <c r="B18" s="34" t="s">
        <v>526</v>
      </c>
      <c r="C18" s="29">
        <f>VLOOKUP($C$4,partData!$A$3:$ZZ$34,12,FALSE)</f>
        <v>100</v>
      </c>
      <c r="D18" s="30"/>
      <c r="E18" s="30"/>
      <c r="F18" s="30"/>
      <c r="G18" s="31" t="s">
        <v>229</v>
      </c>
      <c r="H18" s="95" t="s">
        <v>524</v>
      </c>
    </row>
    <row r="19" spans="2:18" x14ac:dyDescent="0.35">
      <c r="B19" s="34" t="s">
        <v>235</v>
      </c>
      <c r="C19" s="29">
        <f>VLOOKUP($C$4,partData!$A$3:$ZZ$34,13,FALSE)</f>
        <v>26</v>
      </c>
      <c r="D19" s="30"/>
      <c r="E19" s="30"/>
      <c r="F19" s="30"/>
      <c r="G19" s="31" t="s">
        <v>236</v>
      </c>
      <c r="H19" s="95" t="s">
        <v>237</v>
      </c>
    </row>
    <row r="20" spans="2:18" x14ac:dyDescent="0.35">
      <c r="B20" s="34" t="s">
        <v>238</v>
      </c>
      <c r="C20" s="29">
        <f>VLOOKUP($C$4,partData!$A$3:$ZZ$34,14,FALSE)</f>
        <v>19</v>
      </c>
      <c r="D20" s="30"/>
      <c r="E20" s="30"/>
      <c r="F20" s="30"/>
      <c r="G20" s="31" t="s">
        <v>236</v>
      </c>
      <c r="H20" s="95" t="s">
        <v>239</v>
      </c>
    </row>
    <row r="21" spans="2:18" x14ac:dyDescent="0.35">
      <c r="B21" s="34" t="s">
        <v>365</v>
      </c>
      <c r="C21" s="29">
        <f>VLOOKUP($C$4,partData!$A$3:$ZZ$34,18,FALSE)</f>
        <v>1300</v>
      </c>
      <c r="D21" s="30"/>
      <c r="E21" s="30"/>
      <c r="F21" s="30"/>
      <c r="G21" s="31" t="s">
        <v>641</v>
      </c>
      <c r="H21" s="95" t="s">
        <v>680</v>
      </c>
    </row>
    <row r="22" spans="2:18" ht="14.25" x14ac:dyDescent="0.25">
      <c r="B22" s="34" t="s">
        <v>366</v>
      </c>
      <c r="C22" s="29">
        <f>VLOOKUP($C$4,partData!$A$3:$ZZ$34,19,FALSE)</f>
        <v>16</v>
      </c>
      <c r="D22" s="30"/>
      <c r="E22" s="30"/>
      <c r="F22" s="30"/>
      <c r="G22" s="31" t="s">
        <v>392</v>
      </c>
      <c r="H22" s="95" t="s">
        <v>642</v>
      </c>
    </row>
    <row r="23" spans="2:18" x14ac:dyDescent="0.35">
      <c r="B23" s="34" t="s">
        <v>645</v>
      </c>
      <c r="C23" s="29">
        <f>VLOOKUP($C$4,partData!$A$3:$ZZ$34,25,FALSE)</f>
        <v>1.1499999999999999</v>
      </c>
      <c r="D23" s="259"/>
      <c r="E23" s="259"/>
      <c r="F23" s="259"/>
      <c r="G23" s="31" t="s">
        <v>393</v>
      </c>
      <c r="H23" s="260" t="s">
        <v>682</v>
      </c>
    </row>
    <row r="24" spans="2:18" ht="14.5" thickBot="1" x14ac:dyDescent="0.4">
      <c r="B24" s="34" t="s">
        <v>647</v>
      </c>
      <c r="C24" s="29">
        <f>VLOOKUP($C$4,partData!$A$3:$ZZ$34,26,FALSE)</f>
        <v>3.3</v>
      </c>
      <c r="D24" s="259"/>
      <c r="E24" s="259"/>
      <c r="F24" s="259"/>
      <c r="G24" s="31" t="s">
        <v>393</v>
      </c>
      <c r="H24" s="260" t="s">
        <v>681</v>
      </c>
    </row>
    <row r="25" spans="2:18" ht="16.5" thickBot="1" x14ac:dyDescent="0.3">
      <c r="B25" s="459" t="s">
        <v>241</v>
      </c>
      <c r="C25" s="460"/>
      <c r="D25" s="460"/>
      <c r="E25" s="460"/>
      <c r="F25" s="460"/>
      <c r="G25" s="460"/>
      <c r="H25" s="461"/>
    </row>
    <row r="26" spans="2:18" ht="14.25" x14ac:dyDescent="0.25">
      <c r="B26" s="34" t="s">
        <v>243</v>
      </c>
      <c r="C26" s="42">
        <v>12</v>
      </c>
      <c r="D26" s="30"/>
      <c r="E26" s="30"/>
      <c r="F26" s="30"/>
      <c r="G26" s="31" t="s">
        <v>202</v>
      </c>
      <c r="H26" s="95" t="s">
        <v>244</v>
      </c>
    </row>
    <row r="27" spans="2:18" ht="14.25" x14ac:dyDescent="0.25">
      <c r="B27" s="34" t="s">
        <v>245</v>
      </c>
      <c r="C27" s="42">
        <v>12</v>
      </c>
      <c r="D27" s="30"/>
      <c r="E27" s="30"/>
      <c r="F27" s="30"/>
      <c r="G27" s="31" t="s">
        <v>202</v>
      </c>
      <c r="H27" s="95" t="s">
        <v>246</v>
      </c>
    </row>
    <row r="28" spans="2:18" ht="14.25" x14ac:dyDescent="0.25">
      <c r="B28" s="34" t="s">
        <v>247</v>
      </c>
      <c r="C28" s="42">
        <v>12</v>
      </c>
      <c r="D28" s="30"/>
      <c r="E28" s="30"/>
      <c r="F28" s="30"/>
      <c r="G28" s="31" t="s">
        <v>202</v>
      </c>
      <c r="H28" s="95" t="s">
        <v>248</v>
      </c>
    </row>
    <row r="29" spans="2:18" ht="14.25" x14ac:dyDescent="0.25">
      <c r="B29" s="34" t="s">
        <v>249</v>
      </c>
      <c r="C29" s="42">
        <v>3.8</v>
      </c>
      <c r="D29" s="30"/>
      <c r="E29" s="30"/>
      <c r="F29" s="30"/>
      <c r="G29" s="31" t="s">
        <v>202</v>
      </c>
      <c r="H29" s="95" t="s">
        <v>250</v>
      </c>
      <c r="P29" s="43"/>
      <c r="Q29" s="43"/>
      <c r="R29" s="43"/>
    </row>
    <row r="30" spans="2:18" ht="15" thickBot="1" x14ac:dyDescent="0.3">
      <c r="B30" s="34" t="s">
        <v>251</v>
      </c>
      <c r="C30" s="42">
        <v>4</v>
      </c>
      <c r="D30" s="30"/>
      <c r="E30" s="30"/>
      <c r="F30" s="30"/>
      <c r="G30" s="31" t="s">
        <v>214</v>
      </c>
      <c r="H30" s="95" t="s">
        <v>252</v>
      </c>
      <c r="I30" s="46"/>
      <c r="J30" s="47"/>
      <c r="K30" s="47"/>
      <c r="L30" s="47"/>
      <c r="P30" s="43"/>
      <c r="Q30" s="43"/>
      <c r="R30" s="43"/>
    </row>
    <row r="31" spans="2:18" ht="16.5" thickBot="1" x14ac:dyDescent="0.3">
      <c r="B31" s="462" t="s">
        <v>253</v>
      </c>
      <c r="C31" s="463"/>
      <c r="D31" s="463"/>
      <c r="E31" s="463"/>
      <c r="F31" s="463"/>
      <c r="G31" s="463"/>
      <c r="H31" s="464"/>
      <c r="I31" s="47"/>
      <c r="J31" s="47"/>
      <c r="K31" s="47"/>
      <c r="L31" s="47"/>
      <c r="P31" s="43"/>
      <c r="Q31" s="43"/>
      <c r="R31" s="43"/>
    </row>
    <row r="32" spans="2:18" ht="14.25" x14ac:dyDescent="0.25">
      <c r="B32" s="23" t="s">
        <v>254</v>
      </c>
      <c r="C32" s="44"/>
      <c r="D32" s="350">
        <f>IF((1/ton_min_max_sec)*(Vout)/(Vin_max)*1/1.1&gt;=fsw_max,fsw_max,(1/ton_min_max_sec)*(Vout)/(Vin_max)*1/1.1)*10^-3</f>
        <v>1600</v>
      </c>
      <c r="E32" s="44"/>
      <c r="F32" s="44"/>
      <c r="G32" s="45" t="s">
        <v>255</v>
      </c>
      <c r="H32" s="26" t="s">
        <v>256</v>
      </c>
    </row>
    <row r="33" spans="2:23" s="43" customFormat="1" ht="57" x14ac:dyDescent="0.25">
      <c r="B33" s="48" t="s">
        <v>257</v>
      </c>
      <c r="C33" s="30"/>
      <c r="D33" s="350">
        <f>(Vin_min-Vout-Iout*2*(DCR_Ohm+Rdson_HS_Ohm))/(toff_min_sec*1.5*(Vin_min-Iout*2*(Rdson_HS_Ohm-Rdson_LS_Ohm)))*10^-3</f>
        <v>4375.9767805313677</v>
      </c>
      <c r="E33" s="30"/>
      <c r="F33" s="30"/>
      <c r="G33" s="49" t="s">
        <v>255</v>
      </c>
      <c r="H33" s="98" t="s">
        <v>527</v>
      </c>
      <c r="J33" s="47"/>
      <c r="K33" s="47"/>
      <c r="L33" s="47"/>
      <c r="M33" s="47"/>
      <c r="P33" s="20"/>
      <c r="Q33" s="20"/>
      <c r="R33" s="20"/>
    </row>
    <row r="34" spans="2:23" s="43" customFormat="1" ht="14.25" x14ac:dyDescent="0.25">
      <c r="B34" s="34" t="s">
        <v>258</v>
      </c>
      <c r="C34" s="319">
        <v>700</v>
      </c>
      <c r="D34" s="30"/>
      <c r="E34" s="30"/>
      <c r="F34" s="30"/>
      <c r="G34" s="31" t="s">
        <v>255</v>
      </c>
      <c r="H34" s="95" t="s">
        <v>506</v>
      </c>
      <c r="J34" s="47"/>
      <c r="K34" s="47"/>
      <c r="L34" s="47"/>
      <c r="M34" s="47"/>
      <c r="P34" s="20"/>
      <c r="Q34" s="20"/>
      <c r="R34" s="20"/>
    </row>
    <row r="35" spans="2:23" s="43" customFormat="1" x14ac:dyDescent="0.35">
      <c r="B35" s="34" t="s">
        <v>638</v>
      </c>
      <c r="C35" s="50"/>
      <c r="D35" s="105">
        <f>VLOOKUP($C$4,partData!$A$3:$ZZ$34,22,FALSE)</f>
        <v>67.932409419235967</v>
      </c>
      <c r="E35" s="30"/>
      <c r="F35" s="30"/>
      <c r="G35" s="31" t="s">
        <v>227</v>
      </c>
      <c r="H35" s="95" t="s">
        <v>259</v>
      </c>
      <c r="J35" s="47"/>
      <c r="K35" s="47"/>
      <c r="L35" s="47"/>
      <c r="M35" s="47"/>
      <c r="P35" s="20"/>
      <c r="Q35" s="20"/>
      <c r="R35" s="20"/>
    </row>
    <row r="36" spans="2:23" s="43" customFormat="1" x14ac:dyDescent="0.35">
      <c r="B36" s="34" t="s">
        <v>639</v>
      </c>
      <c r="C36" s="50"/>
      <c r="D36" s="330">
        <f>(IF((10^(LOG(D35)-INT(LOG(D35)))*100)-VLOOKUP((10^(LOG(D35)-INT(LOG(D35)))*100),E96_s:E96_f,1)&lt;VLOOKUP((10^(LOG(D35)-INT(LOG(D35)))*100),E96_s:E96_f,2)-(10^(LOG(D35)-INT(LOG(D35)))*100),VLOOKUP((10^(LOG(D35)-INT(LOG(D35)))*100),E96_s:E96_f,1),VLOOKUP((10^(LOG(D35)-INT(LOG(D35)))*100),E96_s:E96_f,2)))*10^INT(LOG(D35))/100</f>
        <v>68.099999999999994</v>
      </c>
      <c r="E36" s="30"/>
      <c r="F36" s="30"/>
      <c r="G36" s="31" t="s">
        <v>227</v>
      </c>
      <c r="H36" s="95" t="s">
        <v>516</v>
      </c>
      <c r="J36" s="47"/>
      <c r="K36" s="47"/>
      <c r="L36" s="47"/>
      <c r="M36" s="47"/>
      <c r="P36" s="96"/>
      <c r="Q36" s="96"/>
      <c r="R36" s="96"/>
    </row>
    <row r="37" spans="2:23" s="43" customFormat="1" x14ac:dyDescent="0.35">
      <c r="B37" s="34" t="s">
        <v>640</v>
      </c>
      <c r="C37" s="103"/>
      <c r="E37" s="152">
        <v>53.6</v>
      </c>
      <c r="F37" s="30"/>
      <c r="G37" s="31" t="s">
        <v>227</v>
      </c>
      <c r="H37" s="95" t="s">
        <v>260</v>
      </c>
      <c r="J37" s="47"/>
      <c r="K37" s="47"/>
      <c r="L37" s="47"/>
      <c r="M37" s="47"/>
      <c r="P37" s="96"/>
      <c r="Q37" s="96"/>
      <c r="R37" s="96"/>
    </row>
    <row r="38" spans="2:23" s="43" customFormat="1" ht="15" thickBot="1" x14ac:dyDescent="0.3">
      <c r="B38" s="48" t="s">
        <v>261</v>
      </c>
      <c r="C38" s="148"/>
      <c r="D38" s="149"/>
      <c r="E38" s="150"/>
      <c r="F38" s="151">
        <f>VLOOKUP($C$4,partData!$A$3:$ZZ$34,23,FALSE)</f>
        <v>908.99812863428428</v>
      </c>
      <c r="G38" s="49" t="s">
        <v>255</v>
      </c>
      <c r="H38" s="98" t="s">
        <v>530</v>
      </c>
      <c r="J38" s="47"/>
      <c r="K38" s="47"/>
      <c r="L38" s="47"/>
      <c r="M38" s="47"/>
      <c r="P38" s="96"/>
      <c r="Q38" s="96"/>
      <c r="R38" s="96"/>
    </row>
    <row r="39" spans="2:23" s="43" customFormat="1" ht="15.75" x14ac:dyDescent="0.25">
      <c r="B39" s="449" t="s">
        <v>262</v>
      </c>
      <c r="C39" s="450"/>
      <c r="D39" s="450"/>
      <c r="E39" s="450"/>
      <c r="F39" s="450"/>
      <c r="G39" s="450"/>
      <c r="H39" s="451"/>
      <c r="J39" s="47"/>
      <c r="K39" s="47"/>
      <c r="L39" s="47"/>
      <c r="M39" s="47"/>
      <c r="P39" s="96"/>
      <c r="Q39" s="96"/>
      <c r="R39" s="96"/>
    </row>
    <row r="40" spans="2:23" s="43" customFormat="1" ht="15" thickBot="1" x14ac:dyDescent="0.3">
      <c r="B40" s="446" t="s">
        <v>263</v>
      </c>
      <c r="C40" s="447"/>
      <c r="D40" s="447"/>
      <c r="E40" s="447"/>
      <c r="F40" s="447"/>
      <c r="G40" s="447"/>
      <c r="H40" s="448"/>
      <c r="J40" s="47"/>
      <c r="K40" s="47"/>
      <c r="L40" s="47"/>
      <c r="M40" s="47"/>
      <c r="P40" s="96"/>
      <c r="Q40" s="96"/>
      <c r="R40" s="96"/>
    </row>
    <row r="41" spans="2:23" s="43" customFormat="1" ht="14.25" x14ac:dyDescent="0.25">
      <c r="B41" s="53" t="s">
        <v>264</v>
      </c>
      <c r="C41" s="24">
        <v>0.3</v>
      </c>
      <c r="D41" s="30"/>
      <c r="E41" s="30"/>
      <c r="F41" s="30"/>
      <c r="G41" s="45"/>
      <c r="H41" s="26" t="s">
        <v>265</v>
      </c>
      <c r="J41" s="47"/>
      <c r="K41" s="47"/>
      <c r="L41" s="47"/>
      <c r="M41" s="47"/>
      <c r="P41" s="96"/>
      <c r="Q41" s="96"/>
      <c r="R41" s="96"/>
    </row>
    <row r="42" spans="2:23" s="43" customFormat="1" x14ac:dyDescent="0.35">
      <c r="B42" s="53" t="s">
        <v>267</v>
      </c>
      <c r="C42" s="30"/>
      <c r="D42" s="164">
        <f>((Vin_max-Vout)*Vout)/(Io_max_IC*0.5*Vin_max*fsw_Hz)*10^6</f>
        <v>0.95220829206326452</v>
      </c>
      <c r="E42" s="30"/>
      <c r="F42" s="30"/>
      <c r="G42" s="31" t="s">
        <v>223</v>
      </c>
      <c r="H42" s="95" t="s">
        <v>655</v>
      </c>
      <c r="J42" s="47"/>
      <c r="K42" s="47"/>
      <c r="L42" s="47"/>
      <c r="M42" s="47"/>
      <c r="P42" s="96"/>
      <c r="Q42" s="96"/>
      <c r="R42" s="96"/>
    </row>
    <row r="43" spans="2:23" s="43" customFormat="1" x14ac:dyDescent="0.35">
      <c r="B43" s="53" t="s">
        <v>268</v>
      </c>
      <c r="C43" s="30"/>
      <c r="D43" s="164">
        <f>((Vin_max-Vout)*Vout)/(Io_max_IC*0.1*Vin_max*fsw_Hz)*10^6</f>
        <v>4.7610414603163216</v>
      </c>
      <c r="E43" s="30"/>
      <c r="F43" s="30"/>
      <c r="G43" s="31" t="s">
        <v>223</v>
      </c>
      <c r="H43" s="95" t="s">
        <v>654</v>
      </c>
      <c r="J43" s="47"/>
      <c r="K43" s="47"/>
      <c r="L43" s="47"/>
      <c r="M43" s="47"/>
      <c r="P43" s="96"/>
      <c r="Q43" s="96"/>
      <c r="R43" s="96"/>
    </row>
    <row r="44" spans="2:23" s="43" customFormat="1" x14ac:dyDescent="0.35">
      <c r="B44" s="53" t="s">
        <v>266</v>
      </c>
      <c r="C44" s="30"/>
      <c r="D44" s="164">
        <f>(1/(Kind*Iout*(fsw_Hz))*(((Vin_max-Vout)*Vout)/Vin_max))*10^6</f>
        <v>2.3805207301581612</v>
      </c>
      <c r="E44" s="30"/>
      <c r="F44" s="30"/>
      <c r="G44" s="31" t="s">
        <v>223</v>
      </c>
      <c r="H44" s="95" t="s">
        <v>657</v>
      </c>
      <c r="J44" s="47"/>
      <c r="K44" s="47"/>
      <c r="L44" s="47"/>
      <c r="M44" s="47"/>
      <c r="P44" s="96"/>
      <c r="Q44" s="96"/>
      <c r="R44" s="96"/>
    </row>
    <row r="45" spans="2:23" s="43" customFormat="1" x14ac:dyDescent="0.35">
      <c r="B45" s="53" t="s">
        <v>658</v>
      </c>
      <c r="C45" s="259"/>
      <c r="D45" s="351">
        <f>MIN(MAX(D42,D44),D43)</f>
        <v>2.3805207301581612</v>
      </c>
      <c r="E45" s="259"/>
      <c r="F45" s="259"/>
      <c r="G45" s="31" t="s">
        <v>223</v>
      </c>
      <c r="H45" s="260" t="s">
        <v>656</v>
      </c>
      <c r="J45" s="261"/>
      <c r="K45" s="261"/>
      <c r="L45" s="261"/>
      <c r="M45" s="261"/>
      <c r="P45" s="96"/>
      <c r="Q45" s="96"/>
      <c r="R45" s="96"/>
    </row>
    <row r="46" spans="2:23" s="43" customFormat="1" x14ac:dyDescent="0.35">
      <c r="B46" s="53" t="s">
        <v>222</v>
      </c>
      <c r="C46" s="30"/>
      <c r="D46" s="30"/>
      <c r="E46" s="42">
        <v>2.2000000000000002</v>
      </c>
      <c r="F46" s="30"/>
      <c r="G46" s="31" t="s">
        <v>223</v>
      </c>
      <c r="H46" s="95" t="s">
        <v>269</v>
      </c>
      <c r="J46" s="47"/>
      <c r="K46" s="47"/>
      <c r="L46" s="47"/>
      <c r="M46" s="47"/>
      <c r="P46" s="96"/>
      <c r="Q46" s="96"/>
      <c r="R46" s="96"/>
    </row>
    <row r="47" spans="2:23" ht="28.5" customHeight="1" x14ac:dyDescent="0.35">
      <c r="B47" s="53" t="s">
        <v>270</v>
      </c>
      <c r="C47" s="30"/>
      <c r="D47" s="30"/>
      <c r="E47" s="152">
        <v>19</v>
      </c>
      <c r="F47" s="30"/>
      <c r="G47" s="31" t="s">
        <v>236</v>
      </c>
      <c r="H47" s="95" t="s">
        <v>271</v>
      </c>
      <c r="J47" s="51"/>
      <c r="K47" s="96"/>
      <c r="L47" s="96"/>
      <c r="M47" s="51"/>
      <c r="P47" s="96"/>
      <c r="Q47" s="52"/>
      <c r="R47" s="52"/>
    </row>
    <row r="48" spans="2:23" x14ac:dyDescent="0.35">
      <c r="B48" s="53" t="s">
        <v>272</v>
      </c>
      <c r="C48" s="30"/>
      <c r="D48" s="30"/>
      <c r="E48" s="55">
        <v>0.2</v>
      </c>
      <c r="F48" s="30"/>
      <c r="G48" s="31"/>
      <c r="H48" s="95" t="s">
        <v>273</v>
      </c>
      <c r="P48" s="96"/>
      <c r="Q48" s="96"/>
      <c r="R48" s="96"/>
      <c r="S48" s="96"/>
      <c r="T48" s="96"/>
      <c r="U48" s="96"/>
      <c r="V48" s="96"/>
      <c r="W48" s="96"/>
    </row>
    <row r="49" spans="2:23" ht="14.25" customHeight="1" x14ac:dyDescent="0.35">
      <c r="B49" s="99" t="s">
        <v>274</v>
      </c>
      <c r="C49" s="30"/>
      <c r="D49" s="30"/>
      <c r="E49" s="30"/>
      <c r="F49" s="56">
        <f>Vout*(Vin_max-Vout)/(Vin_max*(Lout*(1-Tol_L))*fsw)*1000</f>
        <v>1.6230823160169281</v>
      </c>
      <c r="G49" s="31" t="s">
        <v>214</v>
      </c>
      <c r="H49" s="95" t="s">
        <v>275</v>
      </c>
      <c r="I49" s="96"/>
      <c r="P49" s="96"/>
      <c r="Q49" s="96"/>
      <c r="R49" s="96"/>
      <c r="S49" s="96"/>
      <c r="T49" s="96"/>
      <c r="U49" s="96"/>
    </row>
    <row r="50" spans="2:23" x14ac:dyDescent="0.35">
      <c r="B50" s="99" t="s">
        <v>276</v>
      </c>
      <c r="C50" s="30"/>
      <c r="D50" s="30"/>
      <c r="E50" s="30"/>
      <c r="F50" s="56">
        <f>Iout+Iripple_max/2</f>
        <v>4.8115411580084642</v>
      </c>
      <c r="G50" s="31" t="s">
        <v>214</v>
      </c>
      <c r="H50" s="95" t="s">
        <v>277</v>
      </c>
      <c r="P50" s="96"/>
      <c r="Q50" s="96"/>
      <c r="R50" s="96"/>
      <c r="S50" s="96"/>
      <c r="T50" s="96"/>
      <c r="U50" s="96"/>
      <c r="V50" s="96"/>
      <c r="W50" s="96"/>
    </row>
    <row r="51" spans="2:23" ht="14.25" customHeight="1" x14ac:dyDescent="0.35">
      <c r="B51" s="99" t="s">
        <v>278</v>
      </c>
      <c r="C51" s="30"/>
      <c r="D51" s="30"/>
      <c r="E51" s="30"/>
      <c r="F51" s="56">
        <f>(Iout^2+((1/12)*(Vout*(Vin_max-Vout))/(Vin_max*fsw*Lout))^2)^0.5</f>
        <v>4.0000000014635528</v>
      </c>
      <c r="G51" s="31" t="s">
        <v>214</v>
      </c>
      <c r="H51" s="95" t="s">
        <v>279</v>
      </c>
      <c r="P51" s="96"/>
      <c r="Q51" s="96"/>
      <c r="R51" s="96"/>
      <c r="S51" s="96"/>
      <c r="T51" s="96"/>
      <c r="U51" s="96"/>
      <c r="V51" s="96"/>
      <c r="W51" s="96"/>
    </row>
    <row r="52" spans="2:23" ht="18.5" thickBot="1" x14ac:dyDescent="0.4">
      <c r="B52" s="100" t="s">
        <v>280</v>
      </c>
      <c r="C52" s="30"/>
      <c r="D52" s="30"/>
      <c r="E52" s="30"/>
      <c r="F52" s="56">
        <f>Vout*(Vin_min-Vout)/(Vin_min*(Lout*(1-Tol_L))*fsw)*1000</f>
        <v>1.6230823160169281</v>
      </c>
      <c r="G52" s="49" t="s">
        <v>214</v>
      </c>
      <c r="H52" s="98" t="s">
        <v>281</v>
      </c>
      <c r="I52" s="54"/>
      <c r="M52" s="96"/>
      <c r="N52" s="96"/>
      <c r="O52" s="52"/>
      <c r="P52" s="96"/>
      <c r="Q52" s="96"/>
      <c r="R52" s="96"/>
      <c r="S52" s="96"/>
      <c r="T52" s="96"/>
      <c r="U52" s="96"/>
      <c r="V52" s="96"/>
      <c r="W52" s="96"/>
    </row>
    <row r="53" spans="2:23" ht="18" x14ac:dyDescent="0.35">
      <c r="B53" s="449" t="s">
        <v>282</v>
      </c>
      <c r="C53" s="450"/>
      <c r="D53" s="450"/>
      <c r="E53" s="450"/>
      <c r="F53" s="450"/>
      <c r="G53" s="450"/>
      <c r="H53" s="451"/>
      <c r="I53" s="54"/>
      <c r="P53" s="96"/>
      <c r="Q53" s="96"/>
      <c r="R53" s="96"/>
      <c r="S53" s="96"/>
      <c r="T53" s="96"/>
      <c r="U53" s="96"/>
      <c r="V53" s="96"/>
      <c r="W53" s="96"/>
    </row>
    <row r="54" spans="2:23" ht="18.5" thickBot="1" x14ac:dyDescent="0.4">
      <c r="B54" s="446" t="s">
        <v>283</v>
      </c>
      <c r="C54" s="447"/>
      <c r="D54" s="447"/>
      <c r="E54" s="447"/>
      <c r="F54" s="447"/>
      <c r="G54" s="447"/>
      <c r="H54" s="448"/>
      <c r="I54" s="54"/>
      <c r="P54" s="96"/>
      <c r="Q54" s="96"/>
      <c r="R54" s="96"/>
      <c r="S54" s="96"/>
      <c r="T54" s="96"/>
      <c r="U54" s="96"/>
      <c r="V54" s="96"/>
      <c r="W54" s="96"/>
    </row>
    <row r="55" spans="2:23" ht="18" x14ac:dyDescent="0.35">
      <c r="B55" s="99" t="s">
        <v>284</v>
      </c>
      <c r="C55" s="42">
        <v>4</v>
      </c>
      <c r="D55" s="30"/>
      <c r="E55" s="30"/>
      <c r="F55" s="30"/>
      <c r="G55" s="101" t="s">
        <v>214</v>
      </c>
      <c r="H55" s="58" t="s">
        <v>285</v>
      </c>
      <c r="I55" s="54"/>
      <c r="M55" s="96"/>
      <c r="N55" s="96"/>
      <c r="O55" s="52"/>
      <c r="P55" s="96"/>
      <c r="Q55" s="96"/>
      <c r="R55" s="96"/>
      <c r="S55" s="96"/>
      <c r="T55" s="96"/>
      <c r="U55" s="96"/>
      <c r="V55" s="96"/>
      <c r="W55" s="96"/>
    </row>
    <row r="56" spans="2:23" ht="18" x14ac:dyDescent="0.35">
      <c r="B56" s="99" t="s">
        <v>286</v>
      </c>
      <c r="C56" s="59">
        <v>7.2000000000000008E-2</v>
      </c>
      <c r="D56" s="30"/>
      <c r="E56" s="30"/>
      <c r="F56" s="30"/>
      <c r="G56" s="101" t="s">
        <v>202</v>
      </c>
      <c r="H56" s="58" t="s">
        <v>287</v>
      </c>
      <c r="I56" s="54"/>
      <c r="M56" s="96"/>
      <c r="N56" s="96"/>
      <c r="O56" s="52"/>
      <c r="P56" s="47"/>
      <c r="Q56" s="47"/>
      <c r="R56" s="47"/>
      <c r="S56" s="96"/>
      <c r="T56" s="96"/>
      <c r="U56" s="96"/>
      <c r="V56" s="96"/>
      <c r="W56" s="96"/>
    </row>
    <row r="57" spans="2:23" ht="18" x14ac:dyDescent="0.35">
      <c r="B57" s="99" t="s">
        <v>288</v>
      </c>
      <c r="C57" s="60">
        <v>1.7999999999999999E-2</v>
      </c>
      <c r="D57" s="30"/>
      <c r="E57" s="30"/>
      <c r="F57" s="30"/>
      <c r="G57" s="101" t="s">
        <v>202</v>
      </c>
      <c r="H57" s="58" t="s">
        <v>289</v>
      </c>
      <c r="I57" s="54"/>
      <c r="M57" s="96"/>
      <c r="N57" s="96"/>
      <c r="O57" s="52"/>
      <c r="P57" s="47"/>
      <c r="Q57" s="47"/>
      <c r="R57" s="47"/>
      <c r="S57" s="96"/>
      <c r="T57" s="96"/>
      <c r="U57" s="96"/>
      <c r="V57" s="96"/>
      <c r="W57" s="96"/>
    </row>
    <row r="58" spans="2:23" ht="18" customHeight="1" x14ac:dyDescent="0.35">
      <c r="B58" s="99" t="s">
        <v>542</v>
      </c>
      <c r="C58" s="257"/>
      <c r="D58" s="92">
        <f>MIN(fsw_Hz/10,100000)/1000</f>
        <v>90.899812863428423</v>
      </c>
      <c r="E58" s="30"/>
      <c r="F58" s="30"/>
      <c r="G58" s="101" t="s">
        <v>255</v>
      </c>
      <c r="H58" s="58" t="s">
        <v>531</v>
      </c>
      <c r="I58" s="54"/>
      <c r="M58" s="96"/>
      <c r="N58" s="96"/>
      <c r="O58" s="52"/>
      <c r="P58" s="96"/>
      <c r="Q58" s="96"/>
      <c r="R58" s="96"/>
      <c r="S58" s="96"/>
      <c r="T58" s="96"/>
      <c r="U58" s="96"/>
      <c r="V58" s="96"/>
      <c r="W58" s="96"/>
    </row>
    <row r="59" spans="2:23" ht="18" x14ac:dyDescent="0.35">
      <c r="B59" s="99" t="s">
        <v>290</v>
      </c>
      <c r="C59" s="30"/>
      <c r="D59" s="93">
        <f>1/(8*fsw*(dVo_dc/Iripple_max))*10^3</f>
        <v>12.399810975710585</v>
      </c>
      <c r="E59" s="30"/>
      <c r="F59" s="30"/>
      <c r="G59" s="101" t="s">
        <v>226</v>
      </c>
      <c r="H59" s="58" t="s">
        <v>291</v>
      </c>
      <c r="I59" s="54"/>
      <c r="O59" s="57"/>
      <c r="P59" s="96"/>
      <c r="Q59" s="96"/>
      <c r="R59" s="96"/>
      <c r="S59" s="47"/>
      <c r="T59" s="47"/>
      <c r="U59" s="47"/>
      <c r="V59" s="96"/>
      <c r="W59" s="96"/>
    </row>
    <row r="60" spans="2:23" ht="18" x14ac:dyDescent="0.35">
      <c r="B60" s="99" t="s">
        <v>505</v>
      </c>
      <c r="C60" s="30"/>
      <c r="D60" s="62">
        <f>Io_step/(2*PI()*fco_est*dVo_trans)*10^3</f>
        <v>97.271281473016501</v>
      </c>
      <c r="E60" s="30"/>
      <c r="F60" s="30"/>
      <c r="G60" s="101" t="s">
        <v>226</v>
      </c>
      <c r="H60" s="58" t="s">
        <v>507</v>
      </c>
      <c r="I60" s="54"/>
      <c r="O60" s="47"/>
      <c r="P60" s="96"/>
      <c r="Q60" s="96"/>
      <c r="R60" s="96"/>
      <c r="S60" s="47"/>
      <c r="T60" s="47"/>
      <c r="U60" s="47"/>
      <c r="V60" s="96"/>
      <c r="W60" s="96"/>
    </row>
    <row r="61" spans="2:23" x14ac:dyDescent="0.35">
      <c r="B61" s="99" t="s">
        <v>292</v>
      </c>
      <c r="C61" s="30"/>
      <c r="D61" s="62">
        <f>(15/(PI()*fsw_Hz))^2*1/Lout_H*10^6</f>
        <v>12.54105618793572</v>
      </c>
      <c r="E61" s="30"/>
      <c r="F61" s="30"/>
      <c r="G61" s="101" t="s">
        <v>226</v>
      </c>
      <c r="H61" s="58" t="s">
        <v>293</v>
      </c>
      <c r="O61" s="47"/>
      <c r="S61" s="96"/>
      <c r="T61" s="96"/>
      <c r="U61" s="96"/>
      <c r="V61" s="96"/>
      <c r="W61" s="96"/>
    </row>
    <row r="62" spans="2:23" ht="28" x14ac:dyDescent="0.35">
      <c r="B62" s="99" t="s">
        <v>294</v>
      </c>
      <c r="C62" s="30"/>
      <c r="D62" s="62">
        <f>(MAX(D59:D61))</f>
        <v>97.271281473016501</v>
      </c>
      <c r="E62" s="30"/>
      <c r="F62" s="30"/>
      <c r="G62" s="101" t="s">
        <v>226</v>
      </c>
      <c r="H62" s="58" t="s">
        <v>295</v>
      </c>
      <c r="I62" s="54"/>
      <c r="S62" s="96"/>
      <c r="T62" s="96"/>
      <c r="U62" s="96"/>
    </row>
    <row r="63" spans="2:23" x14ac:dyDescent="0.35">
      <c r="B63" s="99" t="s">
        <v>296</v>
      </c>
      <c r="C63" s="30"/>
      <c r="D63" s="62">
        <f>dVo_trans/Io_step*1000</f>
        <v>18.000000000000004</v>
      </c>
      <c r="E63" s="30"/>
      <c r="F63" s="30"/>
      <c r="G63" s="101" t="s">
        <v>236</v>
      </c>
      <c r="H63" s="58" t="s">
        <v>297</v>
      </c>
      <c r="I63" s="96"/>
      <c r="P63" s="96"/>
      <c r="Q63" s="52"/>
      <c r="R63" s="52"/>
      <c r="S63" s="96"/>
      <c r="T63" s="96"/>
      <c r="U63" s="96"/>
    </row>
    <row r="64" spans="2:23" x14ac:dyDescent="0.35">
      <c r="B64" s="99" t="s">
        <v>298</v>
      </c>
      <c r="C64" s="30"/>
      <c r="D64" s="62">
        <f>dVo_dc/Iripple_max*1000</f>
        <v>11.09001054498105</v>
      </c>
      <c r="E64" s="30"/>
      <c r="F64" s="30"/>
      <c r="G64" s="101" t="s">
        <v>236</v>
      </c>
      <c r="H64" s="58" t="s">
        <v>299</v>
      </c>
      <c r="I64" s="47"/>
      <c r="P64" s="96"/>
      <c r="Q64" s="52"/>
      <c r="R64" s="52"/>
    </row>
    <row r="65" spans="2:23" s="22" customFormat="1" ht="15.5" x14ac:dyDescent="0.35">
      <c r="B65" s="99" t="s">
        <v>300</v>
      </c>
      <c r="C65" s="30"/>
      <c r="D65" s="62">
        <f>MIN(D63:D64)</f>
        <v>11.09001054498105</v>
      </c>
      <c r="E65" s="30"/>
      <c r="F65" s="30"/>
      <c r="G65" s="101" t="s">
        <v>236</v>
      </c>
      <c r="H65" s="58" t="s">
        <v>489</v>
      </c>
      <c r="P65" s="28"/>
      <c r="Q65" s="61"/>
      <c r="R65" s="61"/>
      <c r="S65" s="28"/>
      <c r="T65" s="28"/>
      <c r="U65" s="28"/>
    </row>
    <row r="66" spans="2:23" s="22" customFormat="1" ht="15.5" x14ac:dyDescent="0.35">
      <c r="B66" s="142" t="s">
        <v>536</v>
      </c>
      <c r="C66" s="158"/>
      <c r="D66" s="158"/>
      <c r="E66" s="42">
        <v>44</v>
      </c>
      <c r="F66" s="158"/>
      <c r="G66" s="144" t="s">
        <v>226</v>
      </c>
      <c r="H66" s="145" t="s">
        <v>533</v>
      </c>
      <c r="P66" s="28"/>
      <c r="Q66" s="61"/>
      <c r="R66" s="61"/>
      <c r="S66" s="28"/>
      <c r="T66" s="28"/>
      <c r="U66" s="28"/>
    </row>
    <row r="67" spans="2:23" s="22" customFormat="1" ht="15.5" x14ac:dyDescent="0.35">
      <c r="B67" s="142" t="s">
        <v>539</v>
      </c>
      <c r="C67" s="158"/>
      <c r="D67" s="158"/>
      <c r="E67" s="42">
        <v>3</v>
      </c>
      <c r="F67" s="158"/>
      <c r="G67" s="144" t="s">
        <v>236</v>
      </c>
      <c r="H67" s="145" t="s">
        <v>532</v>
      </c>
      <c r="P67" s="96"/>
      <c r="Q67" s="52"/>
      <c r="R67" s="52"/>
      <c r="S67" s="28"/>
      <c r="T67" s="28"/>
      <c r="U67" s="28"/>
    </row>
    <row r="68" spans="2:23" x14ac:dyDescent="0.35">
      <c r="B68" s="142" t="s">
        <v>538</v>
      </c>
      <c r="C68" s="158"/>
      <c r="D68" s="158"/>
      <c r="E68" s="42">
        <v>4</v>
      </c>
      <c r="F68" s="158"/>
      <c r="G68" s="144"/>
      <c r="H68" s="145" t="s">
        <v>534</v>
      </c>
      <c r="O68" s="261"/>
      <c r="P68" s="96"/>
      <c r="Q68" s="52"/>
      <c r="R68" s="52"/>
      <c r="S68" s="96"/>
      <c r="T68" s="96"/>
      <c r="U68" s="96"/>
      <c r="V68" s="96"/>
      <c r="W68" s="96"/>
    </row>
    <row r="69" spans="2:23" ht="28" x14ac:dyDescent="0.35">
      <c r="B69" s="142" t="s">
        <v>537</v>
      </c>
      <c r="C69" s="158"/>
      <c r="D69" s="158"/>
      <c r="E69" s="64">
        <v>0.6</v>
      </c>
      <c r="F69" s="158"/>
      <c r="G69" s="144"/>
      <c r="H69" s="145" t="s">
        <v>535</v>
      </c>
      <c r="I69" s="46"/>
      <c r="J69" s="46"/>
      <c r="P69" s="96"/>
      <c r="Q69" s="52"/>
      <c r="R69" s="52"/>
      <c r="S69" s="96"/>
      <c r="T69" s="96"/>
      <c r="U69" s="96"/>
    </row>
    <row r="70" spans="2:23" x14ac:dyDescent="0.3">
      <c r="B70" s="269" t="s">
        <v>553</v>
      </c>
      <c r="C70" s="270"/>
      <c r="D70" s="271"/>
      <c r="E70" s="272"/>
      <c r="F70" s="273">
        <f>IF(N_Co_cer=0,10^-6,Co_cer*N_Co_cer*Co_derate_cer)</f>
        <v>105.6</v>
      </c>
      <c r="G70" s="274" t="s">
        <v>226</v>
      </c>
      <c r="H70" s="275" t="s">
        <v>543</v>
      </c>
      <c r="P70" s="96"/>
      <c r="Q70" s="52"/>
      <c r="R70" s="52"/>
      <c r="S70" s="96"/>
      <c r="T70" s="96"/>
      <c r="U70" s="96"/>
    </row>
    <row r="71" spans="2:23" x14ac:dyDescent="0.3">
      <c r="B71" s="269" t="s">
        <v>554</v>
      </c>
      <c r="C71" s="270"/>
      <c r="D71" s="276"/>
      <c r="E71" s="277"/>
      <c r="F71" s="278">
        <f>IF(N_Co_cer=0,10^6,ESR_cer/N_Co_cer)</f>
        <v>0.75</v>
      </c>
      <c r="G71" s="262" t="s">
        <v>236</v>
      </c>
      <c r="H71" s="275" t="s">
        <v>544</v>
      </c>
      <c r="I71" s="46"/>
      <c r="J71" s="63"/>
      <c r="L71" s="46"/>
      <c r="P71" s="96"/>
      <c r="Q71" s="52"/>
      <c r="R71" s="52"/>
      <c r="S71" s="96"/>
      <c r="T71" s="96"/>
      <c r="U71" s="96"/>
    </row>
    <row r="72" spans="2:23" x14ac:dyDescent="0.3">
      <c r="B72" s="269" t="s">
        <v>551</v>
      </c>
      <c r="C72" s="274"/>
      <c r="D72" s="279"/>
      <c r="E72" s="280">
        <v>0.1</v>
      </c>
      <c r="F72" s="279"/>
      <c r="G72" s="274" t="s">
        <v>226</v>
      </c>
      <c r="H72" s="275" t="s">
        <v>545</v>
      </c>
      <c r="J72" s="46"/>
      <c r="P72" s="96"/>
      <c r="Q72" s="52"/>
      <c r="R72" s="52"/>
      <c r="S72" s="96"/>
      <c r="T72" s="96"/>
      <c r="U72" s="96"/>
    </row>
    <row r="73" spans="2:23" x14ac:dyDescent="0.3">
      <c r="B73" s="269" t="s">
        <v>549</v>
      </c>
      <c r="C73" s="274"/>
      <c r="D73" s="279"/>
      <c r="E73" s="280">
        <v>1</v>
      </c>
      <c r="F73" s="279"/>
      <c r="G73" s="262" t="s">
        <v>236</v>
      </c>
      <c r="H73" s="275" t="s">
        <v>546</v>
      </c>
      <c r="I73" s="46"/>
      <c r="J73" s="46"/>
      <c r="P73" s="96"/>
      <c r="Q73" s="52"/>
      <c r="R73" s="52"/>
      <c r="S73" s="96"/>
      <c r="T73" s="96"/>
      <c r="U73" s="96"/>
    </row>
    <row r="74" spans="2:23" x14ac:dyDescent="0.3">
      <c r="B74" s="269" t="s">
        <v>552</v>
      </c>
      <c r="C74" s="274"/>
      <c r="D74" s="281"/>
      <c r="E74" s="280">
        <v>0</v>
      </c>
      <c r="F74" s="279"/>
      <c r="G74" s="274"/>
      <c r="H74" s="275" t="s">
        <v>547</v>
      </c>
      <c r="I74" s="46"/>
      <c r="J74" s="46"/>
      <c r="P74" s="96"/>
      <c r="Q74" s="52"/>
      <c r="R74" s="52"/>
      <c r="S74" s="96"/>
      <c r="T74" s="96"/>
      <c r="U74" s="96"/>
    </row>
    <row r="75" spans="2:23" s="22" customFormat="1" ht="15.5" x14ac:dyDescent="0.3">
      <c r="B75" s="269" t="s">
        <v>556</v>
      </c>
      <c r="C75" s="270"/>
      <c r="D75" s="282"/>
      <c r="E75" s="272"/>
      <c r="F75" s="273">
        <f>IF(N_Co_bulk=0,10^-6,N_Co_bulk*Co_bulk)</f>
        <v>9.9999999999999995E-7</v>
      </c>
      <c r="G75" s="262" t="s">
        <v>226</v>
      </c>
      <c r="H75" s="275" t="s">
        <v>548</v>
      </c>
      <c r="P75" s="96"/>
      <c r="Q75" s="52"/>
      <c r="R75" s="52"/>
      <c r="S75" s="28"/>
      <c r="T75" s="28"/>
      <c r="U75" s="28"/>
    </row>
    <row r="76" spans="2:23" s="22" customFormat="1" ht="16" thickBot="1" x14ac:dyDescent="0.35">
      <c r="B76" s="321" t="s">
        <v>557</v>
      </c>
      <c r="C76" s="322"/>
      <c r="D76" s="323"/>
      <c r="E76" s="322"/>
      <c r="F76" s="324">
        <f>IF(N_Co_bulk=0,10^6,ESR_bulk/N_Co_bulk)</f>
        <v>1000000</v>
      </c>
      <c r="G76" s="264" t="s">
        <v>236</v>
      </c>
      <c r="H76" s="325" t="s">
        <v>550</v>
      </c>
      <c r="P76" s="96"/>
      <c r="Q76" s="52"/>
      <c r="R76" s="52"/>
      <c r="S76" s="28"/>
      <c r="T76" s="28"/>
      <c r="U76" s="28"/>
    </row>
    <row r="77" spans="2:23" s="22" customFormat="1" ht="16" thickBot="1" x14ac:dyDescent="0.4">
      <c r="B77" s="452" t="s">
        <v>627</v>
      </c>
      <c r="C77" s="453"/>
      <c r="D77" s="453"/>
      <c r="E77" s="453"/>
      <c r="F77" s="453"/>
      <c r="G77" s="453"/>
      <c r="H77" s="454"/>
      <c r="P77" s="96"/>
      <c r="Q77" s="52"/>
      <c r="R77" s="52"/>
      <c r="S77" s="28"/>
      <c r="T77" s="28"/>
      <c r="U77" s="28"/>
    </row>
    <row r="78" spans="2:23" x14ac:dyDescent="0.35">
      <c r="B78" s="265" t="s">
        <v>555</v>
      </c>
      <c r="C78" s="326"/>
      <c r="D78" s="326"/>
      <c r="E78" s="326"/>
      <c r="F78" s="327">
        <f>(Co_cer_eff+Co_bulk_eff)</f>
        <v>105.60000099999999</v>
      </c>
      <c r="G78" s="266" t="s">
        <v>226</v>
      </c>
      <c r="H78" s="97" t="s">
        <v>559</v>
      </c>
      <c r="J78" s="63"/>
      <c r="L78" s="46"/>
      <c r="P78" s="96"/>
      <c r="Q78" s="52"/>
      <c r="R78" s="52"/>
      <c r="S78" s="96"/>
      <c r="T78" s="96"/>
      <c r="U78" s="96"/>
    </row>
    <row r="79" spans="2:23" ht="18" x14ac:dyDescent="0.35">
      <c r="B79" s="258" t="s">
        <v>558</v>
      </c>
      <c r="C79" s="259"/>
      <c r="D79" s="259"/>
      <c r="E79" s="259"/>
      <c r="F79" s="159">
        <f>SQRT((1/(2*PI()*fsw_Hz*Co_cer_eff_F))^2+ESR_cer_eff_Ohm^2)*10^3</f>
        <v>1.8197730944463109</v>
      </c>
      <c r="G79" s="262" t="s">
        <v>236</v>
      </c>
      <c r="H79" s="260" t="s">
        <v>562</v>
      </c>
      <c r="I79" s="47"/>
      <c r="J79" s="54"/>
      <c r="P79" s="28"/>
      <c r="Q79" s="61"/>
      <c r="R79" s="61"/>
    </row>
    <row r="80" spans="2:23" s="22" customFormat="1" ht="15.5" x14ac:dyDescent="0.35">
      <c r="B80" s="258" t="s">
        <v>560</v>
      </c>
      <c r="C80" s="259"/>
      <c r="D80" s="259"/>
      <c r="E80" s="259"/>
      <c r="F80" s="159">
        <f>SQRT((1/(2*PI()*fsw_Hz*Co_bulk_eff_F))^2+ESR_bulk_eff_Ohm^2)*10^3</f>
        <v>175091162.32998484</v>
      </c>
      <c r="G80" s="262" t="s">
        <v>236</v>
      </c>
      <c r="H80" s="260" t="s">
        <v>563</v>
      </c>
      <c r="P80" s="28"/>
      <c r="Q80" s="61"/>
      <c r="R80" s="61"/>
      <c r="S80" s="28"/>
      <c r="T80" s="28"/>
      <c r="U80" s="28"/>
    </row>
    <row r="81" spans="2:21" s="22" customFormat="1" ht="15.5" x14ac:dyDescent="0.35">
      <c r="B81" s="258" t="s">
        <v>561</v>
      </c>
      <c r="C81" s="259"/>
      <c r="D81" s="259"/>
      <c r="E81" s="259"/>
      <c r="F81" s="159">
        <f>Zcer_fsw*Zbulk_fsw/(Zcer_fsw+Zbulk_fsw)</f>
        <v>1.8197730755328827</v>
      </c>
      <c r="G81" s="262" t="s">
        <v>236</v>
      </c>
      <c r="H81" s="260" t="s">
        <v>624</v>
      </c>
      <c r="P81" s="28"/>
      <c r="Q81" s="61"/>
      <c r="R81" s="61"/>
      <c r="S81" s="28"/>
      <c r="T81" s="28"/>
      <c r="U81" s="28"/>
    </row>
    <row r="82" spans="2:21" s="22" customFormat="1" ht="15.5" x14ac:dyDescent="0.35">
      <c r="B82" s="258" t="s">
        <v>302</v>
      </c>
      <c r="C82" s="259"/>
      <c r="D82" s="259"/>
      <c r="E82" s="259"/>
      <c r="F82" s="159">
        <f>Zcout_fsw*Iripple_max</f>
        <v>2.9536414980611596</v>
      </c>
      <c r="G82" s="262" t="s">
        <v>301</v>
      </c>
      <c r="H82" s="260" t="s">
        <v>303</v>
      </c>
      <c r="P82" s="28"/>
      <c r="Q82" s="61"/>
      <c r="R82" s="61"/>
      <c r="S82" s="28"/>
      <c r="T82" s="28"/>
      <c r="U82" s="28"/>
    </row>
    <row r="83" spans="2:21" x14ac:dyDescent="0.35">
      <c r="B83" s="258" t="s">
        <v>564</v>
      </c>
      <c r="C83" s="259"/>
      <c r="D83" s="259"/>
      <c r="E83" s="259"/>
      <c r="F83" s="254">
        <f>IF(N_Co_cer=0,10^6,1/(2*PI()*Co_cer_eff_F*ESR_cer_eff_Ohm)*10^-3)</f>
        <v>2009.5321097461533</v>
      </c>
      <c r="G83" s="262" t="s">
        <v>255</v>
      </c>
      <c r="H83" s="260" t="s">
        <v>625</v>
      </c>
      <c r="J83" s="63"/>
      <c r="L83" s="46"/>
      <c r="P83" s="96"/>
      <c r="Q83" s="52"/>
      <c r="R83" s="52"/>
      <c r="S83" s="96"/>
      <c r="T83" s="96"/>
      <c r="U83" s="96"/>
    </row>
    <row r="84" spans="2:21" ht="28.5" thickBot="1" x14ac:dyDescent="0.4">
      <c r="B84" s="69" t="s">
        <v>565</v>
      </c>
      <c r="C84" s="267"/>
      <c r="D84" s="267"/>
      <c r="E84" s="267"/>
      <c r="F84" s="332">
        <f>IF(N_Co_bulk=0,10^6,1/(2*PI()*Co_bulk_eff_F*ESR_bulk_eff_Ohm)*10^-3)</f>
        <v>1000000</v>
      </c>
      <c r="G84" s="72" t="s">
        <v>255</v>
      </c>
      <c r="H84" s="41" t="s">
        <v>626</v>
      </c>
      <c r="J84" s="63"/>
      <c r="L84" s="46"/>
      <c r="P84" s="96"/>
      <c r="Q84" s="52"/>
      <c r="R84" s="52"/>
      <c r="S84" s="96"/>
      <c r="T84" s="96"/>
      <c r="U84" s="96"/>
    </row>
    <row r="85" spans="2:21" ht="15.5" x14ac:dyDescent="0.35">
      <c r="B85" s="449" t="s">
        <v>304</v>
      </c>
      <c r="C85" s="450"/>
      <c r="D85" s="450"/>
      <c r="E85" s="450"/>
      <c r="F85" s="450"/>
      <c r="G85" s="450"/>
      <c r="H85" s="451"/>
      <c r="J85" s="63"/>
      <c r="L85" s="46"/>
      <c r="P85" s="96"/>
      <c r="Q85" s="52"/>
      <c r="R85" s="52"/>
      <c r="S85" s="96"/>
      <c r="T85" s="96"/>
      <c r="U85" s="96"/>
    </row>
    <row r="86" spans="2:21" ht="14.5" thickBot="1" x14ac:dyDescent="0.4">
      <c r="B86" s="446" t="s">
        <v>305</v>
      </c>
      <c r="C86" s="447"/>
      <c r="D86" s="447"/>
      <c r="E86" s="447"/>
      <c r="F86" s="447"/>
      <c r="G86" s="447"/>
      <c r="H86" s="448"/>
      <c r="J86" s="63"/>
      <c r="L86" s="46"/>
      <c r="P86" s="96"/>
      <c r="Q86" s="52"/>
      <c r="R86" s="52"/>
      <c r="S86" s="96"/>
      <c r="T86" s="96"/>
      <c r="U86" s="96"/>
    </row>
    <row r="87" spans="2:21" x14ac:dyDescent="0.35">
      <c r="B87" s="99" t="s">
        <v>306</v>
      </c>
      <c r="C87" s="30"/>
      <c r="D87" s="94">
        <f>Vin_min*0.02*1000</f>
        <v>240</v>
      </c>
      <c r="E87" s="30"/>
      <c r="F87" s="30"/>
      <c r="G87" s="101" t="s">
        <v>301</v>
      </c>
      <c r="H87" s="95" t="s">
        <v>307</v>
      </c>
      <c r="I87" s="46"/>
      <c r="J87" s="63"/>
      <c r="P87" s="96"/>
      <c r="Q87" s="52"/>
      <c r="R87" s="52"/>
      <c r="S87" s="96"/>
      <c r="T87" s="96"/>
      <c r="U87" s="96"/>
    </row>
    <row r="88" spans="2:21" x14ac:dyDescent="0.35">
      <c r="B88" s="99" t="s">
        <v>308</v>
      </c>
      <c r="C88" s="65">
        <f>D87</f>
        <v>240</v>
      </c>
      <c r="D88" s="30"/>
      <c r="E88" s="30"/>
      <c r="F88" s="30"/>
      <c r="G88" s="101" t="s">
        <v>301</v>
      </c>
      <c r="H88" s="95" t="s">
        <v>309</v>
      </c>
      <c r="J88" s="63"/>
      <c r="L88" s="46"/>
      <c r="P88" s="96"/>
      <c r="Q88" s="52"/>
      <c r="R88" s="52"/>
      <c r="S88" s="96"/>
      <c r="T88" s="96"/>
      <c r="U88" s="96"/>
    </row>
    <row r="89" spans="2:21" x14ac:dyDescent="0.35">
      <c r="B89" s="99" t="s">
        <v>310</v>
      </c>
      <c r="C89" s="30"/>
      <c r="D89" s="66">
        <f>(Iout*0.25)/(Vi_ripple_target*10^-3*fsw_Hz)*10^6</f>
        <v>4.5838011492134045</v>
      </c>
      <c r="E89" s="259"/>
      <c r="F89" s="30"/>
      <c r="G89" s="101" t="s">
        <v>226</v>
      </c>
      <c r="H89" s="95" t="s">
        <v>629</v>
      </c>
      <c r="I89" s="46"/>
      <c r="J89" s="63"/>
      <c r="P89" s="96"/>
      <c r="Q89" s="52"/>
      <c r="R89" s="52"/>
      <c r="S89" s="96"/>
      <c r="T89" s="96"/>
      <c r="U89" s="96"/>
    </row>
    <row r="90" spans="2:21" x14ac:dyDescent="0.35">
      <c r="B90" s="99" t="s">
        <v>145</v>
      </c>
      <c r="C90" s="30"/>
      <c r="D90" s="30"/>
      <c r="E90" s="65">
        <v>34.700000000000003</v>
      </c>
      <c r="F90" s="30"/>
      <c r="G90" s="101" t="s">
        <v>226</v>
      </c>
      <c r="H90" s="95" t="s">
        <v>692</v>
      </c>
      <c r="I90" s="46"/>
      <c r="J90" s="63"/>
      <c r="P90" s="96"/>
      <c r="Q90" s="52"/>
      <c r="R90" s="52"/>
      <c r="S90" s="96"/>
      <c r="T90" s="96"/>
      <c r="U90" s="96"/>
    </row>
    <row r="91" spans="2:21" ht="28" x14ac:dyDescent="0.35">
      <c r="B91" s="258" t="s">
        <v>671</v>
      </c>
      <c r="C91" s="259"/>
      <c r="D91" s="259"/>
      <c r="E91" s="399">
        <v>0.5</v>
      </c>
      <c r="F91" s="259"/>
      <c r="G91" s="262"/>
      <c r="H91" s="260" t="s">
        <v>690</v>
      </c>
      <c r="I91" s="46"/>
      <c r="J91" s="63"/>
      <c r="P91" s="96"/>
      <c r="Q91" s="52"/>
      <c r="R91" s="52"/>
      <c r="S91" s="96"/>
      <c r="T91" s="96"/>
      <c r="U91" s="96"/>
    </row>
    <row r="92" spans="2:21" x14ac:dyDescent="0.35">
      <c r="B92" s="258" t="s">
        <v>691</v>
      </c>
      <c r="C92" s="259"/>
      <c r="D92" s="259"/>
      <c r="E92" s="259"/>
      <c r="F92" s="67">
        <f>Cin*Cin_derating</f>
        <v>17.350000000000001</v>
      </c>
      <c r="G92" s="262" t="s">
        <v>226</v>
      </c>
      <c r="H92" s="260" t="s">
        <v>689</v>
      </c>
      <c r="I92" s="46"/>
      <c r="J92" s="63"/>
      <c r="P92" s="96"/>
      <c r="Q92" s="52"/>
      <c r="R92" s="52"/>
      <c r="S92" s="96"/>
      <c r="T92" s="96"/>
      <c r="U92" s="96"/>
    </row>
    <row r="93" spans="2:21" x14ac:dyDescent="0.35">
      <c r="B93" s="99" t="s">
        <v>311</v>
      </c>
      <c r="C93" s="30"/>
      <c r="D93" s="30"/>
      <c r="E93" s="30"/>
      <c r="F93" s="67">
        <f>(Iout*Vout/Vin_min*(1-Vout/Vin_min))/(Cin_eff*fsw)*10^6</f>
        <v>54.882322309121875</v>
      </c>
      <c r="G93" s="101" t="s">
        <v>301</v>
      </c>
      <c r="H93" s="95" t="s">
        <v>628</v>
      </c>
      <c r="I93" s="46"/>
      <c r="J93" s="63"/>
      <c r="P93" s="96"/>
      <c r="Q93" s="52"/>
      <c r="R93" s="52"/>
      <c r="S93" s="96"/>
      <c r="T93" s="96"/>
      <c r="U93" s="96"/>
    </row>
    <row r="94" spans="2:21" ht="14.5" thickBot="1" x14ac:dyDescent="0.4">
      <c r="B94" s="99" t="s">
        <v>312</v>
      </c>
      <c r="C94" s="30"/>
      <c r="D94" s="30"/>
      <c r="E94" s="30"/>
      <c r="F94" s="102">
        <f>Iout*SQRT(Vout/Vin_min*(Vin_min-Vout)/Vin_min)</f>
        <v>1.8607047649270483</v>
      </c>
      <c r="G94" s="101" t="s">
        <v>214</v>
      </c>
      <c r="H94" s="95" t="s">
        <v>313</v>
      </c>
      <c r="I94" s="46"/>
      <c r="J94" s="63"/>
      <c r="P94" s="96"/>
      <c r="Q94" s="52"/>
      <c r="R94" s="52"/>
      <c r="S94" s="96"/>
      <c r="T94" s="96"/>
      <c r="U94" s="96"/>
    </row>
    <row r="95" spans="2:21" ht="16" thickBot="1" x14ac:dyDescent="0.4">
      <c r="B95" s="443" t="s">
        <v>618</v>
      </c>
      <c r="C95" s="444"/>
      <c r="D95" s="444"/>
      <c r="E95" s="444"/>
      <c r="F95" s="444"/>
      <c r="G95" s="444"/>
      <c r="H95" s="445"/>
      <c r="I95" s="46"/>
      <c r="J95" s="46"/>
      <c r="P95" s="96"/>
      <c r="Q95" s="52"/>
      <c r="R95" s="52"/>
      <c r="S95" s="96"/>
      <c r="T95" s="96"/>
      <c r="U95" s="96"/>
    </row>
    <row r="96" spans="2:21" x14ac:dyDescent="0.35">
      <c r="B96" s="142" t="s">
        <v>712</v>
      </c>
      <c r="C96" s="143"/>
      <c r="D96" s="160">
        <f>Vref/0.0001*10^-3</f>
        <v>5.9999999999999991</v>
      </c>
      <c r="E96" s="143"/>
      <c r="F96" s="143"/>
      <c r="G96" s="144" t="s">
        <v>227</v>
      </c>
      <c r="H96" s="145" t="s">
        <v>714</v>
      </c>
      <c r="I96" s="46"/>
      <c r="J96" s="46"/>
      <c r="P96" s="96"/>
      <c r="Q96" s="52"/>
      <c r="R96" s="52"/>
      <c r="S96" s="96"/>
      <c r="T96" s="96"/>
      <c r="U96" s="96"/>
    </row>
    <row r="97" spans="2:23" x14ac:dyDescent="0.35">
      <c r="B97" s="142" t="s">
        <v>713</v>
      </c>
      <c r="C97" s="143"/>
      <c r="D97" s="330">
        <f>(IF((10^(LOG(D96)-INT(LOG(D96)))*100)-VLOOKUP((10^(LOG(D96)-INT(LOG(D96)))*100),E96_s:E96_f,1)&lt;VLOOKUP((10^(LOG(D96)-INT(LOG(D96)))*100),E96_s:E96_f,2)-(10^(LOG(D96)-INT(LOG(D96)))*100),VLOOKUP((10^(LOG(D96)-INT(LOG(D96)))*100),E96_s:E96_f,1),VLOOKUP((10^(LOG(D96)-INT(LOG(D96)))*100),E96_s:E96_f,2)))*10^INT(LOG(D96))/100</f>
        <v>6.04</v>
      </c>
      <c r="E97" s="143"/>
      <c r="F97" s="143"/>
      <c r="G97" s="144" t="s">
        <v>227</v>
      </c>
      <c r="H97" s="145" t="s">
        <v>516</v>
      </c>
      <c r="I97" s="46"/>
      <c r="J97" s="46"/>
      <c r="P97" s="96"/>
      <c r="Q97" s="96"/>
      <c r="R97" s="96"/>
      <c r="S97" s="96"/>
      <c r="T97" s="96"/>
      <c r="U97" s="96"/>
    </row>
    <row r="98" spans="2:23" x14ac:dyDescent="0.35">
      <c r="B98" s="352" t="s">
        <v>631</v>
      </c>
      <c r="C98" s="353"/>
      <c r="D98" s="353"/>
      <c r="E98" s="344">
        <v>6.04</v>
      </c>
      <c r="F98" s="353"/>
      <c r="G98" s="354" t="s">
        <v>227</v>
      </c>
      <c r="H98" s="355" t="s">
        <v>630</v>
      </c>
      <c r="I98" s="46"/>
      <c r="J98" s="46"/>
      <c r="P98" s="96"/>
      <c r="Q98" s="52"/>
      <c r="R98" s="52"/>
      <c r="S98" s="96"/>
      <c r="T98" s="96"/>
      <c r="U98" s="96"/>
    </row>
    <row r="99" spans="2:23" x14ac:dyDescent="0.35">
      <c r="B99" s="142" t="s">
        <v>632</v>
      </c>
      <c r="C99" s="143"/>
      <c r="D99" s="160">
        <f>Rfb_b*(Vout/Vref-1)</f>
        <v>32.213333333333331</v>
      </c>
      <c r="E99" s="143"/>
      <c r="F99" s="143"/>
      <c r="G99" s="144" t="s">
        <v>227</v>
      </c>
      <c r="H99" s="145" t="s">
        <v>314</v>
      </c>
      <c r="I99" s="46"/>
      <c r="J99" s="46"/>
      <c r="P99" s="96"/>
      <c r="Q99" s="52"/>
      <c r="R99" s="52"/>
      <c r="S99" s="96"/>
      <c r="T99" s="96"/>
      <c r="U99" s="96"/>
    </row>
    <row r="100" spans="2:23" x14ac:dyDescent="0.35">
      <c r="B100" s="142" t="s">
        <v>633</v>
      </c>
      <c r="C100" s="143"/>
      <c r="D100" s="330">
        <f>(IF((10^(LOG(D99)-INT(LOG(D99)))*100)-VLOOKUP((10^(LOG(D99)-INT(LOG(D99)))*100),E96_s:E96_f,1)&lt;VLOOKUP((10^(LOG(D99)-INT(LOG(D99)))*100),E96_s:E96_f,2)-(10^(LOG(D99)-INT(LOG(D99)))*100),VLOOKUP((10^(LOG(D99)-INT(LOG(D99)))*100),E96_s:E96_f,1),VLOOKUP((10^(LOG(D99)-INT(LOG(D99)))*100),E96_s:E96_f,2)))*10^INT(LOG(D99))/100</f>
        <v>32.4</v>
      </c>
      <c r="E100" s="143"/>
      <c r="F100" s="143"/>
      <c r="G100" s="144" t="s">
        <v>227</v>
      </c>
      <c r="H100" s="145" t="s">
        <v>516</v>
      </c>
      <c r="I100" s="46"/>
      <c r="J100" s="46"/>
      <c r="P100" s="96"/>
      <c r="Q100" s="96"/>
      <c r="R100" s="96"/>
      <c r="S100" s="96"/>
      <c r="T100" s="96"/>
      <c r="U100" s="96"/>
    </row>
    <row r="101" spans="2:23" s="43" customFormat="1" x14ac:dyDescent="0.35">
      <c r="B101" s="142" t="s">
        <v>634</v>
      </c>
      <c r="C101" s="143"/>
      <c r="D101" s="143"/>
      <c r="E101" s="161">
        <v>12.1</v>
      </c>
      <c r="F101" s="143"/>
      <c r="G101" s="144" t="s">
        <v>227</v>
      </c>
      <c r="H101" s="145" t="s">
        <v>315</v>
      </c>
      <c r="I101" s="46"/>
      <c r="J101" s="46"/>
      <c r="P101" s="261"/>
      <c r="Q101" s="261"/>
      <c r="R101" s="261"/>
      <c r="S101" s="261"/>
      <c r="T101" s="261"/>
      <c r="U101" s="261"/>
    </row>
    <row r="102" spans="2:23" ht="45" customHeight="1" thickBot="1" x14ac:dyDescent="0.4">
      <c r="B102" s="142" t="s">
        <v>362</v>
      </c>
      <c r="C102" s="143"/>
      <c r="D102" s="162"/>
      <c r="E102" s="143"/>
      <c r="F102" s="268">
        <f>Vref*(1+Rfb_t/Rfb_b)</f>
        <v>1.8019867549668873</v>
      </c>
      <c r="G102" s="144" t="s">
        <v>202</v>
      </c>
      <c r="H102" s="145" t="s">
        <v>363</v>
      </c>
      <c r="O102" s="47"/>
      <c r="P102" s="96"/>
      <c r="Q102" s="52"/>
      <c r="R102" s="52"/>
      <c r="S102" s="96"/>
      <c r="T102" s="96"/>
      <c r="U102" s="96"/>
      <c r="V102" s="96"/>
      <c r="W102" s="96"/>
    </row>
    <row r="103" spans="2:23" ht="16" thickBot="1" x14ac:dyDescent="0.4">
      <c r="B103" s="443" t="s">
        <v>636</v>
      </c>
      <c r="C103" s="444"/>
      <c r="D103" s="444"/>
      <c r="E103" s="444"/>
      <c r="F103" s="444"/>
      <c r="G103" s="444"/>
      <c r="H103" s="445"/>
      <c r="I103" s="46"/>
      <c r="O103" s="47"/>
      <c r="S103" s="96"/>
      <c r="T103" s="96"/>
      <c r="U103" s="96"/>
    </row>
    <row r="104" spans="2:23" ht="14.5" thickBot="1" x14ac:dyDescent="0.4">
      <c r="B104" s="452" t="s">
        <v>637</v>
      </c>
      <c r="C104" s="453"/>
      <c r="D104" s="453"/>
      <c r="E104" s="453"/>
      <c r="F104" s="453"/>
      <c r="G104" s="453"/>
      <c r="H104" s="454"/>
      <c r="J104" s="46"/>
    </row>
    <row r="105" spans="2:23" x14ac:dyDescent="0.35">
      <c r="B105" s="265" t="s">
        <v>583</v>
      </c>
      <c r="C105" s="106"/>
      <c r="D105" s="156"/>
      <c r="E105" s="106"/>
      <c r="F105" s="146">
        <f>(Iout)/(2*PI()*Vout*Co_total_F)*10^-3</f>
        <v>1.5864727031972319</v>
      </c>
      <c r="G105" s="266" t="s">
        <v>255</v>
      </c>
      <c r="H105" s="97" t="s">
        <v>349</v>
      </c>
    </row>
    <row r="106" spans="2:23" x14ac:dyDescent="0.35">
      <c r="B106" s="258" t="s">
        <v>353</v>
      </c>
      <c r="C106" s="103"/>
      <c r="D106" s="156"/>
      <c r="E106" s="153"/>
      <c r="F106" s="333">
        <f>MIN(fz_ESR_cer,fz_ESR_bulk)</f>
        <v>2009.5321097461533</v>
      </c>
      <c r="G106" s="262" t="s">
        <v>255</v>
      </c>
      <c r="H106" s="260" t="s">
        <v>585</v>
      </c>
    </row>
    <row r="107" spans="2:23" x14ac:dyDescent="0.35">
      <c r="B107" s="258" t="s">
        <v>694</v>
      </c>
      <c r="C107" s="103"/>
      <c r="D107" s="66">
        <f>SQRT(fpole_Hz*fzero_ESR_Hz)*10^-3</f>
        <v>56.462977589838601</v>
      </c>
      <c r="E107" s="156"/>
      <c r="F107" s="103"/>
      <c r="G107" s="262" t="s">
        <v>255</v>
      </c>
      <c r="H107" s="260" t="s">
        <v>350</v>
      </c>
    </row>
    <row r="108" spans="2:23" ht="16.5" customHeight="1" x14ac:dyDescent="0.35">
      <c r="B108" s="258" t="s">
        <v>695</v>
      </c>
      <c r="C108" s="103"/>
      <c r="D108" s="263">
        <f>SQRT(fpole_Hz*(fsw_Hz/2))*10^-3</f>
        <v>26.852380884529197</v>
      </c>
      <c r="E108" s="153"/>
      <c r="F108" s="103"/>
      <c r="G108" s="262" t="s">
        <v>255</v>
      </c>
      <c r="H108" s="260" t="s">
        <v>351</v>
      </c>
    </row>
    <row r="109" spans="2:23" x14ac:dyDescent="0.35">
      <c r="B109" s="258" t="s">
        <v>693</v>
      </c>
      <c r="C109" s="103"/>
      <c r="D109" s="263">
        <f>MIN(VLOOKUP(0,'Small Signal'!I2:L212,4,FALSE),1/8*fsw_Hz)*10^-3</f>
        <v>58.434141337351768</v>
      </c>
      <c r="E109" s="103"/>
      <c r="F109" s="154"/>
      <c r="G109" s="262" t="s">
        <v>255</v>
      </c>
      <c r="H109" s="260" t="s">
        <v>584</v>
      </c>
      <c r="I109" s="68"/>
      <c r="J109" s="68"/>
      <c r="O109" s="57"/>
    </row>
    <row r="110" spans="2:23" ht="14.5" thickBot="1" x14ac:dyDescent="0.4">
      <c r="B110" s="69" t="s">
        <v>685</v>
      </c>
      <c r="C110" s="70"/>
      <c r="D110" s="287"/>
      <c r="E110" s="320">
        <v>89.94</v>
      </c>
      <c r="F110" s="70"/>
      <c r="G110" s="72" t="s">
        <v>255</v>
      </c>
      <c r="H110" s="41" t="s">
        <v>352</v>
      </c>
      <c r="I110" s="68"/>
      <c r="J110" s="68"/>
      <c r="O110" s="57"/>
    </row>
    <row r="111" spans="2:23" ht="16.5" customHeight="1" thickBot="1" x14ac:dyDescent="0.4">
      <c r="B111" s="452" t="s">
        <v>619</v>
      </c>
      <c r="C111" s="453"/>
      <c r="D111" s="453"/>
      <c r="E111" s="453"/>
      <c r="F111" s="453"/>
      <c r="G111" s="453"/>
      <c r="H111" s="454"/>
      <c r="I111" s="96"/>
    </row>
    <row r="112" spans="2:23" x14ac:dyDescent="0.25">
      <c r="B112" s="53" t="s">
        <v>586</v>
      </c>
      <c r="C112" s="283"/>
      <c r="D112" s="284">
        <f>(2*PI()*fco_target_Hz*(Co_total_F)/gmps)*(Vout/(gmea*Vref))/1000</f>
        <v>18.170450092729574</v>
      </c>
      <c r="E112" s="285"/>
      <c r="F112" s="107"/>
      <c r="G112" s="251" t="s">
        <v>227</v>
      </c>
      <c r="H112" s="26" t="s">
        <v>566</v>
      </c>
      <c r="I112" s="96"/>
    </row>
    <row r="113" spans="2:15" x14ac:dyDescent="0.25">
      <c r="B113" s="258" t="s">
        <v>587</v>
      </c>
      <c r="C113" s="163"/>
      <c r="D113" s="330">
        <f>(IF((10^(LOG(D112)-INT(LOG(D112)))*100)-VLOOKUP((10^(LOG(D112)-INT(LOG(D112)))*100),E96_s:E96_f,1)&lt;VLOOKUP((10^(LOG(D112)-INT(LOG(D112)))*100),E96_s:E96_f,2)-(10^(LOG(D112)-INT(LOG(D112)))*100),VLOOKUP((10^(LOG(D112)-INT(LOG(D112)))*100),E96_s:E96_f,1),VLOOKUP((10^(LOG(D112)-INT(LOG(D112)))*100),E96_s:E96_f,2)))*10^INT(LOG(D112))/100</f>
        <v>18.2</v>
      </c>
      <c r="E113" s="153"/>
      <c r="F113" s="103"/>
      <c r="G113" s="262" t="s">
        <v>227</v>
      </c>
      <c r="H113" s="260" t="s">
        <v>516</v>
      </c>
      <c r="I113" s="96"/>
    </row>
    <row r="114" spans="2:15" x14ac:dyDescent="0.25">
      <c r="B114" s="258" t="s">
        <v>433</v>
      </c>
      <c r="C114" s="163"/>
      <c r="D114" s="155"/>
      <c r="E114" s="318">
        <v>3.4</v>
      </c>
      <c r="F114" s="103"/>
      <c r="G114" s="262" t="s">
        <v>227</v>
      </c>
      <c r="H114" s="260" t="s">
        <v>567</v>
      </c>
      <c r="I114" s="96"/>
    </row>
    <row r="115" spans="2:15" x14ac:dyDescent="0.25">
      <c r="B115" s="258" t="s">
        <v>588</v>
      </c>
      <c r="C115" s="163"/>
      <c r="D115" s="105">
        <f>1/(2*PI()*Rcomp*fpole_Hz*2)*10^9</f>
        <v>14.752941316176472</v>
      </c>
      <c r="E115" s="156"/>
      <c r="F115" s="103"/>
      <c r="G115" s="262" t="s">
        <v>234</v>
      </c>
      <c r="H115" s="260" t="s">
        <v>580</v>
      </c>
      <c r="I115" s="96"/>
    </row>
    <row r="116" spans="2:15" x14ac:dyDescent="0.35">
      <c r="B116" s="258" t="s">
        <v>589</v>
      </c>
      <c r="C116" s="103"/>
      <c r="D116" s="105">
        <f>1/(2*PI()*Rcomp*fco_target*10^3/10)*10^9</f>
        <v>5.204611672222506</v>
      </c>
      <c r="E116" s="156"/>
      <c r="F116" s="103"/>
      <c r="G116" s="262" t="s">
        <v>234</v>
      </c>
      <c r="H116" s="260" t="s">
        <v>576</v>
      </c>
      <c r="I116" s="96"/>
    </row>
    <row r="117" spans="2:15" x14ac:dyDescent="0.35">
      <c r="B117" s="258" t="s">
        <v>594</v>
      </c>
      <c r="C117" s="103"/>
      <c r="D117" s="330">
        <f>IF(Ccomp_rec&lt;10000,VLOOKUP((10^(LOG(Ccomp_rec)-INT(LOG(Ccomp_rec)))),c_s1:C_f1,1),VLOOKUP((10^(LOG(Ccomp_rec)-INT(LOG(Ccomp_rec)))),C_s2:C_f2,1))*10^INT(LOG(Ccomp_rec))</f>
        <v>12</v>
      </c>
      <c r="E117" s="156"/>
      <c r="F117" s="103"/>
      <c r="G117" s="262" t="s">
        <v>234</v>
      </c>
      <c r="H117" s="260" t="s">
        <v>595</v>
      </c>
      <c r="O117" s="57"/>
    </row>
    <row r="118" spans="2:15" x14ac:dyDescent="0.35">
      <c r="B118" s="258" t="s">
        <v>434</v>
      </c>
      <c r="C118" s="103"/>
      <c r="D118" s="157"/>
      <c r="E118" s="318">
        <v>12</v>
      </c>
      <c r="F118" s="103"/>
      <c r="G118" s="262" t="s">
        <v>234</v>
      </c>
      <c r="H118" s="260" t="s">
        <v>355</v>
      </c>
      <c r="I118" s="96"/>
      <c r="J118" s="96"/>
      <c r="K118" s="96"/>
      <c r="L118" s="96"/>
      <c r="M118" s="96"/>
      <c r="N118" s="96"/>
      <c r="O118" s="96"/>
    </row>
    <row r="119" spans="2:15" x14ac:dyDescent="0.35">
      <c r="B119" s="258" t="s">
        <v>574</v>
      </c>
      <c r="C119" s="103"/>
      <c r="D119" s="157"/>
      <c r="E119" s="103"/>
      <c r="F119" s="165">
        <f>1/(2*PI()*Rcomp*Ccomp)*10^-3</f>
        <v>3.9008564483307677</v>
      </c>
      <c r="G119" s="262" t="s">
        <v>255</v>
      </c>
      <c r="H119" s="260" t="s">
        <v>598</v>
      </c>
      <c r="I119" s="96"/>
      <c r="J119" s="96"/>
      <c r="K119" s="96"/>
      <c r="L119" s="96"/>
      <c r="M119" s="96"/>
      <c r="N119" s="96"/>
      <c r="O119" s="96"/>
    </row>
    <row r="120" spans="2:15" ht="18" x14ac:dyDescent="0.35">
      <c r="B120" s="258" t="s">
        <v>590</v>
      </c>
      <c r="C120" s="103"/>
      <c r="D120" s="66">
        <f>MAX(0.1,1/(2*PI()*Rcomp*fzero_ESR_Hz)*10^12-10)</f>
        <v>13.29411764705883</v>
      </c>
      <c r="E120" s="153"/>
      <c r="F120" s="103"/>
      <c r="G120" s="262" t="s">
        <v>232</v>
      </c>
      <c r="H120" s="260" t="s">
        <v>605</v>
      </c>
      <c r="I120" s="54"/>
    </row>
    <row r="121" spans="2:15" x14ac:dyDescent="0.35">
      <c r="B121" s="258" t="s">
        <v>591</v>
      </c>
      <c r="C121" s="103"/>
      <c r="D121" s="66">
        <f>MAX(0.1,1/(Rcomp*PI()*fsw*1000)*10^12-10)</f>
        <v>92.993121559664559</v>
      </c>
      <c r="E121" s="103"/>
      <c r="F121" s="103"/>
      <c r="G121" s="262" t="s">
        <v>232</v>
      </c>
      <c r="H121" s="260" t="s">
        <v>604</v>
      </c>
      <c r="J121" s="96"/>
      <c r="K121" s="96"/>
      <c r="L121" s="96"/>
      <c r="M121" s="96"/>
      <c r="N121" s="96"/>
      <c r="O121" s="96"/>
    </row>
    <row r="122" spans="2:15" ht="16.5" customHeight="1" x14ac:dyDescent="0.35">
      <c r="B122" s="258" t="s">
        <v>592</v>
      </c>
      <c r="C122" s="103"/>
      <c r="D122" s="66">
        <f>MAX(0.1,1/(2*PI()*Rcomp*fco_target_Hz*10)*10^12-10)</f>
        <v>42.046116722225065</v>
      </c>
      <c r="E122" s="153"/>
      <c r="F122" s="103"/>
      <c r="G122" s="262" t="s">
        <v>232</v>
      </c>
      <c r="H122" s="260" t="s">
        <v>603</v>
      </c>
      <c r="I122" s="96"/>
      <c r="J122" s="96"/>
      <c r="K122" s="96"/>
      <c r="L122" s="96"/>
      <c r="M122" s="96"/>
      <c r="N122" s="96"/>
      <c r="O122" s="96"/>
    </row>
    <row r="123" spans="2:15" x14ac:dyDescent="0.35">
      <c r="B123" s="258" t="s">
        <v>597</v>
      </c>
      <c r="C123" s="103"/>
      <c r="D123" s="329">
        <f>IF(Cpole_rec&lt;10000,VLOOKUP((10^(LOG(Cpole_rec)-INT(LOG(Cpole_rec)))),c_s1:C_f1,1),VLOOKUP((10^(LOG(Cpole_rec)-INT(LOG(Cpole_rec)))),C_s2:C_f2,1))*10^INT(LOG(Cpole_rec))</f>
        <v>82</v>
      </c>
      <c r="E123" s="153"/>
      <c r="F123" s="103"/>
      <c r="G123" s="262" t="s">
        <v>232</v>
      </c>
      <c r="H123" s="260" t="s">
        <v>596</v>
      </c>
      <c r="I123" s="96"/>
      <c r="J123" s="96"/>
      <c r="K123" s="96"/>
      <c r="L123" s="96"/>
      <c r="M123" s="96"/>
      <c r="N123" s="96"/>
      <c r="O123" s="96"/>
    </row>
    <row r="124" spans="2:15" x14ac:dyDescent="0.35">
      <c r="B124" s="258" t="s">
        <v>436</v>
      </c>
      <c r="C124" s="103"/>
      <c r="D124" s="103"/>
      <c r="E124" s="319">
        <v>22</v>
      </c>
      <c r="F124" s="103"/>
      <c r="G124" s="262" t="s">
        <v>232</v>
      </c>
      <c r="H124" s="260" t="s">
        <v>356</v>
      </c>
      <c r="I124" s="96"/>
      <c r="J124" s="96"/>
      <c r="K124" s="96"/>
      <c r="L124" s="96"/>
      <c r="M124" s="96"/>
      <c r="N124" s="96"/>
      <c r="O124" s="96"/>
    </row>
    <row r="125" spans="2:15" x14ac:dyDescent="0.35">
      <c r="B125" s="258" t="s">
        <v>575</v>
      </c>
      <c r="C125" s="103"/>
      <c r="D125" s="103"/>
      <c r="E125" s="103"/>
      <c r="F125" s="165">
        <f>1/(2*PI()*Rcomp*Cpole)*10^-3</f>
        <v>2127.7398809076922</v>
      </c>
      <c r="G125" s="262" t="s">
        <v>255</v>
      </c>
      <c r="H125" s="260" t="s">
        <v>599</v>
      </c>
      <c r="I125" s="96"/>
      <c r="J125" s="96"/>
      <c r="K125" s="96"/>
      <c r="L125" s="96"/>
      <c r="M125" s="96"/>
      <c r="N125" s="96"/>
      <c r="O125" s="96"/>
    </row>
    <row r="126" spans="2:15" x14ac:dyDescent="0.35">
      <c r="B126" s="258" t="s">
        <v>593</v>
      </c>
      <c r="C126" s="103"/>
      <c r="D126" s="66">
        <f>1/(2*PI()*Rfb_t*fsw/5)*10^6</f>
        <v>72.350539938607312</v>
      </c>
      <c r="E126" s="103"/>
      <c r="F126" s="103"/>
      <c r="G126" s="262" t="s">
        <v>232</v>
      </c>
      <c r="H126" s="260" t="s">
        <v>357</v>
      </c>
      <c r="I126" s="96"/>
      <c r="J126" s="96"/>
      <c r="K126" s="96"/>
      <c r="L126" s="96"/>
      <c r="M126" s="96"/>
      <c r="N126" s="96"/>
      <c r="O126" s="96"/>
    </row>
    <row r="127" spans="2:15" x14ac:dyDescent="0.35">
      <c r="B127" s="258" t="s">
        <v>602</v>
      </c>
      <c r="C127" s="103"/>
      <c r="D127" s="66">
        <f>IF(Cff_rec&lt;10000,VLOOKUP((10^(LOG(Cff_rec)-INT(LOG(Cff_rec)))),c_s1:C_f1,1),VLOOKUP((10^(LOG(Cff_rec)-INT(LOG(Cff_rec)))),C_s2:C_f2,1))*10^INT(LOG(Cff_rec))</f>
        <v>68</v>
      </c>
      <c r="E127" s="153"/>
      <c r="F127" s="103"/>
      <c r="G127" s="262" t="s">
        <v>232</v>
      </c>
      <c r="H127" s="260" t="s">
        <v>596</v>
      </c>
      <c r="I127" s="96"/>
      <c r="J127" s="96"/>
      <c r="K127" s="96"/>
      <c r="L127" s="96"/>
      <c r="M127" s="96"/>
      <c r="N127" s="96"/>
      <c r="O127" s="96"/>
    </row>
    <row r="128" spans="2:15" x14ac:dyDescent="0.35">
      <c r="B128" s="258" t="s">
        <v>231</v>
      </c>
      <c r="C128" s="103"/>
      <c r="D128" s="103"/>
      <c r="E128" s="152">
        <v>100</v>
      </c>
      <c r="F128" s="103"/>
      <c r="G128" s="262" t="s">
        <v>232</v>
      </c>
      <c r="H128" s="260" t="s">
        <v>635</v>
      </c>
      <c r="I128" s="96"/>
      <c r="J128" s="96"/>
      <c r="K128" s="96"/>
      <c r="L128" s="96"/>
      <c r="M128" s="96"/>
      <c r="N128" s="96"/>
      <c r="O128" s="96"/>
    </row>
    <row r="129" spans="2:21" x14ac:dyDescent="0.35">
      <c r="B129" s="258" t="s">
        <v>360</v>
      </c>
      <c r="C129" s="103"/>
      <c r="D129" s="103"/>
      <c r="E129" s="103"/>
      <c r="F129" s="165">
        <f>1/(2*PI()*Cff*Rfb_t*10^3)*10^-3</f>
        <v>131.5330108197482</v>
      </c>
      <c r="G129" s="262" t="s">
        <v>255</v>
      </c>
      <c r="H129" s="260" t="s">
        <v>600</v>
      </c>
      <c r="J129" s="63"/>
      <c r="L129" s="46"/>
      <c r="P129" s="96"/>
      <c r="Q129" s="52"/>
      <c r="R129" s="52"/>
      <c r="S129" s="96"/>
      <c r="T129" s="96"/>
      <c r="U129" s="96"/>
    </row>
    <row r="130" spans="2:21" ht="14.5" thickBot="1" x14ac:dyDescent="0.4">
      <c r="B130" s="100" t="s">
        <v>361</v>
      </c>
      <c r="C130" s="286"/>
      <c r="D130" s="286"/>
      <c r="E130" s="286"/>
      <c r="F130" s="151">
        <f>1/(2*PI()*Cff*Rfb_t*Rfb_b/(Rfb_b+Rfb_t)*10^3)*10^-3</f>
        <v>395.03457223017091</v>
      </c>
      <c r="G130" s="264" t="s">
        <v>255</v>
      </c>
      <c r="H130" s="98" t="s">
        <v>601</v>
      </c>
      <c r="J130" s="63"/>
      <c r="L130" s="46"/>
      <c r="P130" s="96"/>
      <c r="Q130" s="52"/>
      <c r="R130" s="52"/>
      <c r="S130" s="96"/>
      <c r="T130" s="96"/>
      <c r="U130" s="96"/>
    </row>
    <row r="131" spans="2:21" ht="14.5" thickBot="1" x14ac:dyDescent="0.4">
      <c r="B131" s="455" t="s">
        <v>620</v>
      </c>
      <c r="C131" s="456"/>
      <c r="D131" s="456"/>
      <c r="E131" s="456"/>
      <c r="F131" s="456"/>
      <c r="G131" s="456"/>
      <c r="H131" s="457"/>
      <c r="I131" s="96"/>
      <c r="J131" s="96"/>
      <c r="K131" s="96"/>
      <c r="L131" s="96"/>
      <c r="M131" s="96"/>
      <c r="N131" s="96"/>
      <c r="O131" s="96"/>
    </row>
    <row r="132" spans="2:21" x14ac:dyDescent="0.35">
      <c r="B132" s="265" t="s">
        <v>354</v>
      </c>
      <c r="C132" s="106"/>
      <c r="D132" s="106"/>
      <c r="E132" s="106"/>
      <c r="F132" s="334">
        <f>fco*10^-3</f>
        <v>34.145488738336013</v>
      </c>
      <c r="G132" s="266" t="s">
        <v>255</v>
      </c>
      <c r="H132" s="97" t="s">
        <v>579</v>
      </c>
      <c r="I132" s="96"/>
      <c r="J132" s="96"/>
      <c r="K132" s="96"/>
      <c r="L132" s="96"/>
      <c r="M132" s="96"/>
      <c r="N132" s="96"/>
      <c r="O132" s="96"/>
    </row>
    <row r="133" spans="2:21" x14ac:dyDescent="0.35">
      <c r="B133" s="258" t="s">
        <v>568</v>
      </c>
      <c r="C133" s="103"/>
      <c r="D133" s="103"/>
      <c r="E133" s="103"/>
      <c r="F133" s="67">
        <f>phaseMargin</f>
        <v>75.399718549967076</v>
      </c>
      <c r="G133" s="262" t="s">
        <v>570</v>
      </c>
      <c r="H133" s="260" t="s">
        <v>578</v>
      </c>
      <c r="I133" s="96"/>
      <c r="J133" s="96"/>
      <c r="K133" s="96"/>
      <c r="L133" s="96"/>
      <c r="M133" s="96"/>
      <c r="N133" s="96"/>
      <c r="O133" s="96"/>
    </row>
    <row r="134" spans="2:21" x14ac:dyDescent="0.35">
      <c r="B134" s="258" t="s">
        <v>569</v>
      </c>
      <c r="C134" s="103"/>
      <c r="D134" s="103"/>
      <c r="E134" s="103"/>
      <c r="F134" s="67">
        <f>gainMargin</f>
        <v>-36.302272028828156</v>
      </c>
      <c r="G134" s="262" t="s">
        <v>446</v>
      </c>
      <c r="H134" s="260" t="s">
        <v>577</v>
      </c>
      <c r="I134" s="96"/>
      <c r="L134" s="96"/>
      <c r="M134" s="96"/>
      <c r="N134" s="96"/>
    </row>
    <row r="135" spans="2:21" x14ac:dyDescent="0.35">
      <c r="B135" s="258" t="s">
        <v>572</v>
      </c>
      <c r="C135" s="103"/>
      <c r="D135" s="103"/>
      <c r="E135" s="103"/>
      <c r="F135" s="67">
        <f>SQRT((1/(2*PI()*fco*Co_cer_eff_F))^2+ESR_cer_eff_Ohm^2)*10^3</f>
        <v>44.145411130266169</v>
      </c>
      <c r="G135" s="262" t="s">
        <v>236</v>
      </c>
      <c r="H135" s="260" t="s">
        <v>622</v>
      </c>
      <c r="I135" s="96"/>
      <c r="L135" s="96"/>
      <c r="M135" s="96"/>
      <c r="N135" s="96"/>
      <c r="O135" s="75"/>
      <c r="P135" s="75"/>
      <c r="Q135" s="75"/>
    </row>
    <row r="136" spans="2:21" x14ac:dyDescent="0.3">
      <c r="B136" s="258" t="s">
        <v>573</v>
      </c>
      <c r="C136" s="103"/>
      <c r="D136" s="103"/>
      <c r="E136" s="103"/>
      <c r="F136" s="67">
        <f>SQRT((1/(2*PI()*fco*Co_bulk_eff_F))^2+ESR_bulk_eff_Ohm^2)*10^3</f>
        <v>4661082697.4643974</v>
      </c>
      <c r="G136" s="262" t="s">
        <v>236</v>
      </c>
      <c r="H136" s="260" t="s">
        <v>623</v>
      </c>
      <c r="I136" s="96"/>
      <c r="J136" s="316" t="s">
        <v>451</v>
      </c>
      <c r="K136" s="319" t="s">
        <v>454</v>
      </c>
      <c r="L136" s="96"/>
      <c r="M136" s="96"/>
      <c r="N136" s="96"/>
      <c r="O136" s="96"/>
    </row>
    <row r="137" spans="2:21" s="75" customFormat="1" ht="16.5" customHeight="1" x14ac:dyDescent="0.3">
      <c r="B137" s="258" t="s">
        <v>571</v>
      </c>
      <c r="C137" s="103"/>
      <c r="D137" s="103"/>
      <c r="E137" s="103"/>
      <c r="F137" s="67">
        <f>Zcer_fco*Zbulk_fco/(Zcer_fco+Zbulk_fco)</f>
        <v>44.145410712162167</v>
      </c>
      <c r="G137" s="262" t="s">
        <v>236</v>
      </c>
      <c r="H137" s="260" t="s">
        <v>621</v>
      </c>
      <c r="I137" s="76"/>
      <c r="J137" s="316" t="s">
        <v>453</v>
      </c>
      <c r="K137" s="319" t="s">
        <v>454</v>
      </c>
      <c r="L137" s="76"/>
      <c r="M137" s="76"/>
      <c r="N137" s="76"/>
      <c r="O137" s="76"/>
      <c r="P137" s="20"/>
      <c r="Q137" s="20"/>
      <c r="R137" s="20"/>
    </row>
    <row r="138" spans="2:21" ht="14.5" thickBot="1" x14ac:dyDescent="0.4">
      <c r="B138" s="69" t="s">
        <v>581</v>
      </c>
      <c r="C138" s="70"/>
      <c r="D138" s="70"/>
      <c r="E138" s="70"/>
      <c r="F138" s="328">
        <f>Io_step*Zout_fco</f>
        <v>176.58164284864867</v>
      </c>
      <c r="G138" s="72" t="s">
        <v>301</v>
      </c>
      <c r="H138" s="41" t="s">
        <v>582</v>
      </c>
      <c r="I138" s="96"/>
      <c r="J138" s="96"/>
      <c r="K138" s="96"/>
      <c r="L138" s="96"/>
      <c r="M138" s="96"/>
      <c r="N138" s="96"/>
      <c r="O138" s="96"/>
    </row>
    <row r="139" spans="2:21" ht="16" thickBot="1" x14ac:dyDescent="0.4">
      <c r="B139" s="437" t="s">
        <v>335</v>
      </c>
      <c r="C139" s="438"/>
      <c r="D139" s="438"/>
      <c r="E139" s="438"/>
      <c r="F139" s="438"/>
      <c r="G139" s="438"/>
      <c r="H139" s="439"/>
      <c r="I139" s="96"/>
      <c r="J139" s="96"/>
      <c r="K139" s="96"/>
      <c r="L139" s="96"/>
      <c r="M139" s="96"/>
      <c r="N139" s="96"/>
      <c r="O139" s="96"/>
    </row>
    <row r="140" spans="2:21" x14ac:dyDescent="0.35">
      <c r="B140" s="133" t="s">
        <v>609</v>
      </c>
      <c r="C140" s="134">
        <v>1</v>
      </c>
      <c r="D140" s="106"/>
      <c r="E140" s="106"/>
      <c r="F140" s="106"/>
      <c r="G140" s="135" t="s">
        <v>336</v>
      </c>
      <c r="H140" s="97" t="s">
        <v>610</v>
      </c>
      <c r="I140" s="96"/>
      <c r="J140" s="96"/>
      <c r="K140" s="96"/>
      <c r="L140" s="96"/>
      <c r="M140" s="96"/>
      <c r="N140" s="96"/>
      <c r="O140" s="96"/>
    </row>
    <row r="141" spans="2:21" x14ac:dyDescent="0.35">
      <c r="B141" s="34" t="s">
        <v>607</v>
      </c>
      <c r="C141" s="138"/>
      <c r="D141" s="141">
        <f>tss_target*Iss/Vref</f>
        <v>3.833333333333333</v>
      </c>
      <c r="E141" s="103"/>
      <c r="F141" s="103"/>
      <c r="G141" s="31" t="s">
        <v>234</v>
      </c>
      <c r="H141" s="260" t="s">
        <v>611</v>
      </c>
      <c r="I141" s="96"/>
      <c r="J141" s="96"/>
      <c r="K141" s="96"/>
      <c r="L141" s="96"/>
      <c r="M141" s="96"/>
      <c r="N141" s="96"/>
      <c r="O141" s="96"/>
    </row>
    <row r="142" spans="2:21" x14ac:dyDescent="0.35">
      <c r="B142" s="34" t="s">
        <v>608</v>
      </c>
      <c r="C142" s="138"/>
      <c r="D142" s="331">
        <f>IF(D141*10^-3&lt;10000,IF((10^(LOG(D141*10^-3)-INT(LOG(D141*10^-3))))-VLOOKUP((10^(LOG(D141*10^-3)-INT(LOG(D141*10^-3)))),c_s1:C_f1,1)&lt;VLOOKUP((10^(LOG(D141*10^-3)-INT(LOG(D141*10^-3)))),c_s1:C_f1,2)-(10^(LOG(D141*10^-3)-INT(LOG(D141*10^-3)))),VLOOKUP((10^(LOG(D141*10^-3)-INT(LOG(D141*10^-3)))),c_s1:C_f1,1),VLOOKUP((10^(LOG(D141*10^-3)-INT(LOG(D141*10^-3)))),c_s1:C_f1,2))*10^INT(LOG(D141*10^-3)),IF((10^(LOG(D141*10^-3)-INT(LOG(D141*10^-3))))-VLOOKUP((10^(LOG(D141*10^-3)-INT(LOG(D141*10^-3)))),C_s2:C_f2,1)&lt;VLOOKUP((10^(LOG(D141*10^-3)-INT(LOG(D141*10^-3)))),C_s2:C_f2,2)-(10^(LOG(D141*10^-3)-INT(LOG(D141*10^-3)))),VLOOKUP((10^(LOG(D141*10^-3)-INT(LOG(D141*10^-3)))),C_s2:C_f2,1),VLOOKUP((10^(LOG(D141*10^-3)-INT(LOG(D141*10^-3)))),C_s2:C_f2,2))*10^INT(LOG(D141*10^-3)))*10^3</f>
        <v>3.9</v>
      </c>
      <c r="E142" s="103"/>
      <c r="F142" s="103"/>
      <c r="G142" s="31" t="s">
        <v>234</v>
      </c>
      <c r="H142" s="260" t="s">
        <v>615</v>
      </c>
      <c r="I142" s="96"/>
      <c r="J142" s="96"/>
      <c r="K142" s="96"/>
      <c r="L142" s="96"/>
      <c r="M142" s="96"/>
      <c r="N142" s="96"/>
      <c r="O142" s="96"/>
    </row>
    <row r="143" spans="2:21" x14ac:dyDescent="0.35">
      <c r="B143" s="34" t="s">
        <v>233</v>
      </c>
      <c r="C143" s="138"/>
      <c r="D143" s="103"/>
      <c r="E143" s="318">
        <v>0</v>
      </c>
      <c r="F143" s="103"/>
      <c r="G143" s="31" t="s">
        <v>234</v>
      </c>
      <c r="H143" s="260" t="s">
        <v>614</v>
      </c>
      <c r="I143" s="96"/>
      <c r="J143" s="96"/>
      <c r="K143" s="96"/>
      <c r="L143" s="96"/>
      <c r="M143" s="96"/>
      <c r="N143" s="96"/>
      <c r="O143" s="96"/>
    </row>
    <row r="144" spans="2:21" x14ac:dyDescent="0.35">
      <c r="B144" s="34" t="s">
        <v>606</v>
      </c>
      <c r="C144" s="138"/>
      <c r="D144" s="317"/>
      <c r="E144" s="103"/>
      <c r="F144" s="164">
        <f>Css*Vref/Iss</f>
        <v>0</v>
      </c>
      <c r="G144" s="31" t="s">
        <v>336</v>
      </c>
      <c r="H144" s="260" t="s">
        <v>613</v>
      </c>
      <c r="I144" s="96"/>
      <c r="J144" s="96"/>
      <c r="K144" s="96"/>
      <c r="L144" s="96"/>
      <c r="M144" s="96"/>
      <c r="N144" s="96"/>
      <c r="O144" s="96"/>
    </row>
    <row r="145" spans="2:15" ht="14.5" thickBot="1" x14ac:dyDescent="0.4">
      <c r="B145" s="40" t="s">
        <v>390</v>
      </c>
      <c r="C145" s="139"/>
      <c r="D145" s="137"/>
      <c r="E145" s="70"/>
      <c r="F145" s="140" t="e">
        <f>(Co_total_F)*Vout/(tss*10^-3)</f>
        <v>#DIV/0!</v>
      </c>
      <c r="G145" s="136" t="s">
        <v>214</v>
      </c>
      <c r="H145" s="41" t="s">
        <v>616</v>
      </c>
      <c r="I145" s="96"/>
      <c r="J145" s="96"/>
      <c r="K145" s="96"/>
      <c r="L145" s="96"/>
      <c r="M145" s="96"/>
      <c r="N145" s="96"/>
      <c r="O145" s="96"/>
    </row>
    <row r="146" spans="2:15" ht="16" thickBot="1" x14ac:dyDescent="0.4">
      <c r="B146" s="440" t="s">
        <v>617</v>
      </c>
      <c r="C146" s="441"/>
      <c r="D146" s="441"/>
      <c r="E146" s="441"/>
      <c r="F146" s="441"/>
      <c r="G146" s="441"/>
      <c r="H146" s="442"/>
      <c r="I146" s="96"/>
      <c r="J146" s="96"/>
      <c r="K146" s="96"/>
      <c r="L146" s="96"/>
      <c r="M146" s="96"/>
      <c r="N146" s="96"/>
      <c r="O146" s="96"/>
    </row>
    <row r="147" spans="2:15" x14ac:dyDescent="0.35">
      <c r="B147" s="142" t="s">
        <v>643</v>
      </c>
      <c r="C147" s="65">
        <v>6.5</v>
      </c>
      <c r="D147" s="143"/>
      <c r="E147" s="143"/>
      <c r="F147" s="143"/>
      <c r="G147" s="144" t="s">
        <v>202</v>
      </c>
      <c r="H147" s="145" t="s">
        <v>340</v>
      </c>
      <c r="I147" s="96"/>
      <c r="J147" s="96"/>
      <c r="K147" s="96"/>
      <c r="L147" s="96"/>
      <c r="M147" s="96"/>
      <c r="N147" s="96"/>
      <c r="O147" s="96"/>
    </row>
    <row r="148" spans="2:15" x14ac:dyDescent="0.35">
      <c r="B148" s="142" t="s">
        <v>644</v>
      </c>
      <c r="C148" s="65">
        <v>6.2</v>
      </c>
      <c r="D148" s="143"/>
      <c r="E148" s="143"/>
      <c r="F148" s="143"/>
      <c r="G148" s="144" t="s">
        <v>202</v>
      </c>
      <c r="H148" s="145" t="s">
        <v>340</v>
      </c>
      <c r="I148" s="96"/>
      <c r="J148" s="96"/>
      <c r="K148" s="96"/>
      <c r="L148" s="96"/>
      <c r="M148" s="96"/>
      <c r="N148" s="96"/>
      <c r="O148" s="96"/>
    </row>
    <row r="149" spans="2:15" x14ac:dyDescent="0.35">
      <c r="B149" s="142" t="s">
        <v>342</v>
      </c>
      <c r="C149" s="143"/>
      <c r="D149" s="160">
        <f>(Vstart_target*(EN_fall/EN_rise)-Vstop_target)/(I_1*(1-EN_fall/EN_rise)+Ihys)*10^-3</f>
        <v>25.501361723198841</v>
      </c>
      <c r="E149" s="143"/>
      <c r="F149" s="143"/>
      <c r="G149" s="144"/>
      <c r="H149" s="145" t="s">
        <v>314</v>
      </c>
      <c r="I149" s="96"/>
      <c r="J149" s="96"/>
      <c r="K149" s="96"/>
      <c r="L149" s="96"/>
      <c r="M149" s="96"/>
      <c r="N149" s="96"/>
      <c r="O149" s="96"/>
    </row>
    <row r="150" spans="2:15" x14ac:dyDescent="0.35">
      <c r="B150" s="142" t="s">
        <v>343</v>
      </c>
      <c r="C150" s="143"/>
      <c r="D150" s="143"/>
      <c r="E150" s="161">
        <v>0</v>
      </c>
      <c r="F150" s="143"/>
      <c r="G150" s="144" t="s">
        <v>227</v>
      </c>
      <c r="H150" s="145" t="s">
        <v>315</v>
      </c>
      <c r="I150" s="96"/>
      <c r="J150" s="96"/>
      <c r="K150" s="96"/>
      <c r="L150" s="96"/>
      <c r="M150" s="96"/>
      <c r="N150" s="96"/>
      <c r="O150" s="96"/>
    </row>
    <row r="151" spans="2:15" x14ac:dyDescent="0.35">
      <c r="B151" s="142" t="s">
        <v>648</v>
      </c>
      <c r="C151" s="143"/>
      <c r="D151" s="160">
        <f>(Ren_t*EN_fall)/((Vstop_target-EN_fall)+Ren_t*(I_1+Ihys))*10^-3</f>
        <v>0</v>
      </c>
      <c r="E151" s="143"/>
      <c r="F151" s="143"/>
      <c r="G151" s="144" t="s">
        <v>227</v>
      </c>
      <c r="H151" s="145" t="s">
        <v>649</v>
      </c>
      <c r="I151" s="96"/>
      <c r="J151" s="96"/>
      <c r="K151" s="96"/>
      <c r="L151" s="96"/>
      <c r="M151" s="96"/>
      <c r="N151" s="96"/>
      <c r="O151" s="96"/>
    </row>
    <row r="152" spans="2:15" x14ac:dyDescent="0.35">
      <c r="B152" s="142" t="s">
        <v>341</v>
      </c>
      <c r="C152" s="143"/>
      <c r="D152" s="143"/>
      <c r="E152" s="161">
        <v>10000</v>
      </c>
      <c r="F152" s="143"/>
      <c r="G152" s="144" t="s">
        <v>227</v>
      </c>
      <c r="H152" s="145" t="s">
        <v>650</v>
      </c>
      <c r="I152" s="96"/>
      <c r="J152" s="96"/>
      <c r="K152" s="96"/>
      <c r="L152" s="96"/>
      <c r="M152" s="96"/>
      <c r="N152" s="96"/>
      <c r="O152" s="96"/>
    </row>
    <row r="153" spans="2:15" ht="28" x14ac:dyDescent="0.35">
      <c r="B153" s="142" t="s">
        <v>503</v>
      </c>
      <c r="C153" s="143"/>
      <c r="D153" s="143"/>
      <c r="E153" s="143"/>
      <c r="F153" s="147">
        <f>Vin_max*Ren_b/(Ren_t+Ren_b)</f>
        <v>12</v>
      </c>
      <c r="G153" s="144" t="s">
        <v>202</v>
      </c>
      <c r="H153" s="145" t="s">
        <v>348</v>
      </c>
      <c r="I153" s="96"/>
      <c r="J153" s="96"/>
      <c r="K153" s="96"/>
      <c r="L153" s="96"/>
      <c r="M153" s="96"/>
      <c r="N153" s="96"/>
      <c r="O153" s="96"/>
    </row>
    <row r="154" spans="2:15" ht="28" x14ac:dyDescent="0.35">
      <c r="B154" s="142" t="s">
        <v>344</v>
      </c>
      <c r="C154" s="143"/>
      <c r="D154" s="143"/>
      <c r="E154" s="143"/>
      <c r="F154" s="147">
        <f>EN_rise+Ren_t*(EN_rise-I_1*Ren_b)/Ren_b</f>
        <v>1.21</v>
      </c>
      <c r="G154" s="144" t="s">
        <v>202</v>
      </c>
      <c r="H154" s="145" t="s">
        <v>345</v>
      </c>
      <c r="I154" s="96"/>
      <c r="J154" s="96"/>
      <c r="K154" s="96"/>
      <c r="L154" s="96"/>
      <c r="M154" s="96"/>
      <c r="N154" s="96"/>
      <c r="O154" s="96"/>
    </row>
    <row r="155" spans="2:15" ht="14.5" thickBot="1" x14ac:dyDescent="0.4">
      <c r="B155" s="345" t="s">
        <v>346</v>
      </c>
      <c r="C155" s="346"/>
      <c r="D155" s="346"/>
      <c r="E155" s="346"/>
      <c r="F155" s="347">
        <f>EN_fall-(Ren_t*(I_1*Ren_b-EN_fall+Ihys*Ren_b))/Ren_b</f>
        <v>1.17</v>
      </c>
      <c r="G155" s="348" t="s">
        <v>202</v>
      </c>
      <c r="H155" s="349" t="s">
        <v>347</v>
      </c>
      <c r="I155" s="96"/>
      <c r="J155" s="96"/>
      <c r="K155" s="96"/>
      <c r="L155" s="96"/>
      <c r="M155" s="96"/>
      <c r="N155" s="96"/>
      <c r="O155" s="96"/>
    </row>
    <row r="156" spans="2:15" ht="16" thickBot="1" x14ac:dyDescent="0.4">
      <c r="B156" s="443" t="s">
        <v>364</v>
      </c>
      <c r="C156" s="444"/>
      <c r="D156" s="444"/>
      <c r="E156" s="444"/>
      <c r="F156" s="444"/>
      <c r="G156" s="444"/>
      <c r="H156" s="445"/>
      <c r="I156" s="96"/>
      <c r="J156" s="96"/>
      <c r="K156" s="96"/>
      <c r="L156" s="96"/>
      <c r="M156" s="96"/>
      <c r="N156" s="96"/>
      <c r="O156" s="96"/>
    </row>
    <row r="157" spans="2:15" x14ac:dyDescent="0.35">
      <c r="B157" s="99" t="s">
        <v>541</v>
      </c>
      <c r="C157" s="103"/>
      <c r="D157" s="66">
        <v>0.1</v>
      </c>
      <c r="E157" s="103"/>
      <c r="F157" s="103"/>
      <c r="G157" s="101" t="s">
        <v>226</v>
      </c>
      <c r="H157" s="58" t="s">
        <v>540</v>
      </c>
      <c r="I157" s="96"/>
      <c r="J157" s="96"/>
      <c r="K157" s="96"/>
      <c r="L157" s="96"/>
      <c r="M157" s="96"/>
      <c r="N157" s="96"/>
      <c r="O157" s="96"/>
    </row>
    <row r="158" spans="2:15" x14ac:dyDescent="0.35">
      <c r="B158" s="99" t="s">
        <v>240</v>
      </c>
      <c r="C158" s="103"/>
      <c r="D158" s="103"/>
      <c r="E158" s="104">
        <v>0.1</v>
      </c>
      <c r="F158" s="103"/>
      <c r="G158" s="101" t="s">
        <v>226</v>
      </c>
      <c r="H158" s="58" t="s">
        <v>316</v>
      </c>
      <c r="I158" s="96"/>
      <c r="J158" s="96"/>
      <c r="K158" s="96"/>
      <c r="L158" s="96"/>
      <c r="M158" s="96"/>
      <c r="N158" s="96"/>
      <c r="O158" s="96"/>
    </row>
    <row r="159" spans="2:15" x14ac:dyDescent="0.35">
      <c r="B159" s="100" t="s">
        <v>317</v>
      </c>
      <c r="C159" s="103"/>
      <c r="D159" s="288">
        <v>100</v>
      </c>
      <c r="E159" s="103"/>
      <c r="F159" s="103"/>
      <c r="G159" s="101" t="s">
        <v>227</v>
      </c>
      <c r="H159" s="58" t="s">
        <v>318</v>
      </c>
      <c r="I159" s="96"/>
      <c r="J159" s="96"/>
      <c r="K159" s="96"/>
      <c r="L159" s="96"/>
      <c r="M159" s="96"/>
      <c r="N159" s="96"/>
      <c r="O159" s="96"/>
    </row>
    <row r="160" spans="2:15" ht="14.5" thickBot="1" x14ac:dyDescent="0.4">
      <c r="B160" s="69" t="s">
        <v>242</v>
      </c>
      <c r="C160" s="70"/>
      <c r="D160" s="70"/>
      <c r="E160" s="71">
        <v>49.9</v>
      </c>
      <c r="F160" s="70"/>
      <c r="G160" s="72" t="s">
        <v>227</v>
      </c>
      <c r="H160" s="73" t="s">
        <v>319</v>
      </c>
      <c r="I160" s="96"/>
      <c r="J160" s="96"/>
      <c r="K160" s="96"/>
      <c r="L160" s="96"/>
      <c r="M160" s="96"/>
      <c r="N160" s="96"/>
      <c r="O160" s="96"/>
    </row>
    <row r="161" spans="2:15" x14ac:dyDescent="0.35">
      <c r="B161" s="74"/>
      <c r="C161" s="74"/>
      <c r="D161" s="74"/>
      <c r="E161" s="74"/>
      <c r="F161" s="74"/>
      <c r="G161" s="74"/>
      <c r="H161" s="253"/>
      <c r="I161" s="96"/>
      <c r="J161" s="96"/>
      <c r="K161" s="96"/>
      <c r="L161" s="96"/>
      <c r="M161" s="96"/>
      <c r="N161" s="96"/>
      <c r="O161" s="96"/>
    </row>
    <row r="162" spans="2:15" x14ac:dyDescent="0.35">
      <c r="B162" s="96"/>
      <c r="C162" s="96"/>
      <c r="D162" s="96"/>
      <c r="E162" s="96"/>
      <c r="F162" s="96"/>
      <c r="G162" s="96"/>
      <c r="H162" s="47"/>
      <c r="I162" s="96"/>
      <c r="J162" s="96"/>
      <c r="K162" s="96"/>
      <c r="L162" s="96"/>
      <c r="M162" s="96"/>
      <c r="N162" s="96"/>
      <c r="O162" s="96"/>
    </row>
    <row r="163" spans="2:15" x14ac:dyDescent="0.35">
      <c r="B163" s="96"/>
      <c r="C163" s="96"/>
      <c r="D163" s="96"/>
      <c r="E163" s="96"/>
      <c r="F163" s="96"/>
      <c r="G163" s="96"/>
      <c r="H163" s="47"/>
      <c r="I163" s="96"/>
      <c r="J163" s="96"/>
      <c r="K163" s="96"/>
      <c r="L163" s="96"/>
      <c r="M163" s="96"/>
      <c r="N163" s="96"/>
      <c r="O163" s="96"/>
    </row>
    <row r="164" spans="2:15" x14ac:dyDescent="0.35">
      <c r="I164" s="96"/>
      <c r="J164" s="96"/>
      <c r="K164" s="96"/>
      <c r="L164" s="96"/>
      <c r="M164" s="96"/>
      <c r="N164" s="96"/>
      <c r="O164" s="96"/>
    </row>
    <row r="165" spans="2:15" x14ac:dyDescent="0.35">
      <c r="I165" s="96"/>
      <c r="J165" s="96"/>
      <c r="K165" s="96"/>
      <c r="L165" s="96"/>
      <c r="M165" s="96"/>
      <c r="N165" s="96"/>
      <c r="O165" s="96"/>
    </row>
    <row r="166" spans="2:15" x14ac:dyDescent="0.35">
      <c r="I166" s="96"/>
      <c r="J166" s="96"/>
      <c r="K166" s="96"/>
      <c r="L166" s="96"/>
      <c r="M166" s="96"/>
      <c r="N166" s="96"/>
      <c r="O166" s="96"/>
    </row>
  </sheetData>
  <sheetProtection password="8D71" sheet="1" objects="1" scenarios="1"/>
  <protectedRanges>
    <protectedRange password="CD94" sqref="O135:Q135 S137:XFD137 A137 I137 L137:O137" name="Range1"/>
  </protectedRanges>
  <mergeCells count="19">
    <mergeCell ref="B39:H39"/>
    <mergeCell ref="B1:H1"/>
    <mergeCell ref="B3:H3"/>
    <mergeCell ref="B25:H25"/>
    <mergeCell ref="B31:H31"/>
    <mergeCell ref="B139:H139"/>
    <mergeCell ref="B146:H146"/>
    <mergeCell ref="B156:H156"/>
    <mergeCell ref="B40:H40"/>
    <mergeCell ref="B53:H53"/>
    <mergeCell ref="B54:H54"/>
    <mergeCell ref="B85:H85"/>
    <mergeCell ref="B86:H86"/>
    <mergeCell ref="B95:H95"/>
    <mergeCell ref="B103:H103"/>
    <mergeCell ref="B104:H104"/>
    <mergeCell ref="B111:H111"/>
    <mergeCell ref="B131:H131"/>
    <mergeCell ref="B77:H77"/>
  </mergeCells>
  <conditionalFormatting sqref="M47">
    <cfRule type="cellIs" dxfId="35" priority="59" operator="lessThan">
      <formula>#REF!</formula>
    </cfRule>
    <cfRule type="cellIs" dxfId="34" priority="60" operator="greaterThan">
      <formula>$J$47</formula>
    </cfRule>
  </conditionalFormatting>
  <conditionalFormatting sqref="E160">
    <cfRule type="cellIs" dxfId="33" priority="54" operator="notBetween">
      <formula>1</formula>
      <formula>100</formula>
    </cfRule>
  </conditionalFormatting>
  <conditionalFormatting sqref="E158">
    <cfRule type="cellIs" dxfId="32" priority="53" operator="lessThan">
      <formula>0.1</formula>
    </cfRule>
  </conditionalFormatting>
  <conditionalFormatting sqref="F42:F48">
    <cfRule type="cellIs" dxfId="31" priority="50" operator="greaterThan">
      <formula>6</formula>
    </cfRule>
  </conditionalFormatting>
  <conditionalFormatting sqref="D35">
    <cfRule type="containsErrors" dxfId="30" priority="48">
      <formula>ISERROR(D35)</formula>
    </cfRule>
  </conditionalFormatting>
  <conditionalFormatting sqref="C34">
    <cfRule type="cellIs" dxfId="29" priority="30" operator="greaterThan">
      <formula>$D$32</formula>
    </cfRule>
    <cfRule type="cellIs" dxfId="28" priority="31" operator="greaterThan">
      <formula>$D$33</formula>
    </cfRule>
    <cfRule type="cellIs" dxfId="27" priority="49" operator="notBetween">
      <formula>200</formula>
      <formula>1600</formula>
    </cfRule>
  </conditionalFormatting>
  <conditionalFormatting sqref="D38">
    <cfRule type="containsErrors" dxfId="26" priority="46">
      <formula>ISERROR(D38)</formula>
    </cfRule>
  </conditionalFormatting>
  <conditionalFormatting sqref="F38">
    <cfRule type="expression" dxfId="25" priority="3">
      <formula>$F$38&gt;MIN($D$32,$D$33)</formula>
    </cfRule>
    <cfRule type="cellIs" dxfId="24" priority="45" operator="notBetween">
      <formula>$C$15/1000</formula>
      <formula>$C$16/1000</formula>
    </cfRule>
  </conditionalFormatting>
  <conditionalFormatting sqref="C30">
    <cfRule type="cellIs" dxfId="23" priority="32" operator="greaterThan">
      <formula>$C$8</formula>
    </cfRule>
  </conditionalFormatting>
  <conditionalFormatting sqref="F154">
    <cfRule type="cellIs" dxfId="22" priority="27" operator="greaterThan">
      <formula>Vin_min</formula>
    </cfRule>
    <cfRule type="cellIs" dxfId="21" priority="28" operator="greaterThan">
      <formula>Vin_min-0.5</formula>
    </cfRule>
  </conditionalFormatting>
  <conditionalFormatting sqref="C147">
    <cfRule type="cellIs" dxfId="20" priority="29" operator="greaterThan">
      <formula>$C$26</formula>
    </cfRule>
  </conditionalFormatting>
  <conditionalFormatting sqref="F153">
    <cfRule type="cellIs" dxfId="19" priority="22" operator="greaterThan">
      <formula>6</formula>
    </cfRule>
  </conditionalFormatting>
  <conditionalFormatting sqref="F83">
    <cfRule type="cellIs" dxfId="18" priority="17" operator="lessThan">
      <formula>fsw_Hz/10*10^-3</formula>
    </cfRule>
  </conditionalFormatting>
  <conditionalFormatting sqref="F82">
    <cfRule type="cellIs" dxfId="17" priority="21" operator="greaterThan">
      <formula>$C$57*10^3</formula>
    </cfRule>
  </conditionalFormatting>
  <conditionalFormatting sqref="F102">
    <cfRule type="cellIs" dxfId="16" priority="14" operator="notBetween">
      <formula>Vout*0.99</formula>
      <formula>Vout*1.01</formula>
    </cfRule>
  </conditionalFormatting>
  <conditionalFormatting sqref="F78">
    <cfRule type="cellIs" dxfId="15" priority="12" operator="lessThan">
      <formula>$D$62</formula>
    </cfRule>
  </conditionalFormatting>
  <conditionalFormatting sqref="F138">
    <cfRule type="cellIs" dxfId="14" priority="11" operator="greaterThan">
      <formula>dVo_trans*10^3</formula>
    </cfRule>
  </conditionalFormatting>
  <conditionalFormatting sqref="F84">
    <cfRule type="cellIs" dxfId="13" priority="9" operator="lessThan">
      <formula>fsw_Hz/10*10^-3</formula>
    </cfRule>
  </conditionalFormatting>
  <conditionalFormatting sqref="F132">
    <cfRule type="cellIs" dxfId="12" priority="8" operator="greaterThan">
      <formula>fsw_Hz/5</formula>
    </cfRule>
  </conditionalFormatting>
  <conditionalFormatting sqref="F133">
    <cfRule type="cellIs" dxfId="11" priority="7" operator="lessThan">
      <formula>60</formula>
    </cfRule>
  </conditionalFormatting>
  <conditionalFormatting sqref="F134">
    <cfRule type="cellIs" dxfId="10" priority="6" operator="greaterThan">
      <formula>-12</formula>
    </cfRule>
  </conditionalFormatting>
  <conditionalFormatting sqref="C148">
    <cfRule type="cellIs" dxfId="9" priority="4" operator="greaterThan">
      <formula>$C$26</formula>
    </cfRule>
  </conditionalFormatting>
  <conditionalFormatting sqref="F49 F52">
    <cfRule type="cellIs" dxfId="8" priority="1" operator="greaterThan">
      <formula>0.5*Io_max_IC</formula>
    </cfRule>
    <cfRule type="cellIs" dxfId="7" priority="2" operator="lessThan">
      <formula>0.1*Io_max_IC</formula>
    </cfRule>
  </conditionalFormatting>
  <dataValidations disablePrompts="1" count="3">
    <dataValidation type="decimal" errorStyle="warning" allowBlank="1" showInputMessage="1" showErrorMessage="1" error="Re-adjust Divider Ratio" sqref="M47">
      <formula1>#REF!</formula1>
      <formula2>J47</formula2>
    </dataValidation>
    <dataValidation type="list" allowBlank="1" showInputMessage="1" showErrorMessage="1" sqref="C156:F156">
      <formula1>$L$4:$L$47</formula1>
    </dataValidation>
    <dataValidation type="list" allowBlank="1" showInputMessage="1" showErrorMessage="1" sqref="C146:F146">
      <formula1>$L$4:$L$43</formula1>
    </dataValidation>
  </dataValidations>
  <pageMargins left="0.7" right="0.7" top="0.75" bottom="0.75" header="0.3" footer="0.3"/>
  <pageSetup orientation="portrait" r:id="rId1"/>
  <drawing r:id="rId2"/>
  <legacyDrawing r:id="rId3"/>
  <oleObjects>
    <mc:AlternateContent xmlns:mc="http://schemas.openxmlformats.org/markup-compatibility/2006">
      <mc:Choice Requires="x14">
        <oleObject progId="Visio.Drawing.11" shapeId="1037" r:id="rId4">
          <objectPr defaultSize="0" autoPict="0" r:id="rId5">
            <anchor moveWithCells="1">
              <from>
                <xdr:col>9</xdr:col>
                <xdr:colOff>12700</xdr:colOff>
                <xdr:row>13</xdr:row>
                <xdr:rowOff>12700</xdr:rowOff>
              </from>
              <to>
                <xdr:col>15</xdr:col>
                <xdr:colOff>241300</xdr:colOff>
                <xdr:row>32</xdr:row>
                <xdr:rowOff>266700</xdr:rowOff>
              </to>
            </anchor>
          </objectPr>
        </oleObject>
      </mc:Choice>
      <mc:Fallback>
        <oleObject progId="Visio.Drawing.11" shapeId="1037" r:id="rId4"/>
      </mc:Fallback>
    </mc:AlternateContent>
  </oleObjects>
  <extLst>
    <ext xmlns:x14="http://schemas.microsoft.com/office/spreadsheetml/2009/9/main" uri="{CCE6A557-97BC-4b89-ADB6-D9C93CAAB3DF}">
      <x14:dataValidations xmlns:xm="http://schemas.microsoft.com/office/excel/2006/main" disablePrompts="1" count="3">
        <x14:dataValidation type="decimal" operator="lessThanOrEqual" allowBlank="1" showErrorMessage="1" error="Minimum Input Voltage" promptTitle="Minimum Input Voltage" prompt="Minimum Input Voltage">
          <x14:formula1>
            <xm:f>VLOOKUP(D4,[1]partData!#REF!,2,FALSE)</xm:f>
          </x14:formula1>
          <xm:sqref>D5:F5</xm:sqref>
        </x14:dataValidation>
        <x14:dataValidation type="list" allowBlank="1" showInputMessage="1" showErrorMessage="1">
          <x14:formula1>
            <xm:f>partData!$A$3:$A$17</xm:f>
          </x14:formula1>
          <xm:sqref>C4</xm:sqref>
        </x14:dataValidation>
        <x14:dataValidation type="list" allowBlank="1" showInputMessage="1" showErrorMessage="1">
          <x14:formula1>
            <xm:f>'Small Signal'!$B$35:$B$36</xm:f>
          </x14:formula1>
          <xm:sqref>K136:K137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I68"/>
  <sheetViews>
    <sheetView workbookViewId="0"/>
  </sheetViews>
  <sheetFormatPr defaultColWidth="9.1796875" defaultRowHeight="13" x14ac:dyDescent="0.3"/>
  <cols>
    <col min="1" max="1" width="15.26953125" style="129" customWidth="1"/>
    <col min="2" max="2" width="15.26953125" style="129" bestFit="1" customWidth="1"/>
    <col min="3" max="3" width="20.26953125" style="129" customWidth="1"/>
    <col min="4" max="4" width="50" style="129" customWidth="1"/>
    <col min="5" max="5" width="38.81640625" style="129" customWidth="1"/>
    <col min="6" max="6" width="24.453125" style="129" customWidth="1"/>
    <col min="7" max="7" width="16.54296875" style="129" customWidth="1"/>
    <col min="8" max="8" width="10.1796875" style="111" customWidth="1"/>
    <col min="9" max="9" width="27.7265625" style="120" bestFit="1" customWidth="1"/>
    <col min="10" max="16384" width="9.1796875" style="112"/>
  </cols>
  <sheetData>
    <row r="1" spans="1:9" ht="45.75" thickBot="1" x14ac:dyDescent="0.25">
      <c r="A1" s="108" t="s">
        <v>5</v>
      </c>
      <c r="B1" s="108" t="s">
        <v>0</v>
      </c>
      <c r="C1" s="108" t="s">
        <v>6</v>
      </c>
      <c r="D1" s="108" t="s">
        <v>10</v>
      </c>
      <c r="E1" s="108" t="s">
        <v>64</v>
      </c>
      <c r="F1" s="109" t="s">
        <v>332</v>
      </c>
      <c r="G1" s="109" t="s">
        <v>333</v>
      </c>
      <c r="H1" s="110" t="s">
        <v>170</v>
      </c>
      <c r="I1" s="111" t="s">
        <v>11</v>
      </c>
    </row>
    <row r="2" spans="1:9" ht="13.9" customHeight="1" x14ac:dyDescent="0.2">
      <c r="A2" s="466" t="s">
        <v>70</v>
      </c>
      <c r="B2" s="467"/>
      <c r="C2" s="467"/>
      <c r="D2" s="467"/>
      <c r="E2" s="467"/>
      <c r="F2" s="467"/>
      <c r="G2" s="467"/>
      <c r="H2" s="468"/>
      <c r="I2" s="111"/>
    </row>
    <row r="3" spans="1:9" s="115" customFormat="1" ht="72.5" x14ac:dyDescent="0.3">
      <c r="A3" s="113">
        <v>33</v>
      </c>
      <c r="B3" s="113" t="s">
        <v>35</v>
      </c>
      <c r="C3" s="114" t="s">
        <v>48</v>
      </c>
      <c r="D3" s="114" t="s">
        <v>83</v>
      </c>
      <c r="E3" s="114" t="s">
        <v>139</v>
      </c>
      <c r="F3" s="114"/>
      <c r="G3" s="114"/>
      <c r="H3" s="86" t="s">
        <v>9</v>
      </c>
      <c r="I3" s="87"/>
    </row>
    <row r="4" spans="1:9" s="115" customFormat="1" ht="45" x14ac:dyDescent="0.2">
      <c r="A4" s="116">
        <v>34</v>
      </c>
      <c r="B4" s="116" t="s">
        <v>36</v>
      </c>
      <c r="C4" s="117" t="s">
        <v>78</v>
      </c>
      <c r="D4" s="114" t="s">
        <v>82</v>
      </c>
      <c r="E4" s="114" t="s">
        <v>81</v>
      </c>
      <c r="F4" s="118" t="e">
        <f>CONCATENATE(partData!#REF!, partData!#REF!)</f>
        <v>#REF!</v>
      </c>
      <c r="G4" s="118" t="e">
        <f>DeviceCalculator!#REF!</f>
        <v>#REF!</v>
      </c>
      <c r="H4" s="88" t="s">
        <v>9</v>
      </c>
      <c r="I4" s="87"/>
    </row>
    <row r="5" spans="1:9" s="115" customFormat="1" ht="90" x14ac:dyDescent="0.2">
      <c r="A5" s="113">
        <v>35</v>
      </c>
      <c r="B5" s="113" t="s">
        <v>34</v>
      </c>
      <c r="C5" s="114" t="s">
        <v>47</v>
      </c>
      <c r="D5" s="119" t="s">
        <v>334</v>
      </c>
      <c r="E5" s="119"/>
      <c r="F5" s="119"/>
      <c r="G5" s="119"/>
      <c r="H5" s="88" t="s">
        <v>9</v>
      </c>
      <c r="I5" s="89"/>
    </row>
    <row r="6" spans="1:9" s="115" customFormat="1" ht="90" x14ac:dyDescent="0.2">
      <c r="A6" s="113">
        <v>35</v>
      </c>
      <c r="B6" s="113" t="s">
        <v>34</v>
      </c>
      <c r="C6" s="114" t="s">
        <v>47</v>
      </c>
      <c r="D6" s="119" t="s">
        <v>140</v>
      </c>
      <c r="E6" s="119"/>
      <c r="F6" s="119"/>
      <c r="G6" s="119"/>
      <c r="H6" s="88" t="s">
        <v>9</v>
      </c>
      <c r="I6" s="89"/>
    </row>
    <row r="7" spans="1:9" s="115" customFormat="1" ht="130.5" x14ac:dyDescent="0.35">
      <c r="A7" s="113">
        <v>32</v>
      </c>
      <c r="B7" s="113" t="s">
        <v>42</v>
      </c>
      <c r="C7" s="114" t="s">
        <v>52</v>
      </c>
      <c r="D7" s="119" t="s">
        <v>96</v>
      </c>
      <c r="E7" s="119" t="s">
        <v>138</v>
      </c>
      <c r="F7" s="119"/>
      <c r="G7" s="119"/>
      <c r="H7" s="88" t="s">
        <v>9</v>
      </c>
      <c r="I7" s="90"/>
    </row>
    <row r="8" spans="1:9" s="115" customFormat="1" ht="116" x14ac:dyDescent="0.35">
      <c r="A8" s="113">
        <v>31</v>
      </c>
      <c r="B8" s="113" t="s">
        <v>43</v>
      </c>
      <c r="C8" s="114" t="s">
        <v>53</v>
      </c>
      <c r="D8" s="119" t="s">
        <v>133</v>
      </c>
      <c r="E8" s="119"/>
      <c r="F8" s="119"/>
      <c r="G8" s="119"/>
      <c r="H8" s="88" t="s">
        <v>9</v>
      </c>
      <c r="I8" s="90"/>
    </row>
    <row r="9" spans="1:9" s="115" customFormat="1" ht="87" x14ac:dyDescent="0.35">
      <c r="A9" s="113" t="s">
        <v>121</v>
      </c>
      <c r="B9" s="114" t="s">
        <v>131</v>
      </c>
      <c r="C9" s="114"/>
      <c r="D9" s="114" t="s">
        <v>134</v>
      </c>
      <c r="E9" s="119" t="s">
        <v>135</v>
      </c>
      <c r="F9" s="119"/>
      <c r="G9" s="119"/>
      <c r="H9" s="88" t="s">
        <v>9</v>
      </c>
      <c r="I9" s="90"/>
    </row>
    <row r="10" spans="1:9" ht="145" x14ac:dyDescent="0.3">
      <c r="A10" s="113" t="s">
        <v>121</v>
      </c>
      <c r="B10" s="114" t="s">
        <v>131</v>
      </c>
      <c r="C10" s="114"/>
      <c r="D10" s="119" t="s">
        <v>136</v>
      </c>
      <c r="E10" s="119" t="s">
        <v>137</v>
      </c>
      <c r="F10" s="119"/>
      <c r="G10" s="119"/>
      <c r="H10" s="88" t="s">
        <v>9</v>
      </c>
      <c r="I10" s="89"/>
    </row>
    <row r="11" spans="1:9" ht="14.5" x14ac:dyDescent="0.3">
      <c r="A11" s="121"/>
      <c r="B11" s="121"/>
      <c r="C11" s="122"/>
      <c r="D11" s="123"/>
      <c r="E11" s="123"/>
      <c r="F11" s="123"/>
      <c r="G11" s="123"/>
      <c r="H11" s="124"/>
    </row>
    <row r="12" spans="1:9" ht="14.5" x14ac:dyDescent="0.3">
      <c r="A12" s="121"/>
      <c r="B12" s="121"/>
      <c r="C12" s="122"/>
      <c r="D12" s="123"/>
      <c r="E12" s="123"/>
      <c r="F12" s="123"/>
      <c r="G12" s="123"/>
      <c r="H12" s="124"/>
    </row>
    <row r="13" spans="1:9" s="115" customFormat="1" ht="14.5" x14ac:dyDescent="0.3">
      <c r="A13" s="465" t="s">
        <v>71</v>
      </c>
      <c r="B13" s="465"/>
      <c r="C13" s="465"/>
      <c r="D13" s="465"/>
      <c r="E13" s="465"/>
      <c r="F13" s="465"/>
      <c r="G13" s="465"/>
      <c r="H13" s="465"/>
      <c r="I13" s="120"/>
    </row>
    <row r="14" spans="1:9" s="115" customFormat="1" ht="43.5" x14ac:dyDescent="0.3">
      <c r="A14" s="113">
        <v>39</v>
      </c>
      <c r="B14" s="113" t="s">
        <v>37</v>
      </c>
      <c r="C14" s="114" t="s">
        <v>49</v>
      </c>
      <c r="D14" s="114" t="s">
        <v>80</v>
      </c>
      <c r="E14" s="119"/>
      <c r="F14" s="119"/>
      <c r="G14" s="119"/>
      <c r="H14" s="91" t="s">
        <v>9</v>
      </c>
      <c r="I14" s="89"/>
    </row>
    <row r="15" spans="1:9" ht="43.5" x14ac:dyDescent="0.35">
      <c r="A15" s="113">
        <v>37</v>
      </c>
      <c r="B15" s="113" t="s">
        <v>41</v>
      </c>
      <c r="C15" s="114" t="s">
        <v>187</v>
      </c>
      <c r="D15" s="114" t="s">
        <v>141</v>
      </c>
      <c r="E15" s="114"/>
      <c r="F15" s="114"/>
      <c r="G15" s="114"/>
      <c r="H15" s="91" t="s">
        <v>9</v>
      </c>
      <c r="I15" s="90"/>
    </row>
    <row r="16" spans="1:9" ht="43.5" x14ac:dyDescent="0.35">
      <c r="A16" s="113">
        <v>37</v>
      </c>
      <c r="B16" s="113" t="s">
        <v>41</v>
      </c>
      <c r="C16" s="114" t="s">
        <v>187</v>
      </c>
      <c r="D16" s="114" t="s">
        <v>142</v>
      </c>
      <c r="E16" s="114"/>
      <c r="F16" s="114"/>
      <c r="G16" s="114"/>
      <c r="H16" s="91" t="s">
        <v>9</v>
      </c>
      <c r="I16" s="90"/>
    </row>
    <row r="17" spans="1:9" s="115" customFormat="1" ht="223.5" customHeight="1" x14ac:dyDescent="0.3">
      <c r="A17" s="113">
        <v>40</v>
      </c>
      <c r="B17" s="113" t="s">
        <v>39</v>
      </c>
      <c r="C17" s="114" t="s">
        <v>51</v>
      </c>
      <c r="D17" s="119" t="s">
        <v>88</v>
      </c>
      <c r="E17" s="119"/>
      <c r="F17" s="119"/>
      <c r="G17" s="119"/>
      <c r="H17" s="91" t="s">
        <v>9</v>
      </c>
      <c r="I17" s="89"/>
    </row>
    <row r="18" spans="1:9" ht="29" x14ac:dyDescent="0.3">
      <c r="A18" s="113">
        <v>36</v>
      </c>
      <c r="B18" s="113" t="s">
        <v>38</v>
      </c>
      <c r="C18" s="114" t="s">
        <v>50</v>
      </c>
      <c r="D18" s="114" t="s">
        <v>65</v>
      </c>
      <c r="E18" s="119"/>
      <c r="F18" s="119"/>
      <c r="G18" s="119"/>
      <c r="H18" s="91" t="s">
        <v>9</v>
      </c>
      <c r="I18" s="89"/>
    </row>
    <row r="19" spans="1:9" s="115" customFormat="1" ht="14.5" x14ac:dyDescent="0.3">
      <c r="A19" s="121"/>
      <c r="B19" s="121"/>
      <c r="C19" s="122"/>
      <c r="D19" s="122"/>
      <c r="E19" s="122"/>
      <c r="F19" s="122"/>
      <c r="G19" s="122"/>
      <c r="H19" s="125"/>
      <c r="I19" s="120"/>
    </row>
    <row r="20" spans="1:9" s="115" customFormat="1" ht="14.5" x14ac:dyDescent="0.3">
      <c r="A20" s="121"/>
      <c r="B20" s="121"/>
      <c r="C20" s="122"/>
      <c r="D20" s="122"/>
      <c r="E20" s="122"/>
      <c r="F20" s="122"/>
      <c r="G20" s="122"/>
      <c r="H20" s="125"/>
      <c r="I20" s="120"/>
    </row>
    <row r="21" spans="1:9" s="115" customFormat="1" ht="14.5" x14ac:dyDescent="0.3">
      <c r="A21" s="465" t="s">
        <v>12</v>
      </c>
      <c r="B21" s="465"/>
      <c r="C21" s="465"/>
      <c r="D21" s="465"/>
      <c r="E21" s="465"/>
      <c r="F21" s="465"/>
      <c r="G21" s="465"/>
      <c r="H21" s="465"/>
      <c r="I21" s="120"/>
    </row>
    <row r="22" spans="1:9" s="115" customFormat="1" ht="43.5" x14ac:dyDescent="0.3">
      <c r="A22" s="114" t="s">
        <v>94</v>
      </c>
      <c r="B22" s="114" t="s">
        <v>15</v>
      </c>
      <c r="C22" s="114" t="s">
        <v>25</v>
      </c>
      <c r="D22" s="114" t="s">
        <v>95</v>
      </c>
      <c r="E22" s="119"/>
      <c r="F22" s="119"/>
      <c r="G22" s="119"/>
      <c r="H22" s="91" t="s">
        <v>9</v>
      </c>
      <c r="I22" s="89"/>
    </row>
    <row r="23" spans="1:9" s="115" customFormat="1" ht="43.5" x14ac:dyDescent="0.3">
      <c r="A23" s="114" t="s">
        <v>108</v>
      </c>
      <c r="B23" s="114" t="s">
        <v>188</v>
      </c>
      <c r="C23" s="119" t="s">
        <v>27</v>
      </c>
      <c r="D23" s="119" t="s">
        <v>102</v>
      </c>
      <c r="E23" s="119" t="s">
        <v>100</v>
      </c>
      <c r="F23" s="119"/>
      <c r="G23" s="119"/>
      <c r="H23" s="91" t="s">
        <v>9</v>
      </c>
      <c r="I23" s="89"/>
    </row>
    <row r="24" spans="1:9" s="115" customFormat="1" ht="43.5" x14ac:dyDescent="0.3">
      <c r="A24" s="114" t="s">
        <v>108</v>
      </c>
      <c r="B24" s="114" t="s">
        <v>188</v>
      </c>
      <c r="C24" s="119" t="s">
        <v>27</v>
      </c>
      <c r="D24" s="119" t="s">
        <v>98</v>
      </c>
      <c r="E24" s="119"/>
      <c r="F24" s="119"/>
      <c r="G24" s="119"/>
      <c r="H24" s="91" t="s">
        <v>9</v>
      </c>
      <c r="I24" s="89"/>
    </row>
    <row r="25" spans="1:9" s="115" customFormat="1" ht="343.5" customHeight="1" x14ac:dyDescent="0.3">
      <c r="A25" s="114" t="s">
        <v>108</v>
      </c>
      <c r="B25" s="114" t="s">
        <v>188</v>
      </c>
      <c r="C25" s="119" t="s">
        <v>27</v>
      </c>
      <c r="D25" s="119" t="s">
        <v>99</v>
      </c>
      <c r="E25" s="119" t="s">
        <v>101</v>
      </c>
      <c r="F25" s="119"/>
      <c r="G25" s="119"/>
      <c r="H25" s="91" t="s">
        <v>9</v>
      </c>
      <c r="I25" s="89"/>
    </row>
    <row r="26" spans="1:9" ht="43.5" x14ac:dyDescent="0.3">
      <c r="A26" s="114">
        <v>7</v>
      </c>
      <c r="B26" s="114" t="s">
        <v>20</v>
      </c>
      <c r="C26" s="119" t="s">
        <v>21</v>
      </c>
      <c r="D26" s="119" t="s">
        <v>144</v>
      </c>
      <c r="E26" s="119"/>
      <c r="F26" s="119"/>
      <c r="G26" s="119"/>
      <c r="H26" s="81" t="s">
        <v>9</v>
      </c>
      <c r="I26" s="89"/>
    </row>
    <row r="27" spans="1:9" ht="43.5" x14ac:dyDescent="0.3">
      <c r="A27" s="114">
        <v>7</v>
      </c>
      <c r="B27" s="114" t="s">
        <v>20</v>
      </c>
      <c r="C27" s="119" t="s">
        <v>21</v>
      </c>
      <c r="D27" s="119" t="s">
        <v>143</v>
      </c>
      <c r="E27" s="119"/>
      <c r="F27" s="119"/>
      <c r="G27" s="119"/>
      <c r="H27" s="81" t="s">
        <v>9</v>
      </c>
      <c r="I27" s="89"/>
    </row>
    <row r="28" spans="1:9" ht="29" x14ac:dyDescent="0.3">
      <c r="A28" s="126" t="s">
        <v>103</v>
      </c>
      <c r="B28" s="114" t="s">
        <v>145</v>
      </c>
      <c r="C28" s="119"/>
      <c r="D28" s="119" t="s">
        <v>149</v>
      </c>
      <c r="E28" s="119"/>
      <c r="F28" s="119"/>
      <c r="G28" s="119"/>
      <c r="H28" s="81" t="s">
        <v>9</v>
      </c>
      <c r="I28" s="89"/>
    </row>
    <row r="29" spans="1:9" ht="29" x14ac:dyDescent="0.3">
      <c r="A29" s="126" t="s">
        <v>103</v>
      </c>
      <c r="B29" s="114" t="s">
        <v>146</v>
      </c>
      <c r="C29" s="119"/>
      <c r="D29" s="119" t="s">
        <v>150</v>
      </c>
      <c r="E29" s="119"/>
      <c r="F29" s="119"/>
      <c r="G29" s="119"/>
      <c r="H29" s="81" t="s">
        <v>9</v>
      </c>
      <c r="I29" s="89"/>
    </row>
    <row r="30" spans="1:9" ht="87" x14ac:dyDescent="0.3">
      <c r="A30" s="126" t="s">
        <v>103</v>
      </c>
      <c r="B30" s="114" t="s">
        <v>146</v>
      </c>
      <c r="C30" s="119"/>
      <c r="D30" s="119" t="s">
        <v>151</v>
      </c>
      <c r="E30" s="119" t="s">
        <v>152</v>
      </c>
      <c r="F30" s="119"/>
      <c r="G30" s="119"/>
      <c r="H30" s="81" t="s">
        <v>9</v>
      </c>
      <c r="I30" s="89"/>
    </row>
    <row r="31" spans="1:9" ht="29" x14ac:dyDescent="0.3">
      <c r="A31" s="126" t="s">
        <v>103</v>
      </c>
      <c r="B31" s="114" t="s">
        <v>147</v>
      </c>
      <c r="C31" s="119"/>
      <c r="D31" s="119" t="s">
        <v>153</v>
      </c>
      <c r="E31" s="119"/>
      <c r="F31" s="119"/>
      <c r="G31" s="119"/>
      <c r="H31" s="81" t="s">
        <v>9</v>
      </c>
      <c r="I31" s="89"/>
    </row>
    <row r="32" spans="1:9" ht="72.5" x14ac:dyDescent="0.3">
      <c r="A32" s="126" t="s">
        <v>103</v>
      </c>
      <c r="B32" s="114" t="s">
        <v>148</v>
      </c>
      <c r="C32" s="119"/>
      <c r="D32" s="119" t="s">
        <v>154</v>
      </c>
      <c r="E32" s="119"/>
      <c r="F32" s="119"/>
      <c r="G32" s="119"/>
      <c r="H32" s="81" t="s">
        <v>9</v>
      </c>
      <c r="I32" s="89"/>
    </row>
    <row r="33" spans="1:9" ht="12.75" customHeight="1" x14ac:dyDescent="0.3">
      <c r="A33" s="121"/>
      <c r="B33" s="121"/>
      <c r="C33" s="122"/>
      <c r="D33" s="122"/>
      <c r="E33" s="122"/>
      <c r="F33" s="122"/>
      <c r="G33" s="122"/>
      <c r="H33" s="125"/>
      <c r="I33" s="111"/>
    </row>
    <row r="34" spans="1:9" ht="14.5" x14ac:dyDescent="0.3">
      <c r="A34" s="121"/>
      <c r="B34" s="121"/>
      <c r="C34" s="122"/>
      <c r="D34" s="122"/>
      <c r="E34" s="122"/>
      <c r="F34" s="122"/>
      <c r="G34" s="122"/>
      <c r="H34" s="125"/>
      <c r="I34" s="111"/>
    </row>
    <row r="35" spans="1:9" ht="14.5" x14ac:dyDescent="0.3">
      <c r="A35" s="465" t="s">
        <v>72</v>
      </c>
      <c r="B35" s="465"/>
      <c r="C35" s="465"/>
      <c r="D35" s="465"/>
      <c r="E35" s="465"/>
      <c r="F35" s="465"/>
      <c r="G35" s="465"/>
      <c r="H35" s="465"/>
      <c r="I35" s="111"/>
    </row>
    <row r="36" spans="1:9" ht="43.5" x14ac:dyDescent="0.3">
      <c r="A36" s="114">
        <v>27</v>
      </c>
      <c r="B36" s="114" t="s">
        <v>18</v>
      </c>
      <c r="C36" s="119" t="s">
        <v>22</v>
      </c>
      <c r="D36" s="119" t="s">
        <v>66</v>
      </c>
      <c r="E36" s="119" t="s">
        <v>155</v>
      </c>
      <c r="F36" s="119"/>
      <c r="G36" s="119"/>
      <c r="H36" s="91" t="s">
        <v>9</v>
      </c>
      <c r="I36" s="87"/>
    </row>
    <row r="37" spans="1:9" ht="116" x14ac:dyDescent="0.3">
      <c r="A37" s="114">
        <v>28</v>
      </c>
      <c r="B37" s="114" t="s">
        <v>17</v>
      </c>
      <c r="C37" s="119" t="s">
        <v>23</v>
      </c>
      <c r="D37" s="119" t="s">
        <v>84</v>
      </c>
      <c r="E37" s="119" t="s">
        <v>156</v>
      </c>
      <c r="F37" s="119"/>
      <c r="G37" s="119"/>
      <c r="H37" s="91" t="s">
        <v>9</v>
      </c>
      <c r="I37" s="87"/>
    </row>
    <row r="38" spans="1:9" ht="43.5" x14ac:dyDescent="0.3">
      <c r="A38" s="126">
        <v>30</v>
      </c>
      <c r="B38" s="113" t="s">
        <v>32</v>
      </c>
      <c r="C38" s="119" t="s">
        <v>46</v>
      </c>
      <c r="D38" s="119" t="s">
        <v>87</v>
      </c>
      <c r="E38" s="119"/>
      <c r="F38" s="119"/>
      <c r="G38" s="119"/>
      <c r="H38" s="91" t="s">
        <v>9</v>
      </c>
      <c r="I38" s="87"/>
    </row>
    <row r="39" spans="1:9" ht="58" x14ac:dyDescent="0.3">
      <c r="A39" s="126">
        <v>30</v>
      </c>
      <c r="B39" s="113" t="s">
        <v>32</v>
      </c>
      <c r="C39" s="119" t="s">
        <v>46</v>
      </c>
      <c r="D39" s="119" t="s">
        <v>85</v>
      </c>
      <c r="E39" s="119" t="s">
        <v>86</v>
      </c>
      <c r="F39" s="119"/>
      <c r="G39" s="119"/>
      <c r="H39" s="91" t="s">
        <v>9</v>
      </c>
      <c r="I39" s="87"/>
    </row>
    <row r="40" spans="1:9" ht="87" x14ac:dyDescent="0.3">
      <c r="A40" s="126">
        <v>13</v>
      </c>
      <c r="B40" s="113" t="s">
        <v>19</v>
      </c>
      <c r="C40" s="119" t="s">
        <v>45</v>
      </c>
      <c r="D40" s="119" t="s">
        <v>107</v>
      </c>
      <c r="E40" s="114"/>
      <c r="F40" s="114"/>
      <c r="G40" s="114"/>
      <c r="H40" s="91" t="s">
        <v>9</v>
      </c>
      <c r="I40" s="87"/>
    </row>
    <row r="41" spans="1:9" ht="29" x14ac:dyDescent="0.35">
      <c r="A41" s="126">
        <v>38</v>
      </c>
      <c r="B41" s="113" t="s">
        <v>4</v>
      </c>
      <c r="C41" s="127" t="s">
        <v>127</v>
      </c>
      <c r="D41" s="114" t="s">
        <v>157</v>
      </c>
      <c r="E41" s="114"/>
      <c r="F41" s="114"/>
      <c r="G41" s="114"/>
      <c r="H41" s="91" t="s">
        <v>9</v>
      </c>
      <c r="I41" s="87"/>
    </row>
    <row r="42" spans="1:9" ht="29" x14ac:dyDescent="0.35">
      <c r="A42" s="126">
        <v>38</v>
      </c>
      <c r="B42" s="113" t="s">
        <v>4</v>
      </c>
      <c r="C42" s="127" t="s">
        <v>127</v>
      </c>
      <c r="D42" s="114" t="s">
        <v>158</v>
      </c>
      <c r="E42" s="114"/>
      <c r="F42" s="114"/>
      <c r="G42" s="114"/>
      <c r="H42" s="91" t="s">
        <v>9</v>
      </c>
      <c r="I42" s="87"/>
    </row>
    <row r="43" spans="1:9" ht="29" x14ac:dyDescent="0.35">
      <c r="A43" s="126">
        <v>38</v>
      </c>
      <c r="B43" s="113" t="s">
        <v>4</v>
      </c>
      <c r="C43" s="127" t="s">
        <v>127</v>
      </c>
      <c r="D43" s="114" t="s">
        <v>159</v>
      </c>
      <c r="E43" s="114" t="s">
        <v>160</v>
      </c>
      <c r="F43" s="114"/>
      <c r="G43" s="114"/>
      <c r="H43" s="91" t="s">
        <v>9</v>
      </c>
      <c r="I43" s="87"/>
    </row>
    <row r="44" spans="1:9" ht="29" x14ac:dyDescent="0.3">
      <c r="A44" s="114" t="s">
        <v>97</v>
      </c>
      <c r="B44" s="114" t="s">
        <v>16</v>
      </c>
      <c r="C44" s="119" t="s">
        <v>24</v>
      </c>
      <c r="D44" s="119" t="s">
        <v>67</v>
      </c>
      <c r="E44" s="119" t="s">
        <v>68</v>
      </c>
      <c r="F44" s="119"/>
      <c r="G44" s="119"/>
      <c r="H44" s="91" t="s">
        <v>9</v>
      </c>
      <c r="I44" s="87"/>
    </row>
    <row r="45" spans="1:9" ht="58" x14ac:dyDescent="0.3">
      <c r="A45" s="114">
        <v>29</v>
      </c>
      <c r="B45" s="114" t="s">
        <v>14</v>
      </c>
      <c r="C45" s="119" t="s">
        <v>26</v>
      </c>
      <c r="D45" s="119" t="s">
        <v>105</v>
      </c>
      <c r="E45" s="114"/>
      <c r="F45" s="114"/>
      <c r="G45" s="114"/>
      <c r="H45" s="91" t="s">
        <v>9</v>
      </c>
      <c r="I45" s="87"/>
    </row>
    <row r="46" spans="1:9" ht="43.5" x14ac:dyDescent="0.3">
      <c r="A46" s="114">
        <v>29</v>
      </c>
      <c r="B46" s="114" t="s">
        <v>14</v>
      </c>
      <c r="C46" s="119" t="s">
        <v>26</v>
      </c>
      <c r="D46" s="119" t="s">
        <v>106</v>
      </c>
      <c r="E46" s="114"/>
      <c r="F46" s="114"/>
      <c r="G46" s="114"/>
      <c r="H46" s="91" t="s">
        <v>9</v>
      </c>
      <c r="I46" s="87"/>
    </row>
    <row r="47" spans="1:9" ht="14.5" x14ac:dyDescent="0.3">
      <c r="A47" s="122"/>
      <c r="B47" s="122"/>
      <c r="C47" s="122"/>
      <c r="D47" s="122"/>
      <c r="E47" s="122"/>
      <c r="F47" s="122"/>
      <c r="G47" s="122"/>
      <c r="H47" s="122"/>
      <c r="I47" s="111"/>
    </row>
    <row r="48" spans="1:9" ht="14.5" x14ac:dyDescent="0.3">
      <c r="A48" s="122"/>
      <c r="B48" s="122"/>
      <c r="C48" s="122"/>
      <c r="D48" s="122"/>
      <c r="E48" s="122"/>
      <c r="F48" s="122"/>
      <c r="G48" s="122"/>
      <c r="H48" s="122"/>
      <c r="I48" s="111"/>
    </row>
    <row r="49" spans="1:9" ht="14.5" x14ac:dyDescent="0.3">
      <c r="A49" s="465" t="s">
        <v>73</v>
      </c>
      <c r="B49" s="465"/>
      <c r="C49" s="465"/>
      <c r="D49" s="465"/>
      <c r="E49" s="465"/>
      <c r="F49" s="465"/>
      <c r="G49" s="465"/>
      <c r="H49" s="465"/>
      <c r="I49" s="111"/>
    </row>
    <row r="50" spans="1:9" ht="29" x14ac:dyDescent="0.3">
      <c r="A50" s="113">
        <v>5</v>
      </c>
      <c r="B50" s="113" t="s">
        <v>2</v>
      </c>
      <c r="C50" s="114" t="s">
        <v>54</v>
      </c>
      <c r="D50" s="114" t="s">
        <v>69</v>
      </c>
      <c r="E50" s="114"/>
      <c r="F50" s="114"/>
      <c r="G50" s="114"/>
      <c r="H50" s="91" t="s">
        <v>9</v>
      </c>
      <c r="I50" s="87"/>
    </row>
    <row r="51" spans="1:9" ht="87" x14ac:dyDescent="0.3">
      <c r="A51" s="113">
        <v>1</v>
      </c>
      <c r="B51" s="113" t="s">
        <v>33</v>
      </c>
      <c r="C51" s="114" t="s">
        <v>55</v>
      </c>
      <c r="D51" s="114" t="s">
        <v>181</v>
      </c>
      <c r="E51" s="114"/>
      <c r="F51" s="114"/>
      <c r="G51" s="114"/>
      <c r="H51" s="81" t="s">
        <v>9</v>
      </c>
      <c r="I51" s="87"/>
    </row>
    <row r="52" spans="1:9" ht="29" x14ac:dyDescent="0.3">
      <c r="A52" s="113">
        <v>4</v>
      </c>
      <c r="B52" s="113" t="s">
        <v>3</v>
      </c>
      <c r="C52" s="114" t="s">
        <v>56</v>
      </c>
      <c r="D52" s="114" t="s">
        <v>69</v>
      </c>
      <c r="E52" s="114"/>
      <c r="F52" s="114"/>
      <c r="G52" s="114"/>
      <c r="H52" s="81" t="s">
        <v>9</v>
      </c>
      <c r="I52" s="89"/>
    </row>
    <row r="53" spans="1:9" ht="29" x14ac:dyDescent="0.3">
      <c r="A53" s="113">
        <v>6</v>
      </c>
      <c r="B53" s="113" t="s">
        <v>40</v>
      </c>
      <c r="C53" s="114" t="s">
        <v>57</v>
      </c>
      <c r="D53" s="114" t="s">
        <v>69</v>
      </c>
      <c r="E53" s="114"/>
      <c r="F53" s="114"/>
      <c r="G53" s="114"/>
      <c r="H53" s="81" t="s">
        <v>9</v>
      </c>
      <c r="I53" s="87"/>
    </row>
    <row r="54" spans="1:9" ht="160.5" customHeight="1" x14ac:dyDescent="0.3">
      <c r="A54" s="119" t="s">
        <v>90</v>
      </c>
      <c r="B54" s="113" t="s">
        <v>89</v>
      </c>
      <c r="C54" s="119" t="s">
        <v>93</v>
      </c>
      <c r="D54" s="119" t="s">
        <v>92</v>
      </c>
      <c r="E54" s="119" t="s">
        <v>161</v>
      </c>
      <c r="F54" s="119"/>
      <c r="G54" s="119"/>
      <c r="H54" s="91" t="s">
        <v>9</v>
      </c>
      <c r="I54" s="87"/>
    </row>
    <row r="55" spans="1:9" ht="174" x14ac:dyDescent="0.3">
      <c r="A55" s="119" t="s">
        <v>90</v>
      </c>
      <c r="B55" s="113" t="s">
        <v>89</v>
      </c>
      <c r="C55" s="119" t="s">
        <v>93</v>
      </c>
      <c r="D55" s="119" t="s">
        <v>190</v>
      </c>
      <c r="E55" s="119"/>
      <c r="F55" s="119"/>
      <c r="G55" s="119"/>
      <c r="H55" s="91" t="s">
        <v>9</v>
      </c>
      <c r="I55" s="87"/>
    </row>
    <row r="56" spans="1:9" ht="29" x14ac:dyDescent="0.3">
      <c r="A56" s="119" t="s">
        <v>90</v>
      </c>
      <c r="B56" s="113" t="s">
        <v>89</v>
      </c>
      <c r="C56" s="119" t="s">
        <v>93</v>
      </c>
      <c r="D56" s="119" t="s">
        <v>91</v>
      </c>
      <c r="E56" s="119"/>
      <c r="F56" s="119"/>
      <c r="G56" s="119"/>
      <c r="H56" s="91" t="s">
        <v>9</v>
      </c>
      <c r="I56" s="87"/>
    </row>
    <row r="57" spans="1:9" ht="14.5" x14ac:dyDescent="0.3">
      <c r="A57" s="128"/>
      <c r="B57" s="128"/>
      <c r="C57" s="128"/>
      <c r="D57" s="128"/>
      <c r="E57" s="128"/>
      <c r="F57" s="128"/>
      <c r="G57" s="128"/>
      <c r="H57" s="124"/>
      <c r="I57" s="111"/>
    </row>
    <row r="58" spans="1:9" ht="14.5" x14ac:dyDescent="0.3">
      <c r="A58" s="128"/>
      <c r="B58" s="128"/>
      <c r="C58" s="128"/>
      <c r="D58" s="128"/>
      <c r="E58" s="128"/>
      <c r="F58" s="128"/>
      <c r="G58" s="128"/>
      <c r="H58" s="124"/>
      <c r="I58" s="111"/>
    </row>
    <row r="59" spans="1:9" ht="14.5" x14ac:dyDescent="0.3">
      <c r="A59" s="465" t="s">
        <v>74</v>
      </c>
      <c r="B59" s="465"/>
      <c r="C59" s="465"/>
      <c r="D59" s="465"/>
      <c r="E59" s="465"/>
      <c r="F59" s="465"/>
      <c r="G59" s="465"/>
      <c r="H59" s="465"/>
      <c r="I59" s="111"/>
    </row>
    <row r="60" spans="1:9" ht="58" x14ac:dyDescent="0.3">
      <c r="A60" s="126"/>
      <c r="B60" s="126" t="s">
        <v>75</v>
      </c>
      <c r="C60" s="126"/>
      <c r="D60" s="119" t="s">
        <v>104</v>
      </c>
      <c r="E60" s="126"/>
      <c r="F60" s="126"/>
      <c r="G60" s="126"/>
      <c r="H60" s="91" t="s">
        <v>9</v>
      </c>
      <c r="I60" s="87"/>
    </row>
    <row r="61" spans="1:9" ht="43.5" x14ac:dyDescent="0.3">
      <c r="A61" s="126"/>
      <c r="B61" s="119" t="s">
        <v>76</v>
      </c>
      <c r="C61" s="126"/>
      <c r="D61" s="119" t="s">
        <v>77</v>
      </c>
      <c r="E61" s="126"/>
      <c r="F61" s="126"/>
      <c r="G61" s="126"/>
      <c r="H61" s="81" t="s">
        <v>9</v>
      </c>
      <c r="I61" s="87"/>
    </row>
    <row r="62" spans="1:9" x14ac:dyDescent="0.3">
      <c r="I62" s="111"/>
    </row>
    <row r="63" spans="1:9" x14ac:dyDescent="0.3">
      <c r="I63" s="111"/>
    </row>
    <row r="64" spans="1:9" x14ac:dyDescent="0.3">
      <c r="I64" s="111"/>
    </row>
    <row r="65" spans="9:9" x14ac:dyDescent="0.3">
      <c r="I65" s="111"/>
    </row>
    <row r="66" spans="9:9" ht="12.75" customHeight="1" x14ac:dyDescent="0.3">
      <c r="I66" s="111"/>
    </row>
    <row r="67" spans="9:9" ht="12.75" customHeight="1" x14ac:dyDescent="0.3">
      <c r="I67" s="111"/>
    </row>
    <row r="68" spans="9:9" x14ac:dyDescent="0.3">
      <c r="I68" s="111"/>
    </row>
  </sheetData>
  <sheetProtection sort="0" autoFilter="0"/>
  <autoFilter ref="A1:I1"/>
  <mergeCells count="6">
    <mergeCell ref="A59:H59"/>
    <mergeCell ref="A21:H21"/>
    <mergeCell ref="A35:H35"/>
    <mergeCell ref="A49:H49"/>
    <mergeCell ref="A2:H2"/>
    <mergeCell ref="A13:H13"/>
  </mergeCells>
  <pageMargins left="0.7" right="0.7" top="0.75" bottom="0.75" header="0.3" footer="0.3"/>
  <pageSetup scale="55" fitToHeight="0" orientation="landscape" r:id="rId1"/>
  <extLst>
    <ext xmlns:x14="http://schemas.microsoft.com/office/spreadsheetml/2009/9/main" uri="{78C0D931-6437-407d-A8EE-F0AAD7539E65}">
      <x14:conditionalFormattings>
        <x14:conditionalFormatting xmlns:xm="http://schemas.microsoft.com/office/excel/2006/main">
          <x14:cfRule type="cellIs" priority="1" operator="equal" id="{C797E0F9-31DE-4046-B1D7-363A29EC32D4}">
            <xm:f>Extra!$B$5</xm:f>
            <x14:dxf>
              <fill>
                <patternFill>
                  <bgColor theme="0" tint="-0.14996795556505021"/>
                </patternFill>
              </fill>
            </x14:dxf>
          </x14:cfRule>
          <x14:cfRule type="cellIs" priority="2" operator="equal" id="{EF909D6B-DF6B-407F-B7EF-C8B21200089B}">
            <xm:f>Extra!$B$4</xm:f>
            <x14:dxf>
              <fill>
                <patternFill>
                  <bgColor theme="6"/>
                </patternFill>
              </fill>
            </x14:dxf>
          </x14:cfRule>
          <xm:sqref>H1:H1048576</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Extra!$B$3:$B$5</xm:f>
          </x14:formula1>
          <xm:sqref>H3:H12 H14:H20 H36:H46 H22:H34 H50:H56 H60:H61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H50"/>
  <sheetViews>
    <sheetView workbookViewId="0"/>
  </sheetViews>
  <sheetFormatPr defaultColWidth="9.1796875" defaultRowHeight="14.5" x14ac:dyDescent="0.35"/>
  <cols>
    <col min="1" max="1" width="15.26953125" style="11" customWidth="1"/>
    <col min="2" max="2" width="16.54296875" style="11" bestFit="1" customWidth="1"/>
    <col min="3" max="4" width="19.26953125" style="11" customWidth="1"/>
    <col min="5" max="5" width="57.1796875" style="11" customWidth="1"/>
    <col min="6" max="6" width="44" style="11" customWidth="1"/>
    <col min="7" max="7" width="10.7265625" style="19" customWidth="1"/>
    <col min="8" max="8" width="24.26953125" style="9" customWidth="1"/>
    <col min="9" max="16384" width="9.1796875" style="7"/>
  </cols>
  <sheetData>
    <row r="1" spans="1:8" ht="28.5" customHeight="1" thickBot="1" x14ac:dyDescent="0.3">
      <c r="A1" s="130" t="s">
        <v>5</v>
      </c>
      <c r="B1" s="130" t="s">
        <v>0</v>
      </c>
      <c r="C1" s="130" t="s">
        <v>6</v>
      </c>
      <c r="D1" s="130" t="s">
        <v>109</v>
      </c>
      <c r="E1" s="130" t="s">
        <v>1</v>
      </c>
      <c r="F1" s="130" t="s">
        <v>64</v>
      </c>
      <c r="G1" s="131" t="s">
        <v>170</v>
      </c>
      <c r="H1" s="132" t="s">
        <v>11</v>
      </c>
    </row>
    <row r="2" spans="1:8" ht="12.75" customHeight="1" x14ac:dyDescent="0.25">
      <c r="A2" s="472" t="s">
        <v>70</v>
      </c>
      <c r="B2" s="473"/>
      <c r="C2" s="473"/>
      <c r="D2" s="473"/>
      <c r="E2" s="473"/>
      <c r="F2" s="473"/>
      <c r="G2" s="474"/>
      <c r="H2" s="8"/>
    </row>
    <row r="3" spans="1:8" s="10" customFormat="1" ht="154.5" customHeight="1" x14ac:dyDescent="0.25">
      <c r="A3" s="1">
        <v>33</v>
      </c>
      <c r="B3" s="1" t="s">
        <v>35</v>
      </c>
      <c r="C3" s="2" t="s">
        <v>48</v>
      </c>
      <c r="D3" s="2" t="s">
        <v>112</v>
      </c>
      <c r="E3" s="2" t="s">
        <v>115</v>
      </c>
      <c r="F3" s="2"/>
      <c r="G3" s="81" t="s">
        <v>9</v>
      </c>
      <c r="H3" s="83"/>
    </row>
    <row r="4" spans="1:8" s="10" customFormat="1" ht="30" x14ac:dyDescent="0.25">
      <c r="A4" s="1">
        <v>34</v>
      </c>
      <c r="B4" s="1" t="s">
        <v>36</v>
      </c>
      <c r="C4" s="2" t="s">
        <v>79</v>
      </c>
      <c r="D4" s="2" t="s">
        <v>111</v>
      </c>
      <c r="E4" s="2" t="s">
        <v>173</v>
      </c>
      <c r="F4" s="2"/>
      <c r="G4" s="81" t="s">
        <v>9</v>
      </c>
      <c r="H4" s="83"/>
    </row>
    <row r="5" spans="1:8" s="10" customFormat="1" ht="105" x14ac:dyDescent="0.25">
      <c r="A5" s="1">
        <v>35</v>
      </c>
      <c r="B5" s="1" t="s">
        <v>34</v>
      </c>
      <c r="C5" s="2" t="s">
        <v>47</v>
      </c>
      <c r="D5" s="2" t="s">
        <v>112</v>
      </c>
      <c r="E5" s="2" t="s">
        <v>59</v>
      </c>
      <c r="F5" s="2"/>
      <c r="G5" s="81" t="s">
        <v>9</v>
      </c>
      <c r="H5" s="83"/>
    </row>
    <row r="6" spans="1:8" s="10" customFormat="1" ht="75" x14ac:dyDescent="0.25">
      <c r="A6" s="1" t="s">
        <v>121</v>
      </c>
      <c r="B6" s="1" t="s">
        <v>131</v>
      </c>
      <c r="C6" s="2"/>
      <c r="D6" s="2" t="s">
        <v>111</v>
      </c>
      <c r="E6" s="2" t="s">
        <v>60</v>
      </c>
      <c r="F6" s="2"/>
      <c r="G6" s="81" t="s">
        <v>9</v>
      </c>
      <c r="H6" s="83"/>
    </row>
    <row r="7" spans="1:8" ht="15" x14ac:dyDescent="0.25">
      <c r="G7" s="12"/>
      <c r="H7" s="7"/>
    </row>
    <row r="8" spans="1:8" ht="15" x14ac:dyDescent="0.25">
      <c r="G8" s="12"/>
      <c r="H8" s="7"/>
    </row>
    <row r="9" spans="1:8" ht="14.65" customHeight="1" x14ac:dyDescent="0.25">
      <c r="A9" s="475" t="s">
        <v>71</v>
      </c>
      <c r="B9" s="476"/>
      <c r="C9" s="476"/>
      <c r="D9" s="476"/>
      <c r="E9" s="476"/>
      <c r="F9" s="476"/>
      <c r="G9" s="477"/>
      <c r="H9" s="7"/>
    </row>
    <row r="10" spans="1:8" ht="60" x14ac:dyDescent="0.25">
      <c r="A10" s="1">
        <v>39</v>
      </c>
      <c r="B10" s="1" t="s">
        <v>37</v>
      </c>
      <c r="C10" s="2" t="s">
        <v>49</v>
      </c>
      <c r="D10" s="2" t="s">
        <v>111</v>
      </c>
      <c r="E10" s="2" t="s">
        <v>171</v>
      </c>
      <c r="F10" s="2"/>
      <c r="G10" s="81" t="s">
        <v>9</v>
      </c>
      <c r="H10" s="82"/>
    </row>
    <row r="11" spans="1:8" ht="45" x14ac:dyDescent="0.25">
      <c r="A11" s="1">
        <v>37</v>
      </c>
      <c r="B11" s="1" t="s">
        <v>41</v>
      </c>
      <c r="C11" s="2" t="s">
        <v>58</v>
      </c>
      <c r="D11" s="2" t="s">
        <v>111</v>
      </c>
      <c r="E11" s="2" t="s">
        <v>172</v>
      </c>
      <c r="F11" s="2"/>
      <c r="G11" s="81" t="s">
        <v>9</v>
      </c>
      <c r="H11" s="82"/>
    </row>
    <row r="12" spans="1:8" ht="60" x14ac:dyDescent="0.25">
      <c r="A12" s="1">
        <v>40</v>
      </c>
      <c r="B12" s="1" t="s">
        <v>39</v>
      </c>
      <c r="C12" s="2" t="s">
        <v>51</v>
      </c>
      <c r="D12" s="2" t="s">
        <v>112</v>
      </c>
      <c r="E12" s="2" t="s">
        <v>186</v>
      </c>
      <c r="F12" s="2"/>
      <c r="G12" s="81" t="s">
        <v>9</v>
      </c>
      <c r="H12" s="82"/>
    </row>
    <row r="13" spans="1:8" ht="29" x14ac:dyDescent="0.35">
      <c r="A13" s="1">
        <v>36</v>
      </c>
      <c r="B13" s="1" t="s">
        <v>38</v>
      </c>
      <c r="C13" s="2" t="s">
        <v>50</v>
      </c>
      <c r="D13" s="2" t="s">
        <v>112</v>
      </c>
      <c r="E13" s="2" t="s">
        <v>130</v>
      </c>
      <c r="F13" s="2"/>
      <c r="G13" s="81" t="s">
        <v>9</v>
      </c>
      <c r="H13" s="82"/>
    </row>
    <row r="14" spans="1:8" s="16" customFormat="1" x14ac:dyDescent="0.35">
      <c r="A14" s="13"/>
      <c r="B14" s="13"/>
      <c r="C14" s="14"/>
      <c r="D14" s="14"/>
      <c r="E14" s="13"/>
      <c r="F14" s="14"/>
      <c r="G14" s="15"/>
      <c r="H14" s="6"/>
    </row>
    <row r="16" spans="1:8" ht="12.75" customHeight="1" x14ac:dyDescent="0.35">
      <c r="A16" s="478" t="s">
        <v>12</v>
      </c>
      <c r="B16" s="478"/>
      <c r="C16" s="478"/>
      <c r="D16" s="478"/>
      <c r="E16" s="478"/>
      <c r="F16" s="478"/>
      <c r="G16" s="478"/>
      <c r="H16" s="8"/>
    </row>
    <row r="17" spans="1:8" ht="241.5" customHeight="1" x14ac:dyDescent="0.35">
      <c r="A17" s="2">
        <v>8</v>
      </c>
      <c r="B17" s="2" t="s">
        <v>15</v>
      </c>
      <c r="C17" s="2" t="s">
        <v>25</v>
      </c>
      <c r="D17" s="2" t="s">
        <v>111</v>
      </c>
      <c r="E17" s="2" t="s">
        <v>174</v>
      </c>
      <c r="F17" s="1"/>
      <c r="G17" s="81" t="s">
        <v>9</v>
      </c>
      <c r="H17" s="82"/>
    </row>
    <row r="18" spans="1:8" ht="246" customHeight="1" x14ac:dyDescent="0.35">
      <c r="A18" s="2">
        <v>8</v>
      </c>
      <c r="B18" s="2" t="s">
        <v>15</v>
      </c>
      <c r="C18" s="2" t="s">
        <v>25</v>
      </c>
      <c r="D18" s="2" t="s">
        <v>111</v>
      </c>
      <c r="E18" s="2" t="s">
        <v>175</v>
      </c>
      <c r="F18" s="1"/>
      <c r="G18" s="81" t="s">
        <v>9</v>
      </c>
      <c r="H18" s="82"/>
    </row>
    <row r="19" spans="1:8" ht="213" customHeight="1" x14ac:dyDescent="0.35">
      <c r="A19" s="2">
        <v>9</v>
      </c>
      <c r="B19" s="2" t="s">
        <v>15</v>
      </c>
      <c r="C19" s="2" t="s">
        <v>25</v>
      </c>
      <c r="D19" s="2" t="s">
        <v>111</v>
      </c>
      <c r="E19" s="2" t="s">
        <v>110</v>
      </c>
      <c r="F19" s="1"/>
      <c r="G19" s="81" t="s">
        <v>9</v>
      </c>
      <c r="H19" s="82"/>
    </row>
    <row r="20" spans="1:8" ht="58" x14ac:dyDescent="0.35">
      <c r="A20" s="2">
        <v>10</v>
      </c>
      <c r="B20" s="2" t="s">
        <v>15</v>
      </c>
      <c r="C20" s="2" t="s">
        <v>25</v>
      </c>
      <c r="D20" s="2" t="s">
        <v>111</v>
      </c>
      <c r="E20" s="2" t="s">
        <v>122</v>
      </c>
      <c r="F20" s="1"/>
      <c r="G20" s="81" t="s">
        <v>9</v>
      </c>
      <c r="H20" s="82"/>
    </row>
    <row r="21" spans="1:8" s="10" customFormat="1" ht="29" x14ac:dyDescent="0.35">
      <c r="A21" s="2">
        <v>21</v>
      </c>
      <c r="B21" s="2" t="s">
        <v>13</v>
      </c>
      <c r="C21" s="2" t="s">
        <v>27</v>
      </c>
      <c r="D21" s="2" t="s">
        <v>112</v>
      </c>
      <c r="E21" s="2" t="s">
        <v>119</v>
      </c>
      <c r="F21" s="1"/>
      <c r="G21" s="81" t="s">
        <v>9</v>
      </c>
      <c r="H21" s="83"/>
    </row>
    <row r="22" spans="1:8" s="10" customFormat="1" ht="58" x14ac:dyDescent="0.35">
      <c r="A22" s="2">
        <v>23</v>
      </c>
      <c r="B22" s="2" t="s">
        <v>13</v>
      </c>
      <c r="C22" s="2" t="s">
        <v>27</v>
      </c>
      <c r="D22" s="2" t="s">
        <v>112</v>
      </c>
      <c r="E22" s="2" t="s">
        <v>120</v>
      </c>
      <c r="F22" s="2"/>
      <c r="G22" s="81" t="s">
        <v>9</v>
      </c>
      <c r="H22" s="83"/>
    </row>
    <row r="23" spans="1:8" s="10" customFormat="1" ht="254.25" customHeight="1" x14ac:dyDescent="0.35">
      <c r="A23" s="2">
        <v>7</v>
      </c>
      <c r="B23" s="2" t="s">
        <v>20</v>
      </c>
      <c r="C23" s="2" t="s">
        <v>21</v>
      </c>
      <c r="D23" s="2" t="s">
        <v>112</v>
      </c>
      <c r="E23" s="2" t="s">
        <v>176</v>
      </c>
      <c r="F23" s="1"/>
      <c r="G23" s="81" t="s">
        <v>9</v>
      </c>
      <c r="H23" s="83"/>
    </row>
    <row r="24" spans="1:8" s="10" customFormat="1" x14ac:dyDescent="0.35">
      <c r="A24" s="4"/>
      <c r="B24" s="4"/>
      <c r="C24" s="4"/>
      <c r="D24" s="4"/>
      <c r="E24" s="5"/>
      <c r="F24" s="5"/>
      <c r="G24" s="3"/>
      <c r="H24" s="9"/>
    </row>
    <row r="25" spans="1:8" ht="15" thickBot="1" x14ac:dyDescent="0.4">
      <c r="A25" s="5"/>
      <c r="B25" s="5"/>
      <c r="C25" s="4"/>
      <c r="D25" s="4"/>
      <c r="E25" s="4"/>
      <c r="F25" s="4"/>
      <c r="G25" s="3"/>
      <c r="H25" s="8"/>
    </row>
    <row r="26" spans="1:8" ht="12.75" customHeight="1" x14ac:dyDescent="0.35">
      <c r="A26" s="469" t="s">
        <v>72</v>
      </c>
      <c r="B26" s="470"/>
      <c r="C26" s="470"/>
      <c r="D26" s="470"/>
      <c r="E26" s="470"/>
      <c r="F26" s="470"/>
      <c r="G26" s="471"/>
      <c r="H26" s="8"/>
    </row>
    <row r="27" spans="1:8" ht="306" customHeight="1" x14ac:dyDescent="0.35">
      <c r="A27" s="2">
        <v>27</v>
      </c>
      <c r="B27" s="2" t="s">
        <v>18</v>
      </c>
      <c r="C27" s="2" t="s">
        <v>22</v>
      </c>
      <c r="D27" s="2" t="s">
        <v>112</v>
      </c>
      <c r="E27" s="2" t="s">
        <v>183</v>
      </c>
      <c r="F27" s="2" t="s">
        <v>61</v>
      </c>
      <c r="G27" s="81" t="s">
        <v>9</v>
      </c>
      <c r="H27" s="82"/>
    </row>
    <row r="28" spans="1:8" s="10" customFormat="1" ht="273" customHeight="1" x14ac:dyDescent="0.35">
      <c r="A28" s="2">
        <v>28</v>
      </c>
      <c r="B28" s="2" t="s">
        <v>17</v>
      </c>
      <c r="C28" s="2" t="s">
        <v>23</v>
      </c>
      <c r="D28" s="2" t="s">
        <v>112</v>
      </c>
      <c r="E28" s="2" t="s">
        <v>184</v>
      </c>
      <c r="F28" s="2" t="s">
        <v>62</v>
      </c>
      <c r="G28" s="81" t="s">
        <v>9</v>
      </c>
      <c r="H28" s="83"/>
    </row>
    <row r="29" spans="1:8" s="10" customFormat="1" ht="43.5" x14ac:dyDescent="0.35">
      <c r="A29" s="1">
        <v>30</v>
      </c>
      <c r="B29" s="1" t="s">
        <v>32</v>
      </c>
      <c r="C29" s="2" t="s">
        <v>46</v>
      </c>
      <c r="D29" s="2" t="s">
        <v>112</v>
      </c>
      <c r="E29" s="2" t="s">
        <v>132</v>
      </c>
      <c r="F29" s="2"/>
      <c r="G29" s="81" t="s">
        <v>9</v>
      </c>
      <c r="H29" s="83"/>
    </row>
    <row r="30" spans="1:8" s="10" customFormat="1" ht="162.75" customHeight="1" x14ac:dyDescent="0.35">
      <c r="A30" s="1">
        <v>38</v>
      </c>
      <c r="B30" s="1" t="s">
        <v>4</v>
      </c>
      <c r="C30" s="2" t="s">
        <v>127</v>
      </c>
      <c r="D30" s="2" t="s">
        <v>111</v>
      </c>
      <c r="E30" s="2" t="s">
        <v>177</v>
      </c>
      <c r="F30" s="2" t="s">
        <v>114</v>
      </c>
      <c r="G30" s="81" t="s">
        <v>9</v>
      </c>
      <c r="H30" s="83"/>
    </row>
    <row r="31" spans="1:8" s="10" customFormat="1" ht="245.25" customHeight="1" x14ac:dyDescent="0.35">
      <c r="A31" s="1">
        <v>38</v>
      </c>
      <c r="B31" s="1" t="s">
        <v>4</v>
      </c>
      <c r="C31" s="2" t="s">
        <v>127</v>
      </c>
      <c r="D31" s="2" t="s">
        <v>111</v>
      </c>
      <c r="E31" s="2" t="s">
        <v>113</v>
      </c>
      <c r="F31" s="2"/>
      <c r="G31" s="81" t="s">
        <v>9</v>
      </c>
      <c r="H31" s="83"/>
    </row>
    <row r="32" spans="1:8" s="10" customFormat="1" ht="43.5" x14ac:dyDescent="0.35">
      <c r="A32" s="1">
        <v>38</v>
      </c>
      <c r="B32" s="1" t="s">
        <v>4</v>
      </c>
      <c r="C32" s="2" t="s">
        <v>127</v>
      </c>
      <c r="D32" s="2" t="s">
        <v>111</v>
      </c>
      <c r="E32" s="2" t="s">
        <v>162</v>
      </c>
      <c r="F32" s="2" t="s">
        <v>163</v>
      </c>
      <c r="G32" s="81" t="s">
        <v>9</v>
      </c>
      <c r="H32" s="83"/>
    </row>
    <row r="33" spans="1:8" ht="249" customHeight="1" x14ac:dyDescent="0.35">
      <c r="A33" s="2">
        <v>26</v>
      </c>
      <c r="B33" s="2" t="s">
        <v>116</v>
      </c>
      <c r="C33" s="2" t="s">
        <v>117</v>
      </c>
      <c r="D33" s="2" t="s">
        <v>111</v>
      </c>
      <c r="E33" s="2" t="s">
        <v>129</v>
      </c>
      <c r="F33" s="1"/>
      <c r="G33" s="81" t="s">
        <v>9</v>
      </c>
      <c r="H33" s="84"/>
    </row>
    <row r="34" spans="1:8" s="10" customFormat="1" ht="180" customHeight="1" x14ac:dyDescent="0.35">
      <c r="A34" s="2" t="s">
        <v>97</v>
      </c>
      <c r="B34" s="2" t="s">
        <v>16</v>
      </c>
      <c r="C34" s="2" t="s">
        <v>24</v>
      </c>
      <c r="D34" s="2" t="s">
        <v>111</v>
      </c>
      <c r="E34" s="1"/>
      <c r="F34" s="1"/>
      <c r="G34" s="81" t="s">
        <v>9</v>
      </c>
      <c r="H34" s="83"/>
    </row>
    <row r="35" spans="1:8" s="10" customFormat="1" ht="237.75" customHeight="1" x14ac:dyDescent="0.35">
      <c r="A35" s="2" t="s">
        <v>97</v>
      </c>
      <c r="B35" s="2" t="s">
        <v>16</v>
      </c>
      <c r="C35" s="2" t="s">
        <v>24</v>
      </c>
      <c r="D35" s="2" t="s">
        <v>111</v>
      </c>
      <c r="E35" s="2" t="s">
        <v>178</v>
      </c>
      <c r="F35" s="1"/>
      <c r="G35" s="81" t="s">
        <v>9</v>
      </c>
      <c r="H35" s="83"/>
    </row>
    <row r="36" spans="1:8" s="10" customFormat="1" ht="204" customHeight="1" x14ac:dyDescent="0.35">
      <c r="A36" s="2">
        <v>26</v>
      </c>
      <c r="B36" s="2" t="s">
        <v>116</v>
      </c>
      <c r="C36" s="2" t="s">
        <v>117</v>
      </c>
      <c r="D36" s="2" t="s">
        <v>111</v>
      </c>
      <c r="E36" s="2" t="s">
        <v>118</v>
      </c>
      <c r="F36" s="1"/>
      <c r="G36" s="81" t="s">
        <v>9</v>
      </c>
      <c r="H36" s="83"/>
    </row>
    <row r="37" spans="1:8" s="10" customFormat="1" ht="211.5" customHeight="1" x14ac:dyDescent="0.35">
      <c r="A37" s="2">
        <v>29</v>
      </c>
      <c r="B37" s="2" t="s">
        <v>14</v>
      </c>
      <c r="C37" s="2" t="s">
        <v>26</v>
      </c>
      <c r="D37" s="2" t="s">
        <v>111</v>
      </c>
      <c r="E37" s="2" t="s">
        <v>128</v>
      </c>
      <c r="F37" s="1"/>
      <c r="G37" s="81" t="s">
        <v>9</v>
      </c>
      <c r="H37" s="83"/>
    </row>
    <row r="38" spans="1:8" s="10" customFormat="1" ht="192.75" customHeight="1" x14ac:dyDescent="0.35">
      <c r="A38" s="2">
        <v>29</v>
      </c>
      <c r="B38" s="2" t="s">
        <v>14</v>
      </c>
      <c r="C38" s="2" t="s">
        <v>26</v>
      </c>
      <c r="D38" s="2" t="s">
        <v>112</v>
      </c>
      <c r="E38" s="2" t="s">
        <v>179</v>
      </c>
      <c r="F38" s="2" t="s">
        <v>63</v>
      </c>
      <c r="G38" s="81" t="s">
        <v>9</v>
      </c>
      <c r="H38" s="85"/>
    </row>
    <row r="39" spans="1:8" s="10" customFormat="1" x14ac:dyDescent="0.35">
      <c r="A39" s="17"/>
      <c r="B39" s="11"/>
      <c r="C39" s="11"/>
      <c r="D39" s="11"/>
      <c r="E39" s="11"/>
      <c r="F39" s="11"/>
      <c r="G39" s="18"/>
    </row>
    <row r="40" spans="1:8" s="10" customFormat="1" ht="15" thickBot="1" x14ac:dyDescent="0.4">
      <c r="A40" s="17"/>
      <c r="B40" s="11"/>
      <c r="C40" s="11"/>
      <c r="D40" s="11"/>
      <c r="E40" s="11"/>
      <c r="F40" s="11"/>
      <c r="G40" s="18"/>
    </row>
    <row r="41" spans="1:8" x14ac:dyDescent="0.35">
      <c r="A41" s="469" t="s">
        <v>73</v>
      </c>
      <c r="B41" s="470"/>
      <c r="C41" s="470"/>
      <c r="D41" s="470"/>
      <c r="E41" s="470"/>
      <c r="F41" s="470"/>
      <c r="G41" s="471"/>
      <c r="H41" s="8"/>
    </row>
    <row r="42" spans="1:8" ht="29" x14ac:dyDescent="0.35">
      <c r="A42" s="1" t="s">
        <v>165</v>
      </c>
      <c r="B42" s="2" t="s">
        <v>164</v>
      </c>
      <c r="C42" s="2" t="s">
        <v>185</v>
      </c>
      <c r="D42" s="2" t="s">
        <v>112</v>
      </c>
      <c r="E42" s="2" t="s">
        <v>189</v>
      </c>
      <c r="F42" s="2"/>
      <c r="G42" s="81" t="s">
        <v>9</v>
      </c>
      <c r="H42" s="82"/>
    </row>
    <row r="43" spans="1:8" ht="63.75" customHeight="1" x14ac:dyDescent="0.35">
      <c r="A43" s="2">
        <v>3</v>
      </c>
      <c r="B43" s="1" t="s">
        <v>28</v>
      </c>
      <c r="C43" s="2" t="s">
        <v>30</v>
      </c>
      <c r="D43" s="2" t="s">
        <v>112</v>
      </c>
      <c r="E43" s="2" t="s">
        <v>166</v>
      </c>
      <c r="F43" s="1"/>
      <c r="G43" s="81" t="s">
        <v>9</v>
      </c>
      <c r="H43" s="83"/>
    </row>
    <row r="44" spans="1:8" ht="62.25" customHeight="1" x14ac:dyDescent="0.35">
      <c r="A44" s="2">
        <v>2</v>
      </c>
      <c r="B44" s="1" t="s">
        <v>29</v>
      </c>
      <c r="C44" s="2" t="s">
        <v>31</v>
      </c>
      <c r="D44" s="2" t="s">
        <v>112</v>
      </c>
      <c r="E44" s="2" t="s">
        <v>167</v>
      </c>
      <c r="F44" s="1"/>
      <c r="G44" s="81" t="s">
        <v>9</v>
      </c>
      <c r="H44" s="83"/>
    </row>
    <row r="45" spans="1:8" x14ac:dyDescent="0.35">
      <c r="A45" s="4"/>
      <c r="B45" s="5"/>
      <c r="C45" s="4"/>
      <c r="D45" s="4"/>
      <c r="E45" s="4"/>
      <c r="G45" s="3"/>
    </row>
    <row r="46" spans="1:8" ht="15" thickBot="1" x14ac:dyDescent="0.4"/>
    <row r="47" spans="1:8" x14ac:dyDescent="0.35">
      <c r="A47" s="469" t="s">
        <v>74</v>
      </c>
      <c r="B47" s="470"/>
      <c r="C47" s="470"/>
      <c r="D47" s="470"/>
      <c r="E47" s="470"/>
      <c r="F47" s="470"/>
      <c r="G47" s="471"/>
    </row>
    <row r="48" spans="1:8" ht="29" x14ac:dyDescent="0.35">
      <c r="A48" s="2"/>
      <c r="B48" s="1" t="s">
        <v>44</v>
      </c>
      <c r="C48" s="2" t="s">
        <v>182</v>
      </c>
      <c r="D48" s="2" t="s">
        <v>111</v>
      </c>
      <c r="E48" s="2" t="s">
        <v>7</v>
      </c>
      <c r="F48" s="2"/>
      <c r="G48" s="81" t="s">
        <v>9</v>
      </c>
      <c r="H48" s="83"/>
    </row>
    <row r="49" spans="1:8" ht="72.5" x14ac:dyDescent="0.35">
      <c r="A49" s="1"/>
      <c r="B49" s="2" t="s">
        <v>123</v>
      </c>
      <c r="C49" s="1"/>
      <c r="D49" s="1" t="s">
        <v>112</v>
      </c>
      <c r="E49" s="2" t="s">
        <v>124</v>
      </c>
      <c r="F49" s="1"/>
      <c r="G49" s="81" t="s">
        <v>9</v>
      </c>
      <c r="H49" s="83"/>
    </row>
    <row r="50" spans="1:8" ht="43.5" x14ac:dyDescent="0.35">
      <c r="A50" s="1"/>
      <c r="B50" s="2" t="s">
        <v>180</v>
      </c>
      <c r="C50" s="1"/>
      <c r="D50" s="1" t="s">
        <v>111</v>
      </c>
      <c r="E50" s="2" t="s">
        <v>125</v>
      </c>
      <c r="F50" s="2" t="s">
        <v>126</v>
      </c>
      <c r="G50" s="81" t="s">
        <v>9</v>
      </c>
      <c r="H50" s="83"/>
    </row>
  </sheetData>
  <sheetProtection sort="0" autoFilter="0"/>
  <autoFilter ref="A1:H50"/>
  <mergeCells count="6">
    <mergeCell ref="A47:G47"/>
    <mergeCell ref="A2:G2"/>
    <mergeCell ref="A9:G9"/>
    <mergeCell ref="A16:G16"/>
    <mergeCell ref="A26:G26"/>
    <mergeCell ref="A41:G41"/>
  </mergeCells>
  <pageMargins left="0.7" right="0.7" top="0.75" bottom="0.75" header="0.3" footer="0.3"/>
  <pageSetup scale="59" fitToHeight="0" orientation="landscape" r:id="rId1"/>
  <drawing r:id="rId2"/>
  <extLst>
    <ext xmlns:x14="http://schemas.microsoft.com/office/spreadsheetml/2009/9/main" uri="{78C0D931-6437-407d-A8EE-F0AAD7539E65}">
      <x14:conditionalFormattings>
        <x14:conditionalFormatting xmlns:xm="http://schemas.microsoft.com/office/excel/2006/main">
          <x14:cfRule type="cellIs" priority="1" operator="equal" id="{208D6325-127D-4F37-B10D-25ECB44A3504}">
            <xm:f>Extra!$B$5</xm:f>
            <x14:dxf>
              <fill>
                <patternFill>
                  <bgColor theme="0" tint="-0.14996795556505021"/>
                </patternFill>
              </fill>
            </x14:dxf>
          </x14:cfRule>
          <x14:cfRule type="cellIs" priority="2" operator="equal" id="{18EDCFA3-46C1-4752-A300-15AF682F14C5}">
            <xm:f>Extra!$B$4</xm:f>
            <x14:dxf>
              <fill>
                <patternFill>
                  <bgColor theme="6"/>
                </patternFill>
              </fill>
            </x14:dxf>
          </x14:cfRule>
          <xm:sqref>G1:G1048576</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14:formula1>
            <xm:f>Extra!$B$3:$B$5</xm:f>
          </x14:formula1>
          <xm:sqref>G10:G14 G48:G50 G3:G8 G17:G25 G27:G38 G42:G45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U212"/>
  <sheetViews>
    <sheetView workbookViewId="0"/>
  </sheetViews>
  <sheetFormatPr defaultColWidth="9.1796875" defaultRowHeight="12.5" x14ac:dyDescent="0.25"/>
  <cols>
    <col min="1" max="1" width="12.26953125" style="311" customWidth="1"/>
    <col min="2" max="2" width="11.26953125" style="312" customWidth="1"/>
    <col min="3" max="3" width="13.54296875" style="312" customWidth="1"/>
    <col min="4" max="4" width="5.54296875" style="312" bestFit="1" customWidth="1"/>
    <col min="5" max="5" width="7" style="214" bestFit="1" customWidth="1"/>
    <col min="6" max="6" width="4.7265625" style="292" customWidth="1"/>
    <col min="7" max="7" width="12.7265625" style="292" bestFit="1" customWidth="1"/>
    <col min="8" max="8" width="12.7265625" style="292" customWidth="1"/>
    <col min="9" max="9" width="12.453125" style="294" customWidth="1"/>
    <col min="10" max="10" width="7.7265625" style="292" bestFit="1" customWidth="1"/>
    <col min="11" max="11" width="9.7265625" style="292" bestFit="1" customWidth="1"/>
    <col min="12" max="12" width="9.81640625" style="292" customWidth="1"/>
    <col min="13" max="17" width="16.7265625" style="292" customWidth="1"/>
    <col min="18" max="19" width="9.26953125" style="292" customWidth="1"/>
    <col min="20" max="20" width="18.26953125" style="292" customWidth="1"/>
    <col min="21" max="22" width="9.26953125" style="292" customWidth="1"/>
    <col min="23" max="23" width="13.54296875" style="292" customWidth="1"/>
    <col min="24" max="25" width="9.26953125" style="292" customWidth="1"/>
    <col min="26" max="26" width="12.453125" style="292" customWidth="1"/>
    <col min="27" max="27" width="9.1796875" style="292"/>
    <col min="28" max="29" width="9.26953125" style="292" customWidth="1"/>
    <col min="30" max="30" width="9.1796875" style="292"/>
    <col min="31" max="32" width="9.26953125" style="292" customWidth="1"/>
    <col min="33" max="35" width="9.1796875" style="292"/>
    <col min="36" max="36" width="10.453125" style="292" customWidth="1"/>
    <col min="37" max="39" width="9.1796875" style="292"/>
    <col min="40" max="40" width="15" style="292" customWidth="1"/>
    <col min="41" max="41" width="12.54296875" style="292" customWidth="1"/>
    <col min="42" max="42" width="13.453125" style="292" customWidth="1"/>
    <col min="43" max="44" width="9.1796875" style="292"/>
    <col min="45" max="45" width="18.54296875" style="292" customWidth="1"/>
    <col min="46" max="46" width="13.54296875" style="292" customWidth="1"/>
    <col min="47" max="47" width="16.26953125" style="292" customWidth="1"/>
    <col min="48" max="16384" width="9.1796875" style="214"/>
  </cols>
  <sheetData>
    <row r="1" spans="1:47" s="213" customFormat="1" ht="51" x14ac:dyDescent="0.2">
      <c r="A1" s="300"/>
      <c r="B1" s="212" t="s">
        <v>397</v>
      </c>
      <c r="C1" s="212" t="s">
        <v>398</v>
      </c>
      <c r="D1" s="212" t="s">
        <v>197</v>
      </c>
      <c r="E1" s="213" t="b">
        <f>AND(E2:E17)</f>
        <v>1</v>
      </c>
      <c r="F1" s="289"/>
      <c r="G1" s="290" t="s">
        <v>399</v>
      </c>
      <c r="H1" s="290" t="s">
        <v>400</v>
      </c>
      <c r="I1" s="290" t="s">
        <v>401</v>
      </c>
      <c r="J1" s="290" t="s">
        <v>402</v>
      </c>
      <c r="K1" s="290" t="s">
        <v>403</v>
      </c>
      <c r="L1" s="289" t="s">
        <v>404</v>
      </c>
      <c r="M1" s="291" t="s">
        <v>405</v>
      </c>
      <c r="N1" s="289" t="s">
        <v>406</v>
      </c>
      <c r="O1" s="289" t="s">
        <v>407</v>
      </c>
      <c r="P1" s="289" t="s">
        <v>408</v>
      </c>
      <c r="Q1" s="289" t="s">
        <v>409</v>
      </c>
      <c r="R1" s="289" t="s">
        <v>410</v>
      </c>
      <c r="S1" s="290" t="s">
        <v>411</v>
      </c>
      <c r="T1" s="290" t="s">
        <v>412</v>
      </c>
      <c r="U1" s="290" t="s">
        <v>508</v>
      </c>
      <c r="V1" s="290" t="s">
        <v>509</v>
      </c>
      <c r="W1" s="290" t="s">
        <v>413</v>
      </c>
      <c r="X1" s="290" t="s">
        <v>414</v>
      </c>
      <c r="Y1" s="290" t="s">
        <v>415</v>
      </c>
      <c r="Z1" s="290" t="s">
        <v>416</v>
      </c>
      <c r="AA1" s="290" t="s">
        <v>514</v>
      </c>
      <c r="AB1" s="290" t="s">
        <v>513</v>
      </c>
      <c r="AC1" s="290" t="s">
        <v>512</v>
      </c>
      <c r="AD1" s="290" t="s">
        <v>515</v>
      </c>
      <c r="AE1" s="290" t="s">
        <v>510</v>
      </c>
      <c r="AF1" s="290" t="s">
        <v>511</v>
      </c>
      <c r="AG1" s="289"/>
      <c r="AH1" s="289" t="s">
        <v>417</v>
      </c>
      <c r="AI1" s="289" t="s">
        <v>418</v>
      </c>
      <c r="AJ1" s="289" t="s">
        <v>419</v>
      </c>
      <c r="AK1" s="290" t="s">
        <v>420</v>
      </c>
      <c r="AL1" s="290" t="s">
        <v>421</v>
      </c>
      <c r="AM1" s="290" t="s">
        <v>422</v>
      </c>
      <c r="AN1" s="290" t="s">
        <v>423</v>
      </c>
      <c r="AO1" s="290" t="s">
        <v>424</v>
      </c>
      <c r="AP1" s="290" t="s">
        <v>425</v>
      </c>
      <c r="AQ1" s="290"/>
      <c r="AR1" s="290" t="s">
        <v>426</v>
      </c>
      <c r="AS1" s="290" t="s">
        <v>427</v>
      </c>
      <c r="AT1" s="290" t="s">
        <v>428</v>
      </c>
      <c r="AU1" s="290" t="s">
        <v>429</v>
      </c>
    </row>
    <row r="2" spans="1:47" ht="12.75" x14ac:dyDescent="0.2">
      <c r="A2" s="301" t="s">
        <v>13</v>
      </c>
      <c r="B2" s="302">
        <f>C2</f>
        <v>12</v>
      </c>
      <c r="C2" s="303">
        <f>Vin_nom</f>
        <v>12</v>
      </c>
      <c r="D2" s="304" t="s">
        <v>202</v>
      </c>
      <c r="E2" s="214" t="b">
        <f>B2=C2</f>
        <v>1</v>
      </c>
      <c r="F2" s="292">
        <v>0</v>
      </c>
      <c r="G2" s="293">
        <f t="shared" ref="G2:G65" si="0">DEGREES((ATAN(10)+ATAN(L2/(fsw_ss/6))-ATAN(L2/(fsw_ss/6*Vo_ss/Vref))-ATAN(MAX(1/10,L2/(fsw_ss/2)))))+90</f>
        <v>168.57913220141535</v>
      </c>
      <c r="H2" s="293">
        <f t="shared" ref="H2:H65" si="1">DEGREES((ATAN(10)-ATAN(MAX(1/10,L2/(fsw_ss/2)))))+90</f>
        <v>168.57881372500071</v>
      </c>
      <c r="I2" s="294">
        <f t="shared" ref="I2:I65" si="2">IF(fz_cff&gt;fsw_ss/4,IF(AU2+H2&gt;65,1,0),IF(AU2+G2&gt;65,1,0))</f>
        <v>1</v>
      </c>
      <c r="J2" s="292">
        <f>IF(P2&gt;0,1,0)</f>
        <v>1</v>
      </c>
      <c r="K2" s="292">
        <f>IF(Q2&gt;0,1,0)</f>
        <v>1</v>
      </c>
      <c r="L2" s="292">
        <f>10^('Small Signal'!F2/30)</f>
        <v>1</v>
      </c>
      <c r="M2" s="292" t="str">
        <f>COMPLEX(0,L2*2*PI())</f>
        <v>6.28318530717959i</v>
      </c>
      <c r="N2" s="292">
        <f>IF(D$32=1, IF(AND('Small Signal'!$B$63&gt;=1,FCCM=0),U2+0,R2+0), 0)</f>
        <v>0</v>
      </c>
      <c r="O2" s="292">
        <f>IF(D$32=1, IF(AND('Small Signal'!$B$63&gt;=1,FCCM=0),V2,S2), 0)</f>
        <v>0</v>
      </c>
      <c r="P2" s="292">
        <f>IF(AND('Small Signal'!$B$63&gt;=1,FCCM=0),AE2+0,AB2+0)</f>
        <v>68.889720152258874</v>
      </c>
      <c r="Q2" s="292">
        <f>IF(AND('Small Signal'!$B$63&gt;=1,FCCM=0),AF2,AC2)</f>
        <v>176.64861200375321</v>
      </c>
      <c r="R2" s="292">
        <f>AO2</f>
        <v>18.456543978158216</v>
      </c>
      <c r="S2" s="292">
        <f>AP2</f>
        <v>-2.0587754266905782E-2</v>
      </c>
      <c r="T2" s="292" t="str">
        <f>IMDIV(IMSUM('Small Signal'!$B$76,IMPRODUCT(M2,'Small Signal'!$B$77)),IMSUM(IMPRODUCT('Small Signal'!$B$80,IMPOWER(M2,2)),IMSUM(IMPRODUCT(M2,'Small Signal'!$B$79),'Small Signal'!$B$78)))</f>
        <v>5.36146366223079-0.00163106566304098i</v>
      </c>
      <c r="U2" s="292">
        <f>20*LOG(IMABS(T2))</f>
        <v>14.585667739286041</v>
      </c>
      <c r="V2" s="292">
        <f>(180/PI())*IMARGUMENT(T2)</f>
        <v>-1.743053419838771E-2</v>
      </c>
      <c r="W2" s="292" t="str">
        <f>IMPRODUCT(IMDIV(IMSUM(IMPRODUCT(M2,'Small Signal'!$B$59*'Small Signal'!$B$6*'Small Signal'!$B$51*'Small Signal'!$B$7*'Small Signal'!$B$8),'Small Signal'!$B$59*'Small Signal'!$B$6*'Small Signal'!$B$51),IMSUM(IMSUM(IMPRODUCT(M2,('Small Signal'!$B$5+'Small Signal'!$B$6)*('Small Signal'!$B$58*'Small Signal'!$B$59)+'Small Signal'!$B$5*'Small Signal'!$B$59*('Small Signal'!$B$8+'Small Signal'!$B$9)+'Small Signal'!$B$6*'Small Signal'!$B$59*('Small Signal'!$B$8+'Small Signal'!$B$9)+'Small Signal'!$B$7*'Small Signal'!$B$8*('Small Signal'!$B$5+'Small Signal'!$B$6)),'Small Signal'!$B$6+'Small Signal'!$B$5),IMPRODUCT(IMPOWER(M2,2),'Small Signal'!$B$58*'Small Signal'!$B$59*'Small Signal'!$B$8*'Small Signal'!$B$7*('Small Signal'!$B$5+'Small Signal'!$B$6)+('Small Signal'!$B$5+'Small Signal'!$B$6)*('Small Signal'!$B$9*'Small Signal'!$B$8*'Small Signal'!$B$59*'Small Signal'!$B$7)))),-1)</f>
        <v>-331.83670212946+19.3142550124213i</v>
      </c>
      <c r="X2" s="292">
        <f t="shared" ref="X2:X65" si="3">IF(D$33=1, 20*LOG(IMABS(Z2))+20*LOG(IMABS(W2)), 0)</f>
        <v>0</v>
      </c>
      <c r="Y2" s="292">
        <f t="shared" ref="Y2:Y65" si="4">IF(D$33=1, (180/PI())*IMARGUMENT(Z2)+(180/PI())*IMARGUMENT(W2), 0)</f>
        <v>0</v>
      </c>
      <c r="Z2" s="292" t="str">
        <f t="shared" ref="Z2:Z65" si="5">IMDIV(COMPLEX(1,IMABS(M2)/(2*PI()*fz_cff)),COMPLEX(1,IMABS(M2)/(2*PI()*fp_cff)))</f>
        <v>1.00000000001284+5.07123021399265E-06i</v>
      </c>
      <c r="AA2" s="292" t="str">
        <f>IMPRODUCT(AN2,W2,Z2)</f>
        <v>-2778.0664873778+162.682338795871i</v>
      </c>
      <c r="AB2" s="289">
        <f>20*LOG(IMABS(AA2))</f>
        <v>68.889720152258874</v>
      </c>
      <c r="AC2" s="292">
        <f>(180/PI())*IMARGUMENT(AA2)</f>
        <v>176.64861200375321</v>
      </c>
      <c r="AD2" s="292" t="str">
        <f>IMPRODUCT(T2,W2)</f>
        <v>-1779.09891744344+104.093923862736i</v>
      </c>
      <c r="AE2" s="289">
        <f>20*LOG(IMABS(AD2))</f>
        <v>65.018843913163451</v>
      </c>
      <c r="AF2" s="292">
        <f t="shared" ref="AF2:AF65" si="6">(180/PI())*IMARGUMENT(AD2)</f>
        <v>176.65147866373351</v>
      </c>
      <c r="AH2" s="292" t="str">
        <f t="shared" ref="AH2:AH65" si="7">IMSUM(ESR_ss,IMDIV(1,IMPRODUCT(Co_ss,M2)))</f>
        <v>0.00075-1507.14908230961i</v>
      </c>
      <c r="AI2" s="292">
        <f t="shared" ref="AI2:AI65" si="8">Ro</f>
        <v>0.95</v>
      </c>
      <c r="AJ2" s="292" t="str">
        <f t="shared" ref="AJ2:AJ65" si="9">IMSUM(ESR2_ss,IMDIV(1,IMPRODUCT(Co2_ss,M2)))</f>
        <v>1000-159154943091.895i</v>
      </c>
      <c r="AK2" s="292" t="str">
        <f t="shared" ref="AK2:AK65" si="10">IMDIV(1,(IMSUM(IMDIV(1,AH2),IMDIV(1,AI2),IMDIV(1,AJ2))))</f>
        <v>0.949999622253059-0.00059881245989313i</v>
      </c>
      <c r="AL2" s="292" t="str">
        <f>IMDIV(IMPRODUCT(Re,IMDIV(1,IMPRODUCT(Ce,M2))),IMSUM(Re,IMDIV(1,IMPRODUCT(Ce,M2))))</f>
        <v>1.1881056044037-4.94357984403384E-07i</v>
      </c>
      <c r="AM2" s="292" t="str">
        <f t="shared" ref="AM2:AM65" si="11">IMSUM(Rdc_ss,IMPRODUCT(Lo_ss,M2))</f>
        <v>0.019+0.0000138230076757951i</v>
      </c>
      <c r="AN2" s="292" t="str">
        <f>IMDIV(IMPRODUCT(AK2,AL2),IMPRODUCT(Ri,IMSUM(AL2,AK2,AM2)))</f>
        <v>8.37196050496673-0.00300824728263194i</v>
      </c>
      <c r="AO2" s="292">
        <f>20*LOG(IMABS(AN2))</f>
        <v>18.456543978158216</v>
      </c>
      <c r="AP2" s="292">
        <f>(180/PI())*IMARGUMENT(AN2)</f>
        <v>-2.0587754266905782E-2</v>
      </c>
      <c r="AR2" s="292" t="str">
        <f t="shared" ref="AR2:AR65" si="12">IMDIV(IMPRODUCT(Re_vimax,IMDIV(1,IMPRODUCT(Ce,M2))),IMSUM(Re_vimax,IMDIV(1,IMPRODUCT(Ce,M2))))</f>
        <v>1.1881056044037-4.94357984403384E-07i</v>
      </c>
      <c r="AS2" s="292" t="str">
        <f>IMDIV(IMPRODUCT(AK2,AR2),IMPRODUCT(Ri,IMSUM(AR2,AK2,AM2)))</f>
        <v>8.37196050496673-0.00300824728263194i</v>
      </c>
      <c r="AT2" s="292">
        <f>20*LOG(IMABS(AS2))</f>
        <v>18.456543978158216</v>
      </c>
      <c r="AU2" s="292">
        <f>(180/PI())*IMARGUMENT(AS2)</f>
        <v>-2.0587754266905782E-2</v>
      </c>
    </row>
    <row r="3" spans="1:47" ht="12.75" x14ac:dyDescent="0.2">
      <c r="A3" s="301" t="s">
        <v>249</v>
      </c>
      <c r="B3" s="302">
        <f>C3</f>
        <v>3.8</v>
      </c>
      <c r="C3" s="303">
        <f>Vout</f>
        <v>3.8</v>
      </c>
      <c r="D3" s="304" t="s">
        <v>202</v>
      </c>
      <c r="E3" s="214" t="b">
        <f t="shared" ref="E3:E17" si="13">B3=C3</f>
        <v>1</v>
      </c>
      <c r="F3" s="292">
        <v>1</v>
      </c>
      <c r="G3" s="293">
        <f t="shared" si="0"/>
        <v>168.57915760792301</v>
      </c>
      <c r="H3" s="293">
        <f t="shared" si="1"/>
        <v>168.57881372500071</v>
      </c>
      <c r="I3" s="294">
        <f t="shared" si="2"/>
        <v>1</v>
      </c>
      <c r="J3" s="292">
        <f t="shared" ref="J3:K66" si="14">IF(P3&gt;0,1,0)</f>
        <v>1</v>
      </c>
      <c r="K3" s="292">
        <f t="shared" si="14"/>
        <v>1</v>
      </c>
      <c r="L3" s="292">
        <f>10^('Small Signal'!F3/30)</f>
        <v>1.0797751623277096</v>
      </c>
      <c r="M3" s="292" t="str">
        <f t="shared" ref="M3:M66" si="15">COMPLEX(0,L3*2*PI())</f>
        <v>6.78442743499492i</v>
      </c>
      <c r="N3" s="292">
        <f>IF(D$32=1, IF(AND('Small Signal'!$B$63&gt;=1,FCCM=0),U3+0,R3+0), 0)</f>
        <v>0</v>
      </c>
      <c r="O3" s="292">
        <f>IF(D$32=1, IF(AND('Small Signal'!$B$63&gt;=1,FCCM=0),V3,S3), 0)</f>
        <v>0</v>
      </c>
      <c r="P3" s="292">
        <f>IF(AND('Small Signal'!$B$63&gt;=1,FCCM=0),AE3+0,AB3+0)</f>
        <v>68.887266602607525</v>
      </c>
      <c r="Q3" s="292">
        <f>IF(AND('Small Signal'!$B$63&gt;=1,FCCM=0),AF3,AC3)</f>
        <v>176.38193506206588</v>
      </c>
      <c r="R3" s="292">
        <f t="shared" ref="R3:S66" si="16">AO3</f>
        <v>18.456543890699614</v>
      </c>
      <c r="S3" s="292">
        <f t="shared" si="16"/>
        <v>-2.2230145561045495E-2</v>
      </c>
      <c r="T3" s="292" t="str">
        <f>IMDIV(IMSUM('Small Signal'!$B$76,IMPRODUCT(M3,'Small Signal'!$B$77)),IMSUM(IMPRODUCT('Small Signal'!$B$80,IMPOWER(M3,2)),IMSUM(IMPRODUCT(M3,'Small Signal'!$B$79),'Small Signal'!$B$78)))</f>
        <v>5.36146358519377-0.001761184167512i</v>
      </c>
      <c r="U3" s="292">
        <f t="shared" ref="U3:U65" si="17">20*LOG(IMABS(T3))</f>
        <v>14.585667681169003</v>
      </c>
      <c r="V3" s="292">
        <f t="shared" ref="V3:V65" si="18">(180/PI())*IMARGUMENT(T3)</f>
        <v>-1.8821057815789324E-2</v>
      </c>
      <c r="W3" s="292" t="str">
        <f>IMPRODUCT(IMDIV(IMSUM(IMPRODUCT(M3,'Small Signal'!$B$59*'Small Signal'!$B$6*'Small Signal'!$B$51*'Small Signal'!$B$7*'Small Signal'!$B$8),'Small Signal'!$B$59*'Small Signal'!$B$6*'Small Signal'!$B$51),IMSUM(IMSUM(IMPRODUCT(M3,('Small Signal'!$B$5+'Small Signal'!$B$6)*('Small Signal'!$B$58*'Small Signal'!$B$59)+'Small Signal'!$B$5*'Small Signal'!$B$59*('Small Signal'!$B$8+'Small Signal'!$B$9)+'Small Signal'!$B$6*'Small Signal'!$B$59*('Small Signal'!$B$8+'Small Signal'!$B$9)+'Small Signal'!$B$7*'Small Signal'!$B$8*('Small Signal'!$B$5+'Small Signal'!$B$6)),'Small Signal'!$B$6+'Small Signal'!$B$5),IMPRODUCT(IMPOWER(M3,2),'Small Signal'!$B$58*'Small Signal'!$B$59*'Small Signal'!$B$8*'Small Signal'!$B$7*('Small Signal'!$B$5+'Small Signal'!$B$6)+('Small Signal'!$B$5+'Small Signal'!$B$6)*('Small Signal'!$B$9*'Small Signal'!$B$8*'Small Signal'!$B$59*'Small Signal'!$B$7)))),-1)</f>
        <v>-331.650108494381+20.8432742855105i</v>
      </c>
      <c r="X3" s="292">
        <f t="shared" si="3"/>
        <v>0</v>
      </c>
      <c r="Y3" s="292">
        <f t="shared" si="4"/>
        <v>0</v>
      </c>
      <c r="Z3" s="292" t="str">
        <f t="shared" si="5"/>
        <v>1.00000000001497+5.47578842750929E-06i</v>
      </c>
      <c r="AA3" s="292" t="str">
        <f t="shared" ref="AA3:AA65" si="19">IMPRODUCT(AN3,W3,Z3)</f>
        <v>-2776.49480978449+175.561138037831i</v>
      </c>
      <c r="AB3" s="289">
        <f t="shared" ref="AB3:AB66" si="20">20*LOG(IMABS(AA3))</f>
        <v>68.887266602607525</v>
      </c>
      <c r="AC3" s="292">
        <f t="shared" ref="AC3:AC66" si="21">(180/PI())*IMARGUMENT(AA3)</f>
        <v>176.38193506206588</v>
      </c>
      <c r="AD3" s="292" t="str">
        <f t="shared" ref="AD3:AD65" si="22">IMPRODUCT(T3,W3)</f>
        <v>-1778.09327087352+112.334552998204i</v>
      </c>
      <c r="AE3" s="289">
        <f t="shared" ref="AE3:AE65" si="23">20*LOG(IMABS(AD3))</f>
        <v>65.016390392816675</v>
      </c>
      <c r="AF3" s="292">
        <f t="shared" si="6"/>
        <v>176.38503041024475</v>
      </c>
      <c r="AH3" s="292" t="str">
        <f t="shared" si="7"/>
        <v>0.00075-1395.79899120906i</v>
      </c>
      <c r="AI3" s="292">
        <f t="shared" si="8"/>
        <v>0.95</v>
      </c>
      <c r="AJ3" s="292" t="str">
        <f t="shared" si="9"/>
        <v>1000-147396373471.677i</v>
      </c>
      <c r="AK3" s="292" t="str">
        <f t="shared" si="10"/>
        <v>0.949999559579432-0.000646582778394748i</v>
      </c>
      <c r="AL3" s="292" t="str">
        <f t="shared" ref="AL3:AL65" si="24">IMDIV(IMPRODUCT(Re,IMDIV(1,IMPRODUCT(Ce,M3))),IMSUM(Re,IMDIV(1,IMPRODUCT(Ce,M3))))</f>
        <v>1.18810560440367-5.33795472857149E-07i</v>
      </c>
      <c r="AM3" s="292" t="str">
        <f t="shared" si="11"/>
        <v>0.019+0.0000149257403569888i</v>
      </c>
      <c r="AN3" s="292" t="str">
        <f t="shared" ref="AN3:AN65" si="25">IMDIV(IMPRODUCT(AK3,AL3),IMPRODUCT(Ri,IMSUM(AL3,AK3,AM3)))</f>
        <v>8.3719603309977-0.00324823063251296i</v>
      </c>
      <c r="AO3" s="292">
        <f t="shared" ref="AO3:AO66" si="26">20*LOG(IMABS(AN3))</f>
        <v>18.456543890699614</v>
      </c>
      <c r="AP3" s="292">
        <f t="shared" ref="AP3:AP66" si="27">(180/PI())*IMARGUMENT(AN3)</f>
        <v>-2.2230145561045495E-2</v>
      </c>
      <c r="AR3" s="292" t="str">
        <f t="shared" si="12"/>
        <v>1.18810560440367-5.33795472857149E-07i</v>
      </c>
      <c r="AS3" s="292" t="str">
        <f t="shared" ref="AS3:AS65" si="28">IMDIV(IMPRODUCT(AK3,AR3),IMPRODUCT(Ri,IMSUM(AR3,AK3,AM3)))</f>
        <v>8.3719603309977-0.00324823063251296i</v>
      </c>
      <c r="AT3" s="292">
        <f t="shared" ref="AT3:AT66" si="29">20*LOG(IMABS(AS3))</f>
        <v>18.456543890699614</v>
      </c>
      <c r="AU3" s="292">
        <f t="shared" ref="AU3:AU66" si="30">(180/PI())*IMARGUMENT(AS3)</f>
        <v>-2.2230145561045495E-2</v>
      </c>
    </row>
    <row r="4" spans="1:47" ht="12.75" x14ac:dyDescent="0.2">
      <c r="A4" s="301" t="s">
        <v>430</v>
      </c>
      <c r="B4" s="302">
        <f t="shared" ref="B4:B17" si="31">C4</f>
        <v>4</v>
      </c>
      <c r="C4" s="303">
        <f>Iout</f>
        <v>4</v>
      </c>
      <c r="D4" s="304" t="s">
        <v>214</v>
      </c>
      <c r="E4" s="214" t="b">
        <f t="shared" si="13"/>
        <v>1</v>
      </c>
      <c r="F4" s="292">
        <v>2</v>
      </c>
      <c r="G4" s="293">
        <f t="shared" si="0"/>
        <v>168.57918504123896</v>
      </c>
      <c r="H4" s="293">
        <f t="shared" si="1"/>
        <v>168.57881372500071</v>
      </c>
      <c r="I4" s="294">
        <f t="shared" si="2"/>
        <v>1</v>
      </c>
      <c r="J4" s="292">
        <f t="shared" si="14"/>
        <v>1</v>
      </c>
      <c r="K4" s="292">
        <f t="shared" si="14"/>
        <v>1</v>
      </c>
      <c r="L4" s="292">
        <f>10^('Small Signal'!F4/30)</f>
        <v>1.1659144011798317</v>
      </c>
      <c r="M4" s="292" t="str">
        <f t="shared" si="15"/>
        <v>7.3256562349222i</v>
      </c>
      <c r="N4" s="292">
        <f>IF(D$32=1, IF(AND('Small Signal'!$B$63&gt;=1,FCCM=0),U4+0,R4+0), 0)</f>
        <v>0</v>
      </c>
      <c r="O4" s="292">
        <f>IF(D$32=1, IF(AND('Small Signal'!$B$63&gt;=1,FCCM=0),V4,S4), 0)</f>
        <v>0</v>
      </c>
      <c r="P4" s="292">
        <f>IF(AND('Small Signal'!$B$63&gt;=1,FCCM=0),AE4+0,AB4+0)</f>
        <v>68.884407722762973</v>
      </c>
      <c r="Q4" s="292">
        <f>IF(AND('Small Signal'!$B$63&gt;=1,FCCM=0),AF4,AC4)</f>
        <v>176.0941595147095</v>
      </c>
      <c r="R4" s="292">
        <f t="shared" si="16"/>
        <v>18.456543788730244</v>
      </c>
      <c r="S4" s="292">
        <f t="shared" si="16"/>
        <v>-2.4003558849875369E-2</v>
      </c>
      <c r="T4" s="292" t="str">
        <f>IMDIV(IMSUM('Small Signal'!$B$76,IMPRODUCT(M4,'Small Signal'!$B$77)),IMSUM(IMPRODUCT('Small Signal'!$B$80,IMPOWER(M4,2)),IMSUM(IMPRODUCT(M4,'Small Signal'!$B$79),'Small Signal'!$B$78)))</f>
        <v>5.3614634953752-0.0019016828906974i</v>
      </c>
      <c r="U4" s="292">
        <f t="shared" si="17"/>
        <v>14.585667613409509</v>
      </c>
      <c r="V4" s="292">
        <f t="shared" si="18"/>
        <v>-2.0322510660362524E-2</v>
      </c>
      <c r="W4" s="292" t="str">
        <f>IMPRODUCT(IMDIV(IMSUM(IMPRODUCT(M4,'Small Signal'!$B$59*'Small Signal'!$B$6*'Small Signal'!$B$51*'Small Signal'!$B$7*'Small Signal'!$B$8),'Small Signal'!$B$59*'Small Signal'!$B$6*'Small Signal'!$B$51),IMSUM(IMSUM(IMPRODUCT(M4,('Small Signal'!$B$5+'Small Signal'!$B$6)*('Small Signal'!$B$58*'Small Signal'!$B$59)+'Small Signal'!$B$5*'Small Signal'!$B$59*('Small Signal'!$B$8+'Small Signal'!$B$9)+'Small Signal'!$B$6*'Small Signal'!$B$59*('Small Signal'!$B$8+'Small Signal'!$B$9)+'Small Signal'!$B$7*'Small Signal'!$B$8*('Small Signal'!$B$5+'Small Signal'!$B$6)),'Small Signal'!$B$6+'Small Signal'!$B$5),IMPRODUCT(IMPOWER(M4,2),'Small Signal'!$B$58*'Small Signal'!$B$59*'Small Signal'!$B$8*'Small Signal'!$B$7*('Small Signal'!$B$5+'Small Signal'!$B$6)+('Small Signal'!$B$5+'Small Signal'!$B$6)*('Small Signal'!$B$9*'Small Signal'!$B$8*'Small Signal'!$B$59*'Small Signal'!$B$7)))),-1)</f>
        <v>-331.432822237881+22.4912396790067i</v>
      </c>
      <c r="X4" s="292">
        <f t="shared" si="3"/>
        <v>0</v>
      </c>
      <c r="Y4" s="292">
        <f t="shared" si="4"/>
        <v>0</v>
      </c>
      <c r="Z4" s="292" t="str">
        <f t="shared" si="5"/>
        <v>1.00000000001745+0.0000059126203381787i</v>
      </c>
      <c r="AA4" s="292" t="str">
        <f t="shared" si="19"/>
        <v>-2774.66460833889+189.441810081809i</v>
      </c>
      <c r="AB4" s="289">
        <f t="shared" si="20"/>
        <v>68.884407722762973</v>
      </c>
      <c r="AC4" s="292">
        <f t="shared" si="21"/>
        <v>176.0941595147095</v>
      </c>
      <c r="AD4" s="292" t="str">
        <f t="shared" si="22"/>
        <v>-1776.92220639189+121.216240632194i</v>
      </c>
      <c r="AE4" s="289">
        <f t="shared" si="23"/>
        <v>65.013531547138854</v>
      </c>
      <c r="AF4" s="292">
        <f t="shared" si="6"/>
        <v>176.09750179470782</v>
      </c>
      <c r="AH4" s="292" t="str">
        <f t="shared" si="7"/>
        <v>0.00075-1292.67558646199i</v>
      </c>
      <c r="AI4" s="292">
        <f t="shared" si="8"/>
        <v>0.95</v>
      </c>
      <c r="AJ4" s="292" t="str">
        <f t="shared" si="9"/>
        <v>1000-136506541930.386i</v>
      </c>
      <c r="AK4" s="292" t="str">
        <f t="shared" si="10"/>
        <v>0.949999486507357-0.000698163970755707i</v>
      </c>
      <c r="AL4" s="292" t="str">
        <f t="shared" si="24"/>
        <v>1.18810560440363-5.76379093354103E-07i</v>
      </c>
      <c r="AM4" s="292" t="str">
        <f t="shared" si="11"/>
        <v>0.019+0.0000161164437168288i</v>
      </c>
      <c r="AN4" s="292" t="str">
        <f t="shared" si="25"/>
        <v>8.37196012816459-0.00350735867614965i</v>
      </c>
      <c r="AO4" s="292">
        <f t="shared" si="26"/>
        <v>18.456543788730244</v>
      </c>
      <c r="AP4" s="292">
        <f t="shared" si="27"/>
        <v>-2.4003558849875369E-2</v>
      </c>
      <c r="AR4" s="292" t="str">
        <f t="shared" si="12"/>
        <v>1.18810560440363-5.76379093354103E-07i</v>
      </c>
      <c r="AS4" s="292" t="str">
        <f t="shared" si="28"/>
        <v>8.37196012816459-0.00350735867614965i</v>
      </c>
      <c r="AT4" s="292">
        <f t="shared" si="29"/>
        <v>18.456543788730244</v>
      </c>
      <c r="AU4" s="292">
        <f t="shared" si="30"/>
        <v>-2.4003558849875369E-2</v>
      </c>
    </row>
    <row r="5" spans="1:47" x14ac:dyDescent="0.25">
      <c r="A5" s="301" t="s">
        <v>431</v>
      </c>
      <c r="B5" s="302">
        <f>C5</f>
        <v>12100</v>
      </c>
      <c r="C5" s="303">
        <f>Rfb_t*1000</f>
        <v>12100</v>
      </c>
      <c r="D5" s="304" t="s">
        <v>389</v>
      </c>
      <c r="E5" s="214" t="b">
        <f t="shared" si="13"/>
        <v>1</v>
      </c>
      <c r="F5" s="292">
        <v>3</v>
      </c>
      <c r="G5" s="293">
        <f t="shared" si="0"/>
        <v>168.57921466305214</v>
      </c>
      <c r="H5" s="293">
        <f t="shared" si="1"/>
        <v>168.57881372500071</v>
      </c>
      <c r="I5" s="294">
        <f t="shared" si="2"/>
        <v>1</v>
      </c>
      <c r="J5" s="292">
        <f t="shared" si="14"/>
        <v>1</v>
      </c>
      <c r="K5" s="292">
        <f t="shared" si="14"/>
        <v>1</v>
      </c>
      <c r="L5" s="292">
        <f>10^('Small Signal'!F5/30)</f>
        <v>1.2589254117941673</v>
      </c>
      <c r="M5" s="292" t="str">
        <f t="shared" si="15"/>
        <v>7.91006165022012i</v>
      </c>
      <c r="N5" s="292">
        <f>IF(D$32=1, IF(AND('Small Signal'!$B$63&gt;=1,FCCM=0),U5+0,R5+0), 0)</f>
        <v>0</v>
      </c>
      <c r="O5" s="292">
        <f>IF(D$32=1, IF(AND('Small Signal'!$B$63&gt;=1,FCCM=0),V5,S5), 0)</f>
        <v>0</v>
      </c>
      <c r="P5" s="292">
        <f>IF(AND('Small Signal'!$B$63&gt;=1,FCCM=0),AE5+0,AB5+0)</f>
        <v>68.881076887981209</v>
      </c>
      <c r="Q5" s="292">
        <f>IF(AND('Small Signal'!$B$63&gt;=1,FCCM=0),AF5,AC5)</f>
        <v>175.78364738905628</v>
      </c>
      <c r="R5" s="292">
        <f t="shared" si="16"/>
        <v>18.456543669842812</v>
      </c>
      <c r="S5" s="292">
        <f t="shared" si="16"/>
        <v>-2.5918446424604152E-2</v>
      </c>
      <c r="T5" s="292" t="str">
        <f>IMDIV(IMSUM('Small Signal'!$B$76,IMPRODUCT(M5,'Small Signal'!$B$77)),IMSUM(IMPRODUCT('Small Signal'!$B$80,IMPOWER(M5,2)),IMSUM(IMPRODUCT(M5,'Small Signal'!$B$79),'Small Signal'!$B$78)))</f>
        <v>5.36146339065444-0.00205338991465026i</v>
      </c>
      <c r="U5" s="292">
        <f t="shared" si="17"/>
        <v>14.585667534407742</v>
      </c>
      <c r="V5" s="292">
        <f t="shared" si="18"/>
        <v>-2.1943742124000479E-2</v>
      </c>
      <c r="W5" s="292" t="str">
        <f>IMPRODUCT(IMDIV(IMSUM(IMPRODUCT(M5,'Small Signal'!$B$59*'Small Signal'!$B$6*'Small Signal'!$B$51*'Small Signal'!$B$7*'Small Signal'!$B$8),'Small Signal'!$B$59*'Small Signal'!$B$6*'Small Signal'!$B$51),IMSUM(IMSUM(IMPRODUCT(M5,('Small Signal'!$B$5+'Small Signal'!$B$6)*('Small Signal'!$B$58*'Small Signal'!$B$59)+'Small Signal'!$B$5*'Small Signal'!$B$59*('Small Signal'!$B$8+'Small Signal'!$B$9)+'Small Signal'!$B$6*'Small Signal'!$B$59*('Small Signal'!$B$8+'Small Signal'!$B$9)+'Small Signal'!$B$7*'Small Signal'!$B$8*('Small Signal'!$B$5+'Small Signal'!$B$6)),'Small Signal'!$B$6+'Small Signal'!$B$5),IMPRODUCT(IMPOWER(M5,2),'Small Signal'!$B$58*'Small Signal'!$B$59*'Small Signal'!$B$8*'Small Signal'!$B$7*('Small Signal'!$B$5+'Small Signal'!$B$6)+('Small Signal'!$B$5+'Small Signal'!$B$6)*('Small Signal'!$B$9*'Small Signal'!$B$8*'Small Signal'!$B$59*'Small Signal'!$B$7)))),-1)</f>
        <v>-331.179845864049+24.2668635972012i</v>
      </c>
      <c r="X5" s="292">
        <f t="shared" si="3"/>
        <v>0</v>
      </c>
      <c r="Y5" s="292">
        <f t="shared" si="4"/>
        <v>0</v>
      </c>
      <c r="Z5" s="292" t="str">
        <f t="shared" si="5"/>
        <v>1.00000000002035+0.0000063843005854298i</v>
      </c>
      <c r="AA5" s="292" t="str">
        <f t="shared" si="19"/>
        <v>-2772.53378914906+204.397738683979i</v>
      </c>
      <c r="AB5" s="289">
        <f t="shared" si="20"/>
        <v>68.881076887981209</v>
      </c>
      <c r="AC5" s="292">
        <f t="shared" si="21"/>
        <v>175.78364738905628</v>
      </c>
      <c r="AD5" s="292" t="str">
        <f t="shared" si="22"/>
        <v>-1775.55878998971+130.785942137832i</v>
      </c>
      <c r="AE5" s="289">
        <f t="shared" si="23"/>
        <v>65.010200752192389</v>
      </c>
      <c r="AF5" s="292">
        <f t="shared" si="6"/>
        <v>175.78725629987821</v>
      </c>
      <c r="AH5" s="292" t="str">
        <f t="shared" si="7"/>
        <v>0.00075-1197.17107001732i</v>
      </c>
      <c r="AI5" s="292">
        <f t="shared" si="8"/>
        <v>0.95</v>
      </c>
      <c r="AJ5" s="292" t="str">
        <f t="shared" si="9"/>
        <v>1000-126421264993.829i</v>
      </c>
      <c r="AK5" s="292" t="str">
        <f t="shared" si="10"/>
        <v>0.949999401311585-0.000753860047194696i</v>
      </c>
      <c r="AL5" s="292" t="str">
        <f t="shared" si="24"/>
        <v>1.18810560440358-6.22359829088702E-07i</v>
      </c>
      <c r="AM5" s="292" t="str">
        <f t="shared" si="11"/>
        <v>0.019+0.0000174021356304843i</v>
      </c>
      <c r="AN5" s="292" t="str">
        <f t="shared" si="25"/>
        <v>8.37195989167867-0.00378715868020862i</v>
      </c>
      <c r="AO5" s="292">
        <f t="shared" si="26"/>
        <v>18.456543669842812</v>
      </c>
      <c r="AP5" s="292">
        <f t="shared" si="27"/>
        <v>-2.5918446424604152E-2</v>
      </c>
      <c r="AR5" s="292" t="str">
        <f t="shared" si="12"/>
        <v>1.18810560440358-6.22359829088702E-07i</v>
      </c>
      <c r="AS5" s="292" t="str">
        <f t="shared" si="28"/>
        <v>8.37195989167867-0.00378715868020862i</v>
      </c>
      <c r="AT5" s="292">
        <f t="shared" si="29"/>
        <v>18.456543669842812</v>
      </c>
      <c r="AU5" s="292">
        <f t="shared" si="30"/>
        <v>-2.5918446424604152E-2</v>
      </c>
    </row>
    <row r="6" spans="1:47" x14ac:dyDescent="0.25">
      <c r="A6" s="301" t="s">
        <v>432</v>
      </c>
      <c r="B6" s="302">
        <f t="shared" si="31"/>
        <v>6040</v>
      </c>
      <c r="C6" s="303">
        <f>Rfb_b*1000</f>
        <v>6040</v>
      </c>
      <c r="D6" s="304" t="s">
        <v>389</v>
      </c>
      <c r="E6" s="214" t="b">
        <f t="shared" si="13"/>
        <v>1</v>
      </c>
      <c r="F6" s="292">
        <v>4</v>
      </c>
      <c r="G6" s="293">
        <f t="shared" si="0"/>
        <v>168.57924664795027</v>
      </c>
      <c r="H6" s="293">
        <f t="shared" si="1"/>
        <v>168.57881372500071</v>
      </c>
      <c r="I6" s="294">
        <f t="shared" si="2"/>
        <v>1</v>
      </c>
      <c r="J6" s="292">
        <f t="shared" si="14"/>
        <v>1</v>
      </c>
      <c r="K6" s="292">
        <f t="shared" si="14"/>
        <v>1</v>
      </c>
      <c r="L6" s="292">
        <f>10^('Small Signal'!F6/30)</f>
        <v>1.3593563908785258</v>
      </c>
      <c r="M6" s="292" t="str">
        <f t="shared" si="15"/>
        <v>8.54108810238862i</v>
      </c>
      <c r="N6" s="292">
        <f>IF(D$32=1, IF(AND('Small Signal'!$B$63&gt;=1,FCCM=0),U6+0,R6+0), 0)</f>
        <v>0</v>
      </c>
      <c r="O6" s="292">
        <f>IF(D$32=1, IF(AND('Small Signal'!$B$63&gt;=1,FCCM=0),V6,S6), 0)</f>
        <v>0</v>
      </c>
      <c r="P6" s="292">
        <f>IF(AND('Small Signal'!$B$63&gt;=1,FCCM=0),AE6+0,AB6+0)</f>
        <v>68.877196642411462</v>
      </c>
      <c r="Q6" s="292">
        <f>IF(AND('Small Signal'!$B$63&gt;=1,FCCM=0),AF6,AC6)</f>
        <v>175.44864160308998</v>
      </c>
      <c r="R6" s="292">
        <f t="shared" si="16"/>
        <v>18.456543531230171</v>
      </c>
      <c r="S6" s="292">
        <f t="shared" si="16"/>
        <v>-2.798609440716272E-2</v>
      </c>
      <c r="T6" s="292" t="str">
        <f>IMDIV(IMSUM('Small Signal'!$B$76,IMPRODUCT(M6,'Small Signal'!$B$77)),IMSUM(IMPRODUCT('Small Signal'!$B$80,IMPOWER(M6,2)),IMSUM(IMPRODUCT(M6,'Small Signal'!$B$79),'Small Signal'!$B$78)))</f>
        <v>5.36146326855902-0.00221719938139478i</v>
      </c>
      <c r="U6" s="292">
        <f t="shared" si="17"/>
        <v>14.585667442298478</v>
      </c>
      <c r="V6" s="292">
        <f t="shared" si="18"/>
        <v>-2.3694307558921528E-2</v>
      </c>
      <c r="W6" s="292" t="str">
        <f>IMPRODUCT(IMDIV(IMSUM(IMPRODUCT(M6,'Small Signal'!$B$59*'Small Signal'!$B$6*'Small Signal'!$B$51*'Small Signal'!$B$7*'Small Signal'!$B$8),'Small Signal'!$B$59*'Small Signal'!$B$6*'Small Signal'!$B$51),IMSUM(IMSUM(IMPRODUCT(M6,('Small Signal'!$B$5+'Small Signal'!$B$6)*('Small Signal'!$B$58*'Small Signal'!$B$59)+'Small Signal'!$B$5*'Small Signal'!$B$59*('Small Signal'!$B$8+'Small Signal'!$B$9)+'Small Signal'!$B$6*'Small Signal'!$B$59*('Small Signal'!$B$8+'Small Signal'!$B$9)+'Small Signal'!$B$7*'Small Signal'!$B$8*('Small Signal'!$B$5+'Small Signal'!$B$6)),'Small Signal'!$B$6+'Small Signal'!$B$5),IMPRODUCT(IMPOWER(M6,2),'Small Signal'!$B$58*'Small Signal'!$B$59*'Small Signal'!$B$8*'Small Signal'!$B$7*('Small Signal'!$B$5+'Small Signal'!$B$6)+('Small Signal'!$B$5+'Small Signal'!$B$6)*('Small Signal'!$B$9*'Small Signal'!$B$8*'Small Signal'!$B$59*'Small Signal'!$B$7)))),-1)</f>
        <v>-330.885386388987+26.1793563162044i</v>
      </c>
      <c r="X6" s="292">
        <f t="shared" si="3"/>
        <v>0</v>
      </c>
      <c r="Y6" s="292">
        <f t="shared" si="4"/>
        <v>0</v>
      </c>
      <c r="Z6" s="292" t="str">
        <f t="shared" si="5"/>
        <v>1.00000000002372+6.89360920096971E-06i</v>
      </c>
      <c r="AA6" s="292" t="str">
        <f t="shared" si="19"/>
        <v>-2770.05355793007+220.506501109535i</v>
      </c>
      <c r="AB6" s="289">
        <f t="shared" si="20"/>
        <v>68.877196642411462</v>
      </c>
      <c r="AC6" s="292">
        <f t="shared" si="21"/>
        <v>175.44864160308998</v>
      </c>
      <c r="AD6" s="292" t="str">
        <f t="shared" si="22"/>
        <v>-1773.97180037488+141.093296157863i</v>
      </c>
      <c r="AE6" s="289">
        <f t="shared" si="23"/>
        <v>65.006320553067354</v>
      </c>
      <c r="AF6" s="292">
        <f t="shared" si="6"/>
        <v>175.4525384152254</v>
      </c>
      <c r="AH6" s="292" t="str">
        <f t="shared" si="7"/>
        <v>0.00075-1108.72254871703i</v>
      </c>
      <c r="AI6" s="292">
        <f t="shared" si="8"/>
        <v>0.95</v>
      </c>
      <c r="AJ6" s="292" t="str">
        <f t="shared" si="9"/>
        <v>1000-117081101144.518i</v>
      </c>
      <c r="AK6" s="292" t="str">
        <f t="shared" si="10"/>
        <v>0.949999301980631-0.000813999269653905i</v>
      </c>
      <c r="AL6" s="292" t="str">
        <f t="shared" si="24"/>
        <v>1.18810560440353-6.72008685480468E-07i</v>
      </c>
      <c r="AM6" s="292" t="str">
        <f t="shared" si="11"/>
        <v>0.019+0.000018790393825255i</v>
      </c>
      <c r="AN6" s="292" t="str">
        <f t="shared" si="25"/>
        <v>8.37195961595628-0.00408927974816736i</v>
      </c>
      <c r="AO6" s="292">
        <f t="shared" si="26"/>
        <v>18.456543531230171</v>
      </c>
      <c r="AP6" s="292">
        <f t="shared" si="27"/>
        <v>-2.798609440716272E-2</v>
      </c>
      <c r="AR6" s="292" t="str">
        <f t="shared" si="12"/>
        <v>1.18810560440353-6.72008685480468E-07i</v>
      </c>
      <c r="AS6" s="292" t="str">
        <f t="shared" si="28"/>
        <v>8.37195961595628-0.00408927974816736i</v>
      </c>
      <c r="AT6" s="292">
        <f t="shared" si="29"/>
        <v>18.456543531230171</v>
      </c>
      <c r="AU6" s="292">
        <f t="shared" si="30"/>
        <v>-2.798609440716272E-2</v>
      </c>
    </row>
    <row r="7" spans="1:47" x14ac:dyDescent="0.25">
      <c r="A7" s="301" t="s">
        <v>433</v>
      </c>
      <c r="B7" s="305">
        <f>C7</f>
        <v>3400</v>
      </c>
      <c r="C7" s="306">
        <f>Rcomp</f>
        <v>3400</v>
      </c>
      <c r="D7" s="304" t="s">
        <v>389</v>
      </c>
      <c r="E7" s="214" t="b">
        <f t="shared" si="13"/>
        <v>1</v>
      </c>
      <c r="F7" s="292">
        <v>5</v>
      </c>
      <c r="G7" s="293">
        <f t="shared" si="0"/>
        <v>168.57928118444886</v>
      </c>
      <c r="H7" s="293">
        <f t="shared" si="1"/>
        <v>168.57881372500071</v>
      </c>
      <c r="I7" s="294">
        <f t="shared" si="2"/>
        <v>1</v>
      </c>
      <c r="J7" s="292">
        <f t="shared" si="14"/>
        <v>1</v>
      </c>
      <c r="K7" s="292">
        <f t="shared" si="14"/>
        <v>1</v>
      </c>
      <c r="L7" s="292">
        <f>10^('Small Signal'!F7/30)</f>
        <v>1.4677992676220697</v>
      </c>
      <c r="M7" s="292" t="str">
        <f t="shared" si="15"/>
        <v>9.22245479221194i</v>
      </c>
      <c r="N7" s="292">
        <f>IF(D$32=1, IF(AND('Small Signal'!$B$63&gt;=1,FCCM=0),U7+0,R7+0), 0)</f>
        <v>0</v>
      </c>
      <c r="O7" s="292">
        <f>IF(D$32=1, IF(AND('Small Signal'!$B$63&gt;=1,FCCM=0),V7,S7), 0)</f>
        <v>0</v>
      </c>
      <c r="P7" s="292">
        <f>IF(AND('Small Signal'!$B$63&gt;=1,FCCM=0),AE7+0,AB7+0)</f>
        <v>68.87267698109784</v>
      </c>
      <c r="Q7" s="292">
        <f>IF(AND('Small Signal'!$B$63&gt;=1,FCCM=0),AF7,AC7)</f>
        <v>175.08725939366093</v>
      </c>
      <c r="R7" s="292">
        <f t="shared" si="16"/>
        <v>18.456543369619773</v>
      </c>
      <c r="S7" s="292">
        <f t="shared" si="16"/>
        <v>-3.0218689268531267E-2</v>
      </c>
      <c r="T7" s="292" t="str">
        <f>IMDIV(IMSUM('Small Signal'!$B$76,IMPRODUCT(M7,'Small Signal'!$B$77)),IMSUM(IMPRODUCT('Small Signal'!$B$80,IMPOWER(M7,2)),IMSUM(IMPRODUCT(M7,'Small Signal'!$B$79),'Small Signal'!$B$78)))</f>
        <v>5.3614631262062-0.00239407676276529i</v>
      </c>
      <c r="U7" s="292">
        <f t="shared" si="17"/>
        <v>14.58566733490693</v>
      </c>
      <c r="V7" s="292">
        <f t="shared" si="18"/>
        <v>-2.5584524595419683E-2</v>
      </c>
      <c r="W7" s="292" t="str">
        <f>IMPRODUCT(IMDIV(IMSUM(IMPRODUCT(M7,'Small Signal'!$B$59*'Small Signal'!$B$6*'Small Signal'!$B$51*'Small Signal'!$B$7*'Small Signal'!$B$8),'Small Signal'!$B$59*'Small Signal'!$B$6*'Small Signal'!$B$51),IMSUM(IMSUM(IMPRODUCT(M7,('Small Signal'!$B$5+'Small Signal'!$B$6)*('Small Signal'!$B$58*'Small Signal'!$B$59)+'Small Signal'!$B$5*'Small Signal'!$B$59*('Small Signal'!$B$8+'Small Signal'!$B$9)+'Small Signal'!$B$6*'Small Signal'!$B$59*('Small Signal'!$B$8+'Small Signal'!$B$9)+'Small Signal'!$B$7*'Small Signal'!$B$8*('Small Signal'!$B$5+'Small Signal'!$B$6)),'Small Signal'!$B$6+'Small Signal'!$B$5),IMPRODUCT(IMPOWER(M7,2),'Small Signal'!$B$58*'Small Signal'!$B$59*'Small Signal'!$B$8*'Small Signal'!$B$7*('Small Signal'!$B$5+'Small Signal'!$B$6)+('Small Signal'!$B$5+'Small Signal'!$B$6)*('Small Signal'!$B$9*'Small Signal'!$B$8*'Small Signal'!$B$59*'Small Signal'!$B$7)))),-1)</f>
        <v>-330.542735215686+28.2384164519039i</v>
      </c>
      <c r="X7" s="292">
        <f t="shared" si="3"/>
        <v>0</v>
      </c>
      <c r="Y7" s="292">
        <f t="shared" si="4"/>
        <v>0</v>
      </c>
      <c r="Z7" s="292" t="str">
        <f t="shared" si="5"/>
        <v>1.00000000002766+7.44354799398621E-06i</v>
      </c>
      <c r="AA7" s="292" t="str">
        <f t="shared" si="19"/>
        <v>-2767.16740819095+237.849787839261i</v>
      </c>
      <c r="AB7" s="289">
        <f t="shared" si="20"/>
        <v>68.87267698109784</v>
      </c>
      <c r="AC7" s="292">
        <f t="shared" si="21"/>
        <v>175.08725939366093</v>
      </c>
      <c r="AD7" s="292" t="str">
        <f t="shared" si="22"/>
        <v>-1772.1250815576+152.190573230818i</v>
      </c>
      <c r="AE7" s="289">
        <f t="shared" si="23"/>
        <v>65.001800945904151</v>
      </c>
      <c r="AF7" s="292">
        <f t="shared" si="6"/>
        <v>175.09146707444941</v>
      </c>
      <c r="AH7" s="292" t="str">
        <f t="shared" si="7"/>
        <v>0.00075-1026.80871666553i</v>
      </c>
      <c r="AI7" s="292">
        <f t="shared" si="8"/>
        <v>0.95</v>
      </c>
      <c r="AJ7" s="292" t="str">
        <f t="shared" si="9"/>
        <v>1000-108431000479.88i</v>
      </c>
      <c r="AK7" s="292" t="str">
        <f t="shared" si="10"/>
        <v>0.949999186169263-0.000878936086292298i</v>
      </c>
      <c r="AL7" s="292" t="str">
        <f t="shared" si="24"/>
        <v>1.18810560440346-7.25618287450261E-07i</v>
      </c>
      <c r="AM7" s="292" t="str">
        <f t="shared" si="11"/>
        <v>0.019+0.0000202894005428663i</v>
      </c>
      <c r="AN7" s="292" t="str">
        <f t="shared" si="25"/>
        <v>8.37195929448766-0.00441550253957121i</v>
      </c>
      <c r="AO7" s="292">
        <f t="shared" si="26"/>
        <v>18.456543369619773</v>
      </c>
      <c r="AP7" s="292">
        <f t="shared" si="27"/>
        <v>-3.0218689268531267E-2</v>
      </c>
      <c r="AR7" s="292" t="str">
        <f t="shared" si="12"/>
        <v>1.18810560440346-7.25618287450261E-07i</v>
      </c>
      <c r="AS7" s="292" t="str">
        <f t="shared" si="28"/>
        <v>8.37195929448766-0.00441550253957121i</v>
      </c>
      <c r="AT7" s="292">
        <f t="shared" si="29"/>
        <v>18.456543369619773</v>
      </c>
      <c r="AU7" s="292">
        <f t="shared" si="30"/>
        <v>-3.0218689268531267E-2</v>
      </c>
    </row>
    <row r="8" spans="1:47" ht="12.75" x14ac:dyDescent="0.2">
      <c r="A8" s="301" t="s">
        <v>434</v>
      </c>
      <c r="B8" s="307">
        <f>C8</f>
        <v>1.2000000000000002E-8</v>
      </c>
      <c r="C8" s="308">
        <f>Ccomp</f>
        <v>1.2000000000000002E-8</v>
      </c>
      <c r="D8" s="309" t="s">
        <v>435</v>
      </c>
      <c r="E8" s="214" t="b">
        <f t="shared" si="13"/>
        <v>1</v>
      </c>
      <c r="F8" s="292">
        <v>6</v>
      </c>
      <c r="G8" s="293">
        <f t="shared" si="0"/>
        <v>168.5793184761022</v>
      </c>
      <c r="H8" s="293">
        <f t="shared" si="1"/>
        <v>168.57881372500071</v>
      </c>
      <c r="I8" s="294">
        <f t="shared" si="2"/>
        <v>1</v>
      </c>
      <c r="J8" s="292">
        <f t="shared" si="14"/>
        <v>1</v>
      </c>
      <c r="K8" s="292">
        <f t="shared" si="14"/>
        <v>1</v>
      </c>
      <c r="L8" s="292">
        <f>10^('Small Signal'!F8/30)</f>
        <v>1.5848931924611136</v>
      </c>
      <c r="M8" s="292" t="str">
        <f t="shared" si="15"/>
        <v>9.95817762032062i</v>
      </c>
      <c r="N8" s="292">
        <f>IF(D$32=1, IF(AND('Small Signal'!$B$63&gt;=1,FCCM=0),U8+0,R8+0), 0)</f>
        <v>0</v>
      </c>
      <c r="O8" s="292">
        <f>IF(D$32=1, IF(AND('Small Signal'!$B$63&gt;=1,FCCM=0),V8,S8), 0)</f>
        <v>0</v>
      </c>
      <c r="P8" s="292">
        <f>IF(AND('Small Signal'!$B$63&gt;=1,FCCM=0),AE8+0,AB8+0)</f>
        <v>68.867413374726056</v>
      </c>
      <c r="Q8" s="292">
        <f>IF(AND('Small Signal'!$B$63&gt;=1,FCCM=0),AF8,AC8)</f>
        <v>174.69748595018228</v>
      </c>
      <c r="R8" s="292">
        <f t="shared" si="16"/>
        <v>18.456543181195809</v>
      </c>
      <c r="S8" s="292">
        <f t="shared" si="16"/>
        <v>-3.2629389653420014E-2</v>
      </c>
      <c r="T8" s="292" t="str">
        <f>IMDIV(IMSUM('Small Signal'!$B$76,IMPRODUCT(M8,'Small Signal'!$B$77)),IMSUM(IMPRODUCT('Small Signal'!$B$80,IMPOWER(M8,2)),IMSUM(IMPRODUCT(M8,'Small Signal'!$B$79),'Small Signal'!$B$78)))</f>
        <v>5.36146296023501-0.00258506455062014i</v>
      </c>
      <c r="U8" s="292">
        <f t="shared" si="17"/>
        <v>14.585667209697588</v>
      </c>
      <c r="V8" s="292">
        <f t="shared" si="18"/>
        <v>-2.7625533952282112E-2</v>
      </c>
      <c r="W8" s="292" t="str">
        <f>IMPRODUCT(IMDIV(IMSUM(IMPRODUCT(M8,'Small Signal'!$B$59*'Small Signal'!$B$6*'Small Signal'!$B$51*'Small Signal'!$B$7*'Small Signal'!$B$8),'Small Signal'!$B$59*'Small Signal'!$B$6*'Small Signal'!$B$51),IMSUM(IMSUM(IMPRODUCT(M8,('Small Signal'!$B$5+'Small Signal'!$B$6)*('Small Signal'!$B$58*'Small Signal'!$B$59)+'Small Signal'!$B$5*'Small Signal'!$B$59*('Small Signal'!$B$8+'Small Signal'!$B$9)+'Small Signal'!$B$6*'Small Signal'!$B$59*('Small Signal'!$B$8+'Small Signal'!$B$9)+'Small Signal'!$B$7*'Small Signal'!$B$8*('Small Signal'!$B$5+'Small Signal'!$B$6)),'Small Signal'!$B$6+'Small Signal'!$B$5),IMPRODUCT(IMPOWER(M8,2),'Small Signal'!$B$58*'Small Signal'!$B$59*'Small Signal'!$B$8*'Small Signal'!$B$7*('Small Signal'!$B$5+'Small Signal'!$B$6)+('Small Signal'!$B$5+'Small Signal'!$B$6)*('Small Signal'!$B$9*'Small Signal'!$B$8*'Small Signal'!$B$59*'Small Signal'!$B$7)))),-1)</f>
        <v>-330.144132200824+30.4542087391839i</v>
      </c>
      <c r="X8" s="292">
        <f t="shared" si="3"/>
        <v>0</v>
      </c>
      <c r="Y8" s="292">
        <f t="shared" si="4"/>
        <v>0</v>
      </c>
      <c r="Z8" s="292" t="str">
        <f t="shared" si="5"/>
        <v>1.00000000003225+8.03735824348227E-06i</v>
      </c>
      <c r="AA8" s="292" t="str">
        <f t="shared" si="19"/>
        <v>-2763.80997626933+256.513215398415i</v>
      </c>
      <c r="AB8" s="289">
        <f t="shared" si="20"/>
        <v>68.867413374726056</v>
      </c>
      <c r="AC8" s="292">
        <f t="shared" si="21"/>
        <v>174.69748595018228</v>
      </c>
      <c r="AD8" s="292" t="str">
        <f t="shared" si="22"/>
        <v>-1769.97681023822+164.132556031147i</v>
      </c>
      <c r="AE8" s="289">
        <f t="shared" si="23"/>
        <v>64.996537402667173</v>
      </c>
      <c r="AF8" s="292">
        <f t="shared" si="6"/>
        <v>174.7020292991777</v>
      </c>
      <c r="AH8" s="292" t="str">
        <f t="shared" si="7"/>
        <v>0.00075-950.946782709832i</v>
      </c>
      <c r="AI8" s="292">
        <f t="shared" si="8"/>
        <v>0.95</v>
      </c>
      <c r="AJ8" s="292" t="str">
        <f t="shared" si="9"/>
        <v>1000-100419980254.159i</v>
      </c>
      <c r="AK8" s="292" t="str">
        <f t="shared" si="10"/>
        <v>0.949999051143161-0.000949053220253802i</v>
      </c>
      <c r="AL8" s="292" t="str">
        <f t="shared" si="24"/>
        <v>1.18810560440339-7.83504604119515E-07i</v>
      </c>
      <c r="AM8" s="292" t="str">
        <f t="shared" si="11"/>
        <v>0.019+0.0000219079907647054i</v>
      </c>
      <c r="AN8" s="292" t="str">
        <f t="shared" si="25"/>
        <v>8.37195891968272-0.00476774976457059i</v>
      </c>
      <c r="AO8" s="292">
        <f t="shared" si="26"/>
        <v>18.456543181195809</v>
      </c>
      <c r="AP8" s="292">
        <f t="shared" si="27"/>
        <v>-3.2629389653420014E-2</v>
      </c>
      <c r="AR8" s="292" t="str">
        <f t="shared" si="12"/>
        <v>1.18810560440339-7.83504604119515E-07i</v>
      </c>
      <c r="AS8" s="292" t="str">
        <f t="shared" si="28"/>
        <v>8.37195891968272-0.00476774976457059i</v>
      </c>
      <c r="AT8" s="292">
        <f t="shared" si="29"/>
        <v>18.456543181195809</v>
      </c>
      <c r="AU8" s="292">
        <f t="shared" si="30"/>
        <v>-3.2629389653420014E-2</v>
      </c>
    </row>
    <row r="9" spans="1:47" ht="12.75" x14ac:dyDescent="0.2">
      <c r="A9" s="301" t="s">
        <v>436</v>
      </c>
      <c r="B9" s="307">
        <f>C9</f>
        <v>2.1999999999999998E-11</v>
      </c>
      <c r="C9" s="308">
        <f>Cpole</f>
        <v>2.1999999999999998E-11</v>
      </c>
      <c r="D9" s="309" t="s">
        <v>435</v>
      </c>
      <c r="E9" s="214" t="b">
        <f t="shared" si="13"/>
        <v>1</v>
      </c>
      <c r="F9" s="292">
        <v>7</v>
      </c>
      <c r="G9" s="293">
        <f t="shared" si="0"/>
        <v>168.57935874270325</v>
      </c>
      <c r="H9" s="293">
        <f t="shared" si="1"/>
        <v>168.57881372500071</v>
      </c>
      <c r="I9" s="294">
        <f t="shared" si="2"/>
        <v>1</v>
      </c>
      <c r="J9" s="292">
        <f t="shared" si="14"/>
        <v>1</v>
      </c>
      <c r="K9" s="292">
        <f t="shared" si="14"/>
        <v>1</v>
      </c>
      <c r="L9" s="292">
        <f>10^('Small Signal'!F9/30)</f>
        <v>1.7113283041617808</v>
      </c>
      <c r="M9" s="292" t="str">
        <f t="shared" si="15"/>
        <v>10.7525928564699i</v>
      </c>
      <c r="N9" s="292">
        <f>IF(D$32=1, IF(AND('Small Signal'!$B$63&gt;=1,FCCM=0),U9+0,R9+0), 0)</f>
        <v>0</v>
      </c>
      <c r="O9" s="292">
        <f>IF(D$32=1, IF(AND('Small Signal'!$B$63&gt;=1,FCCM=0),V9,S9), 0)</f>
        <v>0</v>
      </c>
      <c r="P9" s="292">
        <f>IF(AND('Small Signal'!$B$63&gt;=1,FCCM=0),AE9+0,AB9+0)</f>
        <v>68.861284504070525</v>
      </c>
      <c r="Q9" s="292">
        <f>IF(AND('Small Signal'!$B$63&gt;=1,FCCM=0),AF9,AC9)</f>
        <v>174.27716844585152</v>
      </c>
      <c r="R9" s="292">
        <f t="shared" si="16"/>
        <v>18.456542961509609</v>
      </c>
      <c r="S9" s="292">
        <f t="shared" si="16"/>
        <v>-3.5232403934547254E-2</v>
      </c>
      <c r="T9" s="292" t="str">
        <f>IMDIV(IMSUM('Small Signal'!$B$76,IMPRODUCT(M9,'Small Signal'!$B$77)),IMSUM(IMPRODUCT('Small Signal'!$B$80,IMPOWER(M9,2)),IMSUM(IMPRODUCT(M9,'Small Signal'!$B$79),'Small Signal'!$B$78)))</f>
        <v>5.36146276672681-0.00279128840095866i</v>
      </c>
      <c r="U9" s="292">
        <f t="shared" si="17"/>
        <v>14.585667063714201</v>
      </c>
      <c r="V9" s="292">
        <f t="shared" si="18"/>
        <v>-2.9829365098252968E-2</v>
      </c>
      <c r="W9" s="292" t="str">
        <f>IMPRODUCT(IMDIV(IMSUM(IMPRODUCT(M9,'Small Signal'!$B$59*'Small Signal'!$B$6*'Small Signal'!$B$51*'Small Signal'!$B$7*'Small Signal'!$B$8),'Small Signal'!$B$59*'Small Signal'!$B$6*'Small Signal'!$B$51),IMSUM(IMSUM(IMPRODUCT(M9,('Small Signal'!$B$5+'Small Signal'!$B$6)*('Small Signal'!$B$58*'Small Signal'!$B$59)+'Small Signal'!$B$5*'Small Signal'!$B$59*('Small Signal'!$B$8+'Small Signal'!$B$9)+'Small Signal'!$B$6*'Small Signal'!$B$59*('Small Signal'!$B$8+'Small Signal'!$B$9)+'Small Signal'!$B$7*'Small Signal'!$B$8*('Small Signal'!$B$5+'Small Signal'!$B$6)),'Small Signal'!$B$6+'Small Signal'!$B$5),IMPRODUCT(IMPOWER(M9,2),'Small Signal'!$B$58*'Small Signal'!$B$59*'Small Signal'!$B$8*'Small Signal'!$B$7*('Small Signal'!$B$5+'Small Signal'!$B$6)+('Small Signal'!$B$5+'Small Signal'!$B$6)*('Small Signal'!$B$9*'Small Signal'!$B$8*'Small Signal'!$B$59*'Small Signal'!$B$7)))),-1)</f>
        <v>-329.680612692848+32.8373253940514i</v>
      </c>
      <c r="X9" s="292">
        <f t="shared" si="3"/>
        <v>0</v>
      </c>
      <c r="Y9" s="292">
        <f t="shared" si="4"/>
        <v>0</v>
      </c>
      <c r="Z9" s="292" t="str">
        <f t="shared" si="5"/>
        <v>1.0000000000376+8.67853980201884E-06i</v>
      </c>
      <c r="AA9" s="292" t="str">
        <f t="shared" si="19"/>
        <v>-2759.90575293406+276.586000904097i</v>
      </c>
      <c r="AB9" s="289">
        <f t="shared" si="20"/>
        <v>68.861284504070525</v>
      </c>
      <c r="AC9" s="292">
        <f t="shared" si="21"/>
        <v>174.27716844585152</v>
      </c>
      <c r="AD9" s="292" t="str">
        <f t="shared" si="22"/>
        <v>-1767.4786714189+176.97633112933i</v>
      </c>
      <c r="AE9" s="289">
        <f t="shared" si="23"/>
        <v>64.990408605621454</v>
      </c>
      <c r="AF9" s="292">
        <f t="shared" si="6"/>
        <v>174.28207424098485</v>
      </c>
      <c r="AH9" s="292" t="str">
        <f t="shared" si="7"/>
        <v>0.00075-880.689624921398i</v>
      </c>
      <c r="AI9" s="292">
        <f t="shared" si="8"/>
        <v>0.95</v>
      </c>
      <c r="AJ9" s="292" t="str">
        <f t="shared" si="9"/>
        <v>1000-93000824391.6995i</v>
      </c>
      <c r="AK9" s="292" t="str">
        <f t="shared" si="10"/>
        <v>0.949998893714326-0.0010247639250046i</v>
      </c>
      <c r="AL9" s="292" t="str">
        <f t="shared" si="24"/>
        <v>1.1881056044033-8.46008811097601E-07i</v>
      </c>
      <c r="AM9" s="292" t="str">
        <f t="shared" si="11"/>
        <v>0.019+0.0000236557042842338i</v>
      </c>
      <c r="AN9" s="292" t="str">
        <f t="shared" si="25"/>
        <v>8.37195848269229-0.00514809751556389i</v>
      </c>
      <c r="AO9" s="292">
        <f t="shared" si="26"/>
        <v>18.456542961509609</v>
      </c>
      <c r="AP9" s="292">
        <f t="shared" si="27"/>
        <v>-3.5232403934547254E-2</v>
      </c>
      <c r="AR9" s="292" t="str">
        <f t="shared" si="12"/>
        <v>1.1881056044033-8.46008811097601E-07i</v>
      </c>
      <c r="AS9" s="292" t="str">
        <f t="shared" si="28"/>
        <v>8.37195848269229-0.00514809751556389i</v>
      </c>
      <c r="AT9" s="292">
        <f t="shared" si="29"/>
        <v>18.456542961509609</v>
      </c>
      <c r="AU9" s="292">
        <f t="shared" si="30"/>
        <v>-3.5232403934547254E-2</v>
      </c>
    </row>
    <row r="10" spans="1:47" ht="12.75" x14ac:dyDescent="0.2">
      <c r="A10" s="301" t="s">
        <v>231</v>
      </c>
      <c r="B10" s="307">
        <f>C10</f>
        <v>1E-10</v>
      </c>
      <c r="C10" s="308">
        <f>Cff</f>
        <v>1E-10</v>
      </c>
      <c r="D10" s="309" t="s">
        <v>435</v>
      </c>
      <c r="E10" s="214" t="b">
        <f t="shared" si="13"/>
        <v>1</v>
      </c>
      <c r="F10" s="292">
        <v>8</v>
      </c>
      <c r="G10" s="293">
        <f t="shared" si="0"/>
        <v>168.57940222157896</v>
      </c>
      <c r="H10" s="293">
        <f t="shared" si="1"/>
        <v>168.57881372500071</v>
      </c>
      <c r="I10" s="294">
        <f t="shared" si="2"/>
        <v>1</v>
      </c>
      <c r="J10" s="292">
        <f t="shared" si="14"/>
        <v>1</v>
      </c>
      <c r="K10" s="292">
        <f t="shared" si="14"/>
        <v>1</v>
      </c>
      <c r="L10" s="292">
        <f>10^('Small Signal'!F10/30)</f>
        <v>1.8478497974222912</v>
      </c>
      <c r="M10" s="292" t="str">
        <f t="shared" si="15"/>
        <v>11.6103826970385i</v>
      </c>
      <c r="N10" s="292">
        <f>IF(D$32=1, IF(AND('Small Signal'!$B$63&gt;=1,FCCM=0),U10+0,R10+0), 0)</f>
        <v>0</v>
      </c>
      <c r="O10" s="292">
        <f>IF(D$32=1, IF(AND('Small Signal'!$B$63&gt;=1,FCCM=0),V10,S10), 0)</f>
        <v>0</v>
      </c>
      <c r="P10" s="292">
        <f>IF(AND('Small Signal'!$B$63&gt;=1,FCCM=0),AE10+0,AB10+0)</f>
        <v>68.854149668867976</v>
      </c>
      <c r="Q10" s="292">
        <f>IF(AND('Small Signal'!$B$63&gt;=1,FCCM=0),AF10,AC10)</f>
        <v>173.82401071332154</v>
      </c>
      <c r="R10" s="292">
        <f t="shared" si="16"/>
        <v>18.456542705374332</v>
      </c>
      <c r="S10" s="292">
        <f t="shared" si="16"/>
        <v>-3.8043073953579212E-2</v>
      </c>
      <c r="T10" s="292" t="str">
        <f>IMDIV(IMSUM('Small Signal'!$B$76,IMPRODUCT(M10,'Small Signal'!$B$77)),IMSUM(IMPRODUCT('Small Signal'!$B$80,IMPOWER(M10,2)),IMSUM(IMPRODUCT(M10,'Small Signal'!$B$79),'Small Signal'!$B$78)))</f>
        <v>5.36146254111284-0.00301396376814273i</v>
      </c>
      <c r="U10" s="292">
        <f t="shared" si="17"/>
        <v>14.585666893510087</v>
      </c>
      <c r="V10" s="292">
        <f t="shared" si="18"/>
        <v>-3.2209007151508651E-2</v>
      </c>
      <c r="W10" s="292" t="str">
        <f>IMPRODUCT(IMDIV(IMSUM(IMPRODUCT(M10,'Small Signal'!$B$59*'Small Signal'!$B$6*'Small Signal'!$B$51*'Small Signal'!$B$7*'Small Signal'!$B$8),'Small Signal'!$B$59*'Small Signal'!$B$6*'Small Signal'!$B$51),IMSUM(IMSUM(IMPRODUCT(M10,('Small Signal'!$B$5+'Small Signal'!$B$6)*('Small Signal'!$B$58*'Small Signal'!$B$59)+'Small Signal'!$B$5*'Small Signal'!$B$59*('Small Signal'!$B$8+'Small Signal'!$B$9)+'Small Signal'!$B$6*'Small Signal'!$B$59*('Small Signal'!$B$8+'Small Signal'!$B$9)+'Small Signal'!$B$7*'Small Signal'!$B$8*('Small Signal'!$B$5+'Small Signal'!$B$6)),'Small Signal'!$B$6+'Small Signal'!$B$5),IMPRODUCT(IMPOWER(M10,2),'Small Signal'!$B$58*'Small Signal'!$B$59*'Small Signal'!$B$8*'Small Signal'!$B$7*('Small Signal'!$B$5+'Small Signal'!$B$6)+('Small Signal'!$B$5+'Small Signal'!$B$6)*('Small Signal'!$B$9*'Small Signal'!$B$8*'Small Signal'!$B$59*'Small Signal'!$B$7)))),-1)</f>
        <v>-329.141836577372+35.3987264949306i</v>
      </c>
      <c r="X10" s="292">
        <f t="shared" si="3"/>
        <v>0</v>
      </c>
      <c r="Y10" s="292">
        <f t="shared" si="4"/>
        <v>0</v>
      </c>
      <c r="Z10" s="292" t="str">
        <f t="shared" si="5"/>
        <v>1.00000000004383+9.37087172346315E-06i</v>
      </c>
      <c r="AA10" s="292" t="str">
        <f t="shared" si="19"/>
        <v>-2755.36764343496+298.160459890624i</v>
      </c>
      <c r="AB10" s="289">
        <f t="shared" si="20"/>
        <v>68.854149668867976</v>
      </c>
      <c r="AC10" s="292">
        <f t="shared" si="21"/>
        <v>173.82401071332154</v>
      </c>
      <c r="AD10" s="292" t="str">
        <f t="shared" si="22"/>
        <v>-1764.57493704357+190.780967675693i</v>
      </c>
      <c r="AE10" s="289">
        <f t="shared" si="23"/>
        <v>64.983273856241667</v>
      </c>
      <c r="AF10" s="292">
        <f t="shared" si="6"/>
        <v>173.82930786872353</v>
      </c>
      <c r="AH10" s="292" t="str">
        <f t="shared" si="7"/>
        <v>0.00075-815.62315530843i</v>
      </c>
      <c r="AI10" s="292">
        <f t="shared" si="8"/>
        <v>0.95</v>
      </c>
      <c r="AJ10" s="292" t="str">
        <f t="shared" si="9"/>
        <v>1000-86129805200.5705i</v>
      </c>
      <c r="AK10" s="292" t="str">
        <f t="shared" si="10"/>
        <v>0.949998710165855-0.0011065144195119i</v>
      </c>
      <c r="AL10" s="292" t="str">
        <f t="shared" si="24"/>
        <v>1.1881056044032-9.13499301333501E-07i</v>
      </c>
      <c r="AM10" s="292" t="str">
        <f t="shared" si="11"/>
        <v>0.019+0.0000255428419334847i</v>
      </c>
      <c r="AN10" s="292" t="str">
        <f t="shared" si="25"/>
        <v>8.37195797319892-0.00555878750270636i</v>
      </c>
      <c r="AO10" s="292">
        <f t="shared" si="26"/>
        <v>18.456542705374332</v>
      </c>
      <c r="AP10" s="292">
        <f t="shared" si="27"/>
        <v>-3.8043073953579212E-2</v>
      </c>
      <c r="AR10" s="292" t="str">
        <f t="shared" si="12"/>
        <v>1.1881056044032-9.13499301333501E-07i</v>
      </c>
      <c r="AS10" s="292" t="str">
        <f t="shared" si="28"/>
        <v>8.37195797319892-0.00555878750270636i</v>
      </c>
      <c r="AT10" s="292">
        <f t="shared" si="29"/>
        <v>18.456542705374332</v>
      </c>
      <c r="AU10" s="292">
        <f t="shared" si="30"/>
        <v>-3.8043073953579212E-2</v>
      </c>
    </row>
    <row r="11" spans="1:47" ht="12.75" x14ac:dyDescent="0.2">
      <c r="A11" s="301" t="s">
        <v>387</v>
      </c>
      <c r="B11" s="302">
        <f t="shared" si="31"/>
        <v>908998.12863428425</v>
      </c>
      <c r="C11" s="303">
        <f>fsw_Hz</f>
        <v>908998.12863428425</v>
      </c>
      <c r="D11" s="304" t="s">
        <v>395</v>
      </c>
      <c r="E11" s="214" t="b">
        <f t="shared" si="13"/>
        <v>1</v>
      </c>
      <c r="F11" s="292">
        <v>9</v>
      </c>
      <c r="G11" s="293">
        <f t="shared" si="0"/>
        <v>168.57944916898899</v>
      </c>
      <c r="H11" s="293">
        <f t="shared" si="1"/>
        <v>168.57881372500071</v>
      </c>
      <c r="I11" s="294">
        <f t="shared" si="2"/>
        <v>1</v>
      </c>
      <c r="J11" s="292">
        <f t="shared" si="14"/>
        <v>1</v>
      </c>
      <c r="K11" s="292">
        <f t="shared" si="14"/>
        <v>1</v>
      </c>
      <c r="L11" s="292">
        <f>10^('Small Signal'!F11/30)</f>
        <v>1.9952623149688797</v>
      </c>
      <c r="M11" s="292" t="str">
        <f t="shared" si="15"/>
        <v>12.5366028613816i</v>
      </c>
      <c r="N11" s="292">
        <f>IF(D$32=1, IF(AND('Small Signal'!$B$63&gt;=1,FCCM=0),U11+0,R11+0), 0)</f>
        <v>0</v>
      </c>
      <c r="O11" s="292">
        <f>IF(D$32=1, IF(AND('Small Signal'!$B$63&gt;=1,FCCM=0),V11,S11), 0)</f>
        <v>0</v>
      </c>
      <c r="P11" s="292">
        <f>IF(AND('Small Signal'!$B$63&gt;=1,FCCM=0),AE11+0,AB11+0)</f>
        <v>68.845845834314019</v>
      </c>
      <c r="Q11" s="292">
        <f>IF(AND('Small Signal'!$B$63&gt;=1,FCCM=0),AF11,AC11)</f>
        <v>173.33556887856207</v>
      </c>
      <c r="R11" s="292">
        <f t="shared" si="16"/>
        <v>18.456542406742596</v>
      </c>
      <c r="S11" s="292">
        <f t="shared" si="16"/>
        <v>-4.1077965442155688E-2</v>
      </c>
      <c r="T11" s="292" t="str">
        <f>IMDIV(IMSUM('Small Signal'!$B$76,IMPRODUCT(M11,'Small Signal'!$B$77)),IMSUM(IMPRODUCT('Small Signal'!$B$80,IMPOWER(M11,2)),IMSUM(IMPRODUCT(M11,'Small Signal'!$B$79),'Small Signal'!$B$78)))</f>
        <v>5.3614622780663-0.00325440306830973i</v>
      </c>
      <c r="U11" s="292">
        <f t="shared" si="17"/>
        <v>14.585666695066696</v>
      </c>
      <c r="V11" s="292">
        <f t="shared" si="18"/>
        <v>-3.4778485434970197E-2</v>
      </c>
      <c r="W11" s="292" t="str">
        <f>IMPRODUCT(IMDIV(IMSUM(IMPRODUCT(M11,'Small Signal'!$B$59*'Small Signal'!$B$6*'Small Signal'!$B$51*'Small Signal'!$B$7*'Small Signal'!$B$8),'Small Signal'!$B$59*'Small Signal'!$B$6*'Small Signal'!$B$51),IMSUM(IMSUM(IMPRODUCT(M11,('Small Signal'!$B$5+'Small Signal'!$B$6)*('Small Signal'!$B$58*'Small Signal'!$B$59)+'Small Signal'!$B$5*'Small Signal'!$B$59*('Small Signal'!$B$8+'Small Signal'!$B$9)+'Small Signal'!$B$6*'Small Signal'!$B$59*('Small Signal'!$B$8+'Small Signal'!$B$9)+'Small Signal'!$B$7*'Small Signal'!$B$8*('Small Signal'!$B$5+'Small Signal'!$B$6)),'Small Signal'!$B$6+'Small Signal'!$B$5),IMPRODUCT(IMPOWER(M11,2),'Small Signal'!$B$58*'Small Signal'!$B$59*'Small Signal'!$B$8*'Small Signal'!$B$7*('Small Signal'!$B$5+'Small Signal'!$B$6)+('Small Signal'!$B$5+'Small Signal'!$B$6)*('Small Signal'!$B$9*'Small Signal'!$B$8*'Small Signal'!$B$59*'Small Signal'!$B$7)))),-1)</f>
        <v>-328.515898805156+38.1496538492595i</v>
      </c>
      <c r="X11" s="292">
        <f t="shared" si="3"/>
        <v>0</v>
      </c>
      <c r="Y11" s="292">
        <f t="shared" si="4"/>
        <v>0</v>
      </c>
      <c r="Z11" s="292" t="str">
        <f t="shared" si="5"/>
        <v>1.00000000005111+0.0000101184345363178i</v>
      </c>
      <c r="AA11" s="292" t="str">
        <f t="shared" si="19"/>
        <v>-2750.09537158081+321.331280801177i</v>
      </c>
      <c r="AB11" s="289">
        <f t="shared" si="20"/>
        <v>68.845845834314019</v>
      </c>
      <c r="AC11" s="292">
        <f t="shared" si="21"/>
        <v>173.33556887856207</v>
      </c>
      <c r="AD11" s="292" t="str">
        <f t="shared" si="22"/>
        <v>-1761.20144483835+205.607053183152i</v>
      </c>
      <c r="AE11" s="289">
        <f t="shared" si="23"/>
        <v>64.97497012174955</v>
      </c>
      <c r="AF11" s="292">
        <f t="shared" si="6"/>
        <v>173.34128861497507</v>
      </c>
      <c r="AH11" s="292" t="str">
        <f t="shared" si="7"/>
        <v>0.00075-755.363879226636i</v>
      </c>
      <c r="AI11" s="292">
        <f t="shared" si="8"/>
        <v>0.95</v>
      </c>
      <c r="AJ11" s="292" t="str">
        <f t="shared" si="9"/>
        <v>1000-79766425646.3329i</v>
      </c>
      <c r="AK11" s="292" t="str">
        <f t="shared" si="10"/>
        <v>0.949998496164138-0.00119478651758997i</v>
      </c>
      <c r="AL11" s="292" t="str">
        <f t="shared" si="24"/>
        <v>1.18810560440309-9.86373856383535E-07i</v>
      </c>
      <c r="AM11" s="292" t="str">
        <f t="shared" si="11"/>
        <v>0.019+0.0000275805262950395i</v>
      </c>
      <c r="AN11" s="292" t="str">
        <f t="shared" si="25"/>
        <v>8.37195737917339-0.00600224026535325i</v>
      </c>
      <c r="AO11" s="292">
        <f t="shared" si="26"/>
        <v>18.456542406742596</v>
      </c>
      <c r="AP11" s="292">
        <f t="shared" si="27"/>
        <v>-4.1077965442155688E-2</v>
      </c>
      <c r="AR11" s="292" t="str">
        <f t="shared" si="12"/>
        <v>1.18810560440309-9.86373856383535E-07i</v>
      </c>
      <c r="AS11" s="292" t="str">
        <f t="shared" si="28"/>
        <v>8.37195737917339-0.00600224026535325i</v>
      </c>
      <c r="AT11" s="292">
        <f t="shared" si="29"/>
        <v>18.456542406742596</v>
      </c>
      <c r="AU11" s="292">
        <f t="shared" si="30"/>
        <v>-4.1077965442155688E-2</v>
      </c>
    </row>
    <row r="12" spans="1:47" ht="12.75" x14ac:dyDescent="0.2">
      <c r="A12" s="301" t="s">
        <v>437</v>
      </c>
      <c r="B12" s="307">
        <f t="shared" si="31"/>
        <v>2.2000000000000001E-6</v>
      </c>
      <c r="C12" s="308">
        <f>Lout_H</f>
        <v>2.2000000000000001E-6</v>
      </c>
      <c r="D12" s="309" t="s">
        <v>438</v>
      </c>
      <c r="E12" s="214" t="b">
        <f t="shared" si="13"/>
        <v>1</v>
      </c>
      <c r="F12" s="292">
        <v>10</v>
      </c>
      <c r="G12" s="293">
        <f t="shared" si="0"/>
        <v>168.57949986163629</v>
      </c>
      <c r="H12" s="293">
        <f t="shared" si="1"/>
        <v>168.57881372500071</v>
      </c>
      <c r="I12" s="294">
        <f t="shared" si="2"/>
        <v>1</v>
      </c>
      <c r="J12" s="292">
        <f t="shared" si="14"/>
        <v>1</v>
      </c>
      <c r="K12" s="292">
        <f t="shared" si="14"/>
        <v>1</v>
      </c>
      <c r="L12" s="292">
        <f>10^('Small Signal'!F12/30)</f>
        <v>2.1544346900318838</v>
      </c>
      <c r="M12" s="292" t="str">
        <f t="shared" si="15"/>
        <v>13.5367123896863i</v>
      </c>
      <c r="N12" s="292">
        <f>IF(D$32=1, IF(AND('Small Signal'!$B$63&gt;=1,FCCM=0),U12+0,R12+0), 0)</f>
        <v>0</v>
      </c>
      <c r="O12" s="292">
        <f>IF(D$32=1, IF(AND('Small Signal'!$B$63&gt;=1,FCCM=0),V12,S12), 0)</f>
        <v>0</v>
      </c>
      <c r="P12" s="292">
        <f>IF(AND('Small Signal'!$B$63&gt;=1,FCCM=0),AE12+0,AB12+0)</f>
        <v>68.836184277967462</v>
      </c>
      <c r="Q12" s="292">
        <f>IF(AND('Small Signal'!$B$63&gt;=1,FCCM=0),AF12,AC12)</f>
        <v>172.80924834722754</v>
      </c>
      <c r="R12" s="292">
        <f t="shared" si="16"/>
        <v>18.456542058563564</v>
      </c>
      <c r="S12" s="292">
        <f t="shared" si="16"/>
        <v>-4.4354965655865553E-2</v>
      </c>
      <c r="T12" s="292" t="str">
        <f>IMDIV(IMSUM('Small Signal'!$B$76,IMPRODUCT(M12,'Small Signal'!$B$77)),IMSUM(IMPRODUCT('Small Signal'!$B$80,IMPOWER(M12,2)),IMSUM(IMPRODUCT(M12,'Small Signal'!$B$79),'Small Signal'!$B$78)))</f>
        <v>5.36146197137655-0.00351402341417877i</v>
      </c>
      <c r="U12" s="292">
        <f t="shared" si="17"/>
        <v>14.585666463698644</v>
      </c>
      <c r="V12" s="292">
        <f t="shared" si="18"/>
        <v>-3.7552944138598228E-2</v>
      </c>
      <c r="W12" s="292" t="str">
        <f>IMPRODUCT(IMDIV(IMSUM(IMPRODUCT(M12,'Small Signal'!$B$59*'Small Signal'!$B$6*'Small Signal'!$B$51*'Small Signal'!$B$7*'Small Signal'!$B$8),'Small Signal'!$B$59*'Small Signal'!$B$6*'Small Signal'!$B$51),IMSUM(IMSUM(IMPRODUCT(M12,('Small Signal'!$B$5+'Small Signal'!$B$6)*('Small Signal'!$B$58*'Small Signal'!$B$59)+'Small Signal'!$B$5*'Small Signal'!$B$59*('Small Signal'!$B$8+'Small Signal'!$B$9)+'Small Signal'!$B$6*'Small Signal'!$B$59*('Small Signal'!$B$8+'Small Signal'!$B$9)+'Small Signal'!$B$7*'Small Signal'!$B$8*('Small Signal'!$B$5+'Small Signal'!$B$6)),'Small Signal'!$B$6+'Small Signal'!$B$5),IMPRODUCT(IMPOWER(M12,2),'Small Signal'!$B$58*'Small Signal'!$B$59*'Small Signal'!$B$8*'Small Signal'!$B$7*('Small Signal'!$B$5+'Small Signal'!$B$6)+('Small Signal'!$B$5+'Small Signal'!$B$6)*('Small Signal'!$B$9*'Small Signal'!$B$8*'Small Signal'!$B$59*'Small Signal'!$B$7)))),-1)</f>
        <v>-327.789121567301+41.1015117075079i</v>
      </c>
      <c r="X12" s="292">
        <f t="shared" si="3"/>
        <v>0</v>
      </c>
      <c r="Y12" s="292">
        <f t="shared" si="4"/>
        <v>0</v>
      </c>
      <c r="Z12" s="292" t="str">
        <f t="shared" si="5"/>
        <v>1.00000000005959+0.0000109256342939086i</v>
      </c>
      <c r="AA12" s="292" t="str">
        <f t="shared" si="19"/>
        <v>-2743.97372923144+346.194520234791i</v>
      </c>
      <c r="AB12" s="289">
        <f t="shared" si="20"/>
        <v>68.836184277967462</v>
      </c>
      <c r="AC12" s="292">
        <f t="shared" si="21"/>
        <v>172.80924834722754</v>
      </c>
      <c r="AD12" s="292" t="str">
        <f t="shared" si="22"/>
        <v>-1757.28447823951+221.516050633992i</v>
      </c>
      <c r="AE12" s="289">
        <f t="shared" si="23"/>
        <v>64.965308682066535</v>
      </c>
      <c r="AF12" s="292">
        <f t="shared" si="6"/>
        <v>172.81542437601132</v>
      </c>
      <c r="AH12" s="292" t="str">
        <f t="shared" si="7"/>
        <v>0.00075-699.556635103809i</v>
      </c>
      <c r="AI12" s="292">
        <f t="shared" si="8"/>
        <v>0.95</v>
      </c>
      <c r="AJ12" s="292" t="str">
        <f t="shared" si="9"/>
        <v>1000-73873180666.9621i</v>
      </c>
      <c r="AK12" s="292" t="str">
        <f t="shared" si="10"/>
        <v>0.949998246656571-0.00129010046687814i</v>
      </c>
      <c r="AL12" s="292" t="str">
        <f t="shared" si="24"/>
        <v>1.18810560440295-1.06506199089221E-06i</v>
      </c>
      <c r="AM12" s="292" t="str">
        <f t="shared" si="11"/>
        <v>0.019+0.0000297807672573099i</v>
      </c>
      <c r="AN12" s="292" t="str">
        <f t="shared" si="25"/>
        <v>8.37195668659056-0.00648106943725953i</v>
      </c>
      <c r="AO12" s="292">
        <f t="shared" si="26"/>
        <v>18.456542058563564</v>
      </c>
      <c r="AP12" s="292">
        <f t="shared" si="27"/>
        <v>-4.4354965655865553E-2</v>
      </c>
      <c r="AR12" s="292" t="str">
        <f t="shared" si="12"/>
        <v>1.18810560440295-1.06506199089221E-06i</v>
      </c>
      <c r="AS12" s="292" t="str">
        <f t="shared" si="28"/>
        <v>8.37195668659056-0.00648106943725953i</v>
      </c>
      <c r="AT12" s="292">
        <f t="shared" si="29"/>
        <v>18.456542058563564</v>
      </c>
      <c r="AU12" s="292">
        <f t="shared" si="30"/>
        <v>-4.4354965655865553E-2</v>
      </c>
    </row>
    <row r="13" spans="1:47" x14ac:dyDescent="0.25">
      <c r="A13" s="301" t="s">
        <v>388</v>
      </c>
      <c r="B13" s="302">
        <f t="shared" si="31"/>
        <v>1.9E-2</v>
      </c>
      <c r="C13" s="310">
        <f>DCR_Ohm</f>
        <v>1.9E-2</v>
      </c>
      <c r="D13" s="304" t="s">
        <v>389</v>
      </c>
      <c r="E13" s="214" t="b">
        <f t="shared" si="13"/>
        <v>1</v>
      </c>
      <c r="F13" s="292">
        <v>11</v>
      </c>
      <c r="G13" s="293">
        <f t="shared" si="0"/>
        <v>168.57955459829776</v>
      </c>
      <c r="H13" s="293">
        <f t="shared" si="1"/>
        <v>168.57881372500071</v>
      </c>
      <c r="I13" s="294">
        <f t="shared" si="2"/>
        <v>1</v>
      </c>
      <c r="J13" s="292">
        <f t="shared" si="14"/>
        <v>1</v>
      </c>
      <c r="K13" s="292">
        <f t="shared" si="14"/>
        <v>1</v>
      </c>
      <c r="L13" s="292">
        <f>10^('Small Signal'!F13/30)</f>
        <v>2.3263050671536263</v>
      </c>
      <c r="M13" s="292" t="str">
        <f t="shared" si="15"/>
        <v>14.6166058179571i</v>
      </c>
      <c r="N13" s="292">
        <f>IF(D$32=1, IF(AND('Small Signal'!$B$63&gt;=1,FCCM=0),U13+0,R13+0), 0)</f>
        <v>0</v>
      </c>
      <c r="O13" s="292">
        <f>IF(D$32=1, IF(AND('Small Signal'!$B$63&gt;=1,FCCM=0),V13,S13), 0)</f>
        <v>0</v>
      </c>
      <c r="P13" s="292">
        <f>IF(AND('Small Signal'!$B$63&gt;=1,FCCM=0),AE13+0,AB13+0)</f>
        <v>68.824946801144932</v>
      </c>
      <c r="Q13" s="292">
        <f>IF(AND('Small Signal'!$B$63&gt;=1,FCCM=0),AF13,AC13)</f>
        <v>172.24230263388557</v>
      </c>
      <c r="R13" s="292">
        <f t="shared" si="16"/>
        <v>18.456541652616593</v>
      </c>
      <c r="S13" s="292">
        <f t="shared" si="16"/>
        <v>-4.7893388796448062E-2</v>
      </c>
      <c r="T13" s="292" t="str">
        <f>IMDIV(IMSUM('Small Signal'!$B$76,IMPRODUCT(M13,'Small Signal'!$B$77)),IMSUM(IMPRODUCT('Small Signal'!$B$80,IMPOWER(M13,2)),IMSUM(IMPRODUCT(M13,'Small Signal'!$B$79),'Small Signal'!$B$78)))</f>
        <v>5.36146161380262-0.00379435496681622i</v>
      </c>
      <c r="U13" s="292">
        <f t="shared" si="17"/>
        <v>14.585666193943361</v>
      </c>
      <c r="V13" s="292">
        <f t="shared" si="18"/>
        <v>-4.0548735575804934E-2</v>
      </c>
      <c r="W13" s="292" t="str">
        <f>IMPRODUCT(IMDIV(IMSUM(IMPRODUCT(M13,'Small Signal'!$B$59*'Small Signal'!$B$6*'Small Signal'!$B$51*'Small Signal'!$B$7*'Small Signal'!$B$8),'Small Signal'!$B$59*'Small Signal'!$B$6*'Small Signal'!$B$51),IMSUM(IMSUM(IMPRODUCT(M13,('Small Signal'!$B$5+'Small Signal'!$B$6)*('Small Signal'!$B$58*'Small Signal'!$B$59)+'Small Signal'!$B$5*'Small Signal'!$B$59*('Small Signal'!$B$8+'Small Signal'!$B$9)+'Small Signal'!$B$6*'Small Signal'!$B$59*('Small Signal'!$B$8+'Small Signal'!$B$9)+'Small Signal'!$B$7*'Small Signal'!$B$8*('Small Signal'!$B$5+'Small Signal'!$B$6)),'Small Signal'!$B$6+'Small Signal'!$B$5),IMPRODUCT(IMPOWER(M13,2),'Small Signal'!$B$58*'Small Signal'!$B$59*'Small Signal'!$B$8*'Small Signal'!$B$7*('Small Signal'!$B$5+'Small Signal'!$B$6)+('Small Signal'!$B$5+'Small Signal'!$B$6)*('Small Signal'!$B$9*'Small Signal'!$B$8*'Small Signal'!$B$59*'Small Signal'!$B$7)))),-1)</f>
        <v>-326.945829305941+44.2657064636295i</v>
      </c>
      <c r="X13" s="292">
        <f t="shared" si="3"/>
        <v>0</v>
      </c>
      <c r="Y13" s="292">
        <f t="shared" si="4"/>
        <v>0</v>
      </c>
      <c r="Z13" s="292" t="str">
        <f t="shared" si="5"/>
        <v>1.00000000006947+0.0000117972285431802i</v>
      </c>
      <c r="AA13" s="292" t="str">
        <f t="shared" si="19"/>
        <v>-2736.87068121382+372.846252735628i</v>
      </c>
      <c r="AB13" s="289">
        <f t="shared" si="20"/>
        <v>68.824946801144932</v>
      </c>
      <c r="AC13" s="292">
        <f t="shared" si="21"/>
        <v>172.24230263388557</v>
      </c>
      <c r="AD13" s="292" t="str">
        <f t="shared" si="22"/>
        <v>-1752.73955381349+238.569434543911i</v>
      </c>
      <c r="AE13" s="289">
        <f t="shared" si="23"/>
        <v>64.954071341263869</v>
      </c>
      <c r="AF13" s="292">
        <f t="shared" si="6"/>
        <v>172.24897135570083</v>
      </c>
      <c r="AH13" s="292" t="str">
        <f t="shared" si="7"/>
        <v>0.00075-647.872501156394i</v>
      </c>
      <c r="AI13" s="292">
        <f t="shared" si="8"/>
        <v>0.95</v>
      </c>
      <c r="AJ13" s="292" t="str">
        <f t="shared" si="9"/>
        <v>1000-68415336122.1152i</v>
      </c>
      <c r="AK13" s="292" t="str">
        <f t="shared" si="10"/>
        <v>0.949997955752265-0.00139301801414162i</v>
      </c>
      <c r="AL13" s="292" t="str">
        <f t="shared" si="24"/>
        <v>1.1881056044028-1.15002748410457E-06i</v>
      </c>
      <c r="AM13" s="292" t="str">
        <f t="shared" si="11"/>
        <v>0.019+0.0000321565327995056i</v>
      </c>
      <c r="AN13" s="292" t="str">
        <f t="shared" si="25"/>
        <v>8.37195587909834-0.0069980971495464i</v>
      </c>
      <c r="AO13" s="292">
        <f t="shared" si="26"/>
        <v>18.456541652616593</v>
      </c>
      <c r="AP13" s="292">
        <f t="shared" si="27"/>
        <v>-4.7893388796448062E-2</v>
      </c>
      <c r="AR13" s="292" t="str">
        <f t="shared" si="12"/>
        <v>1.1881056044028-1.15002748410457E-06i</v>
      </c>
      <c r="AS13" s="292" t="str">
        <f t="shared" si="28"/>
        <v>8.37195587909834-0.0069980971495464i</v>
      </c>
      <c r="AT13" s="292">
        <f t="shared" si="29"/>
        <v>18.456541652616593</v>
      </c>
      <c r="AU13" s="292">
        <f t="shared" si="30"/>
        <v>-4.7893388796448062E-2</v>
      </c>
    </row>
    <row r="14" spans="1:47" ht="12.75" x14ac:dyDescent="0.2">
      <c r="A14" s="301" t="s">
        <v>439</v>
      </c>
      <c r="B14" s="307">
        <f t="shared" si="31"/>
        <v>1.0559999999999999E-4</v>
      </c>
      <c r="C14" s="308">
        <f>Co_cer_eff_F</f>
        <v>1.0559999999999999E-4</v>
      </c>
      <c r="D14" s="309" t="s">
        <v>435</v>
      </c>
      <c r="E14" s="214" t="b">
        <f t="shared" si="13"/>
        <v>1</v>
      </c>
      <c r="F14" s="292">
        <v>12</v>
      </c>
      <c r="G14" s="293">
        <f t="shared" si="0"/>
        <v>168.57961370158529</v>
      </c>
      <c r="H14" s="293">
        <f t="shared" si="1"/>
        <v>168.57881372500071</v>
      </c>
      <c r="I14" s="294">
        <f t="shared" si="2"/>
        <v>1</v>
      </c>
      <c r="J14" s="292">
        <f t="shared" si="14"/>
        <v>1</v>
      </c>
      <c r="K14" s="292">
        <f t="shared" si="14"/>
        <v>1</v>
      </c>
      <c r="L14" s="292">
        <f>10^('Small Signal'!F14/30)</f>
        <v>2.5118864315095806</v>
      </c>
      <c r="M14" s="292" t="str">
        <f t="shared" si="15"/>
        <v>15.7826479197648i</v>
      </c>
      <c r="N14" s="292">
        <f>IF(D$32=1, IF(AND('Small Signal'!$B$63&gt;=1,FCCM=0),U14+0,R14+0), 0)</f>
        <v>0</v>
      </c>
      <c r="O14" s="292">
        <f>IF(D$32=1, IF(AND('Small Signal'!$B$63&gt;=1,FCCM=0),V14,S14), 0)</f>
        <v>0</v>
      </c>
      <c r="P14" s="292">
        <f>IF(AND('Small Signal'!$B$63&gt;=1,FCCM=0),AE14+0,AB14+0)</f>
        <v>68.811881472661469</v>
      </c>
      <c r="Q14" s="292">
        <f>IF(AND('Small Signal'!$B$63&gt;=1,FCCM=0),AF14,AC14)</f>
        <v>171.63183463732554</v>
      </c>
      <c r="R14" s="292">
        <f t="shared" si="16"/>
        <v>18.456541179317178</v>
      </c>
      <c r="S14" s="292">
        <f t="shared" si="16"/>
        <v>-5.1714089843397155E-2</v>
      </c>
      <c r="T14" s="292" t="str">
        <f>IMDIV(IMSUM('Small Signal'!$B$76,IMPRODUCT(M14,'Small Signal'!$B$77)),IMSUM(IMPRODUCT('Small Signal'!$B$80,IMPOWER(M14,2)),IMSUM(IMPRODUCT(M14,'Small Signal'!$B$79),'Small Signal'!$B$78)))</f>
        <v>5.36146119690208-0.00409704995355462i</v>
      </c>
      <c r="U14" s="292">
        <f t="shared" si="17"/>
        <v>14.585665879431808</v>
      </c>
      <c r="V14" s="292">
        <f t="shared" si="18"/>
        <v>-4.3783516559943246E-2</v>
      </c>
      <c r="W14" s="292" t="str">
        <f>IMPRODUCT(IMDIV(IMSUM(IMPRODUCT(M14,'Small Signal'!$B$59*'Small Signal'!$B$6*'Small Signal'!$B$51*'Small Signal'!$B$7*'Small Signal'!$B$8),'Small Signal'!$B$59*'Small Signal'!$B$6*'Small Signal'!$B$51),IMSUM(IMSUM(IMPRODUCT(M14,('Small Signal'!$B$5+'Small Signal'!$B$6)*('Small Signal'!$B$58*'Small Signal'!$B$59)+'Small Signal'!$B$5*'Small Signal'!$B$59*('Small Signal'!$B$8+'Small Signal'!$B$9)+'Small Signal'!$B$6*'Small Signal'!$B$59*('Small Signal'!$B$8+'Small Signal'!$B$9)+'Small Signal'!$B$7*'Small Signal'!$B$8*('Small Signal'!$B$5+'Small Signal'!$B$6)),'Small Signal'!$B$6+'Small Signal'!$B$5),IMPRODUCT(IMPOWER(M14,2),'Small Signal'!$B$58*'Small Signal'!$B$59*'Small Signal'!$B$8*'Small Signal'!$B$7*('Small Signal'!$B$5+'Small Signal'!$B$6)+('Small Signal'!$B$5+'Small Signal'!$B$6)*('Small Signal'!$B$9*'Small Signal'!$B$8*'Small Signal'!$B$59*'Small Signal'!$B$7)))),-1)</f>
        <v>-325.968109210764+47.653436175692i</v>
      </c>
      <c r="X14" s="292">
        <f t="shared" si="3"/>
        <v>0</v>
      </c>
      <c r="Y14" s="292">
        <f t="shared" si="4"/>
        <v>0</v>
      </c>
      <c r="Z14" s="292" t="str">
        <f t="shared" si="5"/>
        <v>1.000000000081+0.0000127383543651562i</v>
      </c>
      <c r="AA14" s="292" t="str">
        <f t="shared" si="19"/>
        <v>-2728.63534798507+401.380797917092i</v>
      </c>
      <c r="AB14" s="289">
        <f t="shared" si="20"/>
        <v>68.811881472661469</v>
      </c>
      <c r="AC14" s="292">
        <f t="shared" si="21"/>
        <v>171.63183463732554</v>
      </c>
      <c r="AD14" s="292" t="str">
        <f t="shared" si="22"/>
        <v>-1747.47013045258+256.827556581725i</v>
      </c>
      <c r="AE14" s="289">
        <f t="shared" si="23"/>
        <v>64.941006171367846</v>
      </c>
      <c r="AF14" s="292">
        <f t="shared" si="6"/>
        <v>171.63903535666603</v>
      </c>
      <c r="AH14" s="292" t="str">
        <f t="shared" si="7"/>
        <v>0.00075-600.00685676058i</v>
      </c>
      <c r="AI14" s="292">
        <f t="shared" si="8"/>
        <v>0.95</v>
      </c>
      <c r="AJ14" s="292" t="str">
        <f t="shared" si="9"/>
        <v>1000-63360724073.9172i</v>
      </c>
      <c r="AK14" s="292" t="str">
        <f t="shared" si="10"/>
        <v>0.949997616582979-0.00150414571490934i</v>
      </c>
      <c r="AL14" s="292" t="str">
        <f t="shared" si="24"/>
        <v>1.1881056044026-1.24177111333014E-06i</v>
      </c>
      <c r="AM14" s="292" t="str">
        <f t="shared" si="11"/>
        <v>0.019+0.0000347218254234826i</v>
      </c>
      <c r="AN14" s="292" t="str">
        <f t="shared" si="25"/>
        <v>8.37195493763169-0.00755637066213873i</v>
      </c>
      <c r="AO14" s="292">
        <f t="shared" si="26"/>
        <v>18.456541179317178</v>
      </c>
      <c r="AP14" s="292">
        <f t="shared" si="27"/>
        <v>-5.1714089843397155E-2</v>
      </c>
      <c r="AR14" s="292" t="str">
        <f t="shared" si="12"/>
        <v>1.1881056044026-1.24177111333014E-06i</v>
      </c>
      <c r="AS14" s="292" t="str">
        <f t="shared" si="28"/>
        <v>8.37195493763169-0.00755637066213873i</v>
      </c>
      <c r="AT14" s="292">
        <f t="shared" si="29"/>
        <v>18.456541179317178</v>
      </c>
      <c r="AU14" s="292">
        <f t="shared" si="30"/>
        <v>-5.1714089843397155E-2</v>
      </c>
    </row>
    <row r="15" spans="1:47" x14ac:dyDescent="0.25">
      <c r="A15" s="301" t="s">
        <v>440</v>
      </c>
      <c r="B15" s="302">
        <f t="shared" si="31"/>
        <v>7.5000000000000002E-4</v>
      </c>
      <c r="C15" s="310">
        <f>ESR_cer_eff_Ohm</f>
        <v>7.5000000000000002E-4</v>
      </c>
      <c r="D15" s="304" t="s">
        <v>389</v>
      </c>
      <c r="E15" s="214" t="b">
        <f t="shared" si="13"/>
        <v>1</v>
      </c>
      <c r="F15" s="292">
        <v>13</v>
      </c>
      <c r="G15" s="293">
        <f t="shared" si="0"/>
        <v>168.57967751984717</v>
      </c>
      <c r="H15" s="293">
        <f t="shared" si="1"/>
        <v>168.57881372500071</v>
      </c>
      <c r="I15" s="294">
        <f t="shared" si="2"/>
        <v>1</v>
      </c>
      <c r="J15" s="292">
        <f t="shared" si="14"/>
        <v>1</v>
      </c>
      <c r="K15" s="292">
        <f t="shared" si="14"/>
        <v>1</v>
      </c>
      <c r="L15" s="292">
        <f>10^('Small Signal'!F15/30)</f>
        <v>2.7122725793320286</v>
      </c>
      <c r="M15" s="292" t="str">
        <f t="shared" si="15"/>
        <v>17.0417112195251i</v>
      </c>
      <c r="N15" s="292">
        <f>IF(D$32=1, IF(AND('Small Signal'!$B$63&gt;=1,FCCM=0),U15+0,R15+0), 0)</f>
        <v>0</v>
      </c>
      <c r="O15" s="292">
        <f>IF(D$32=1, IF(AND('Small Signal'!$B$63&gt;=1,FCCM=0),V15,S15), 0)</f>
        <v>0</v>
      </c>
      <c r="P15" s="292">
        <f>IF(AND('Small Signal'!$B$63&gt;=1,FCCM=0),AE15+0,AB15+0)</f>
        <v>68.796697880033506</v>
      </c>
      <c r="Q15" s="292">
        <f>IF(AND('Small Signal'!$B$63&gt;=1,FCCM=0),AF15,AC15)</f>
        <v>170.97480109552174</v>
      </c>
      <c r="R15" s="292">
        <f t="shared" si="16"/>
        <v>18.456540627490817</v>
      </c>
      <c r="S15" s="292">
        <f t="shared" si="16"/>
        <v>-5.5839587465661381E-2</v>
      </c>
      <c r="T15" s="292" t="str">
        <f>IMDIV(IMSUM('Small Signal'!$B$76,IMPRODUCT(M15,'Small Signal'!$B$77)),IMSUM(IMPRODUCT('Small Signal'!$B$80,IMPOWER(M15,2)),IMSUM(IMPRODUCT(M15,'Small Signal'!$B$79),'Small Signal'!$B$78)))</f>
        <v>5.36146071083181-0.00442389240518093i</v>
      </c>
      <c r="U15" s="292">
        <f t="shared" si="17"/>
        <v>14.585665512738286</v>
      </c>
      <c r="V15" s="292">
        <f t="shared" si="18"/>
        <v>-4.7276352468799999E-2</v>
      </c>
      <c r="W15" s="292" t="str">
        <f>IMPRODUCT(IMDIV(IMSUM(IMPRODUCT(M15,'Small Signal'!$B$59*'Small Signal'!$B$6*'Small Signal'!$B$51*'Small Signal'!$B$7*'Small Signal'!$B$8),'Small Signal'!$B$59*'Small Signal'!$B$6*'Small Signal'!$B$51),IMSUM(IMSUM(IMPRODUCT(M15,('Small Signal'!$B$5+'Small Signal'!$B$6)*('Small Signal'!$B$58*'Small Signal'!$B$59)+'Small Signal'!$B$5*'Small Signal'!$B$59*('Small Signal'!$B$8+'Small Signal'!$B$9)+'Small Signal'!$B$6*'Small Signal'!$B$59*('Small Signal'!$B$8+'Small Signal'!$B$9)+'Small Signal'!$B$7*'Small Signal'!$B$8*('Small Signal'!$B$5+'Small Signal'!$B$6)),'Small Signal'!$B$6+'Small Signal'!$B$5),IMPRODUCT(IMPOWER(M15,2),'Small Signal'!$B$58*'Small Signal'!$B$59*'Small Signal'!$B$8*'Small Signal'!$B$7*('Small Signal'!$B$5+'Small Signal'!$B$6)+('Small Signal'!$B$5+'Small Signal'!$B$6)*('Small Signal'!$B$9*'Small Signal'!$B$8*'Small Signal'!$B$59*'Small Signal'!$B$7)))),-1)</f>
        <v>-324.835561874661+51.2754194231875i</v>
      </c>
      <c r="X15" s="292">
        <f t="shared" si="3"/>
        <v>0</v>
      </c>
      <c r="Y15" s="292">
        <f t="shared" si="4"/>
        <v>0</v>
      </c>
      <c r="Z15" s="292" t="str">
        <f t="shared" si="5"/>
        <v>1.00000000009444+0.0000137545586523322i</v>
      </c>
      <c r="AA15" s="292" t="str">
        <f t="shared" si="19"/>
        <v>-2719.09590540588+431.888436618247i</v>
      </c>
      <c r="AB15" s="289">
        <f t="shared" si="20"/>
        <v>68.796697880033506</v>
      </c>
      <c r="AC15" s="292">
        <f t="shared" si="21"/>
        <v>170.97480109552174</v>
      </c>
      <c r="AD15" s="292" t="str">
        <f t="shared" si="22"/>
        <v>-1741.36626553341+276.348184243952i</v>
      </c>
      <c r="AE15" s="289">
        <f t="shared" si="23"/>
        <v>64.925822763639033</v>
      </c>
      <c r="AF15" s="292">
        <f t="shared" si="6"/>
        <v>170.98257625235885</v>
      </c>
      <c r="AH15" s="292" t="str">
        <f t="shared" si="7"/>
        <v>0.00075-555.677587051664i</v>
      </c>
      <c r="AI15" s="292">
        <f t="shared" si="8"/>
        <v>0.95</v>
      </c>
      <c r="AJ15" s="292" t="str">
        <f t="shared" si="9"/>
        <v>1000-58679553192.6557i</v>
      </c>
      <c r="AK15" s="292" t="str">
        <f t="shared" si="10"/>
        <v>0.949997221140936-0.00162413850688963i</v>
      </c>
      <c r="AL15" s="292" t="str">
        <f t="shared" si="24"/>
        <v>1.18810560440239-1.34083360546967E-06i</v>
      </c>
      <c r="AM15" s="292" t="str">
        <f t="shared" si="11"/>
        <v>0.019+0.0000374917646829552i</v>
      </c>
      <c r="AN15" s="292" t="str">
        <f t="shared" si="25"/>
        <v>8.37195383996259-0.00815918032159719i</v>
      </c>
      <c r="AO15" s="292">
        <f t="shared" si="26"/>
        <v>18.456540627490817</v>
      </c>
      <c r="AP15" s="292">
        <f t="shared" si="27"/>
        <v>-5.5839587465661381E-2</v>
      </c>
      <c r="AR15" s="292" t="str">
        <f t="shared" si="12"/>
        <v>1.18810560440239-1.34083360546967E-06i</v>
      </c>
      <c r="AS15" s="292" t="str">
        <f t="shared" si="28"/>
        <v>8.37195383996259-0.00815918032159719i</v>
      </c>
      <c r="AT15" s="292">
        <f t="shared" si="29"/>
        <v>18.456540627490817</v>
      </c>
      <c r="AU15" s="292">
        <f t="shared" si="30"/>
        <v>-5.5839587465661381E-2</v>
      </c>
    </row>
    <row r="16" spans="1:47" ht="12.75" x14ac:dyDescent="0.2">
      <c r="A16" s="301" t="s">
        <v>441</v>
      </c>
      <c r="B16" s="307">
        <f t="shared" si="31"/>
        <v>9.9999999999999998E-13</v>
      </c>
      <c r="C16" s="308">
        <f>Co_bulk_eff_F</f>
        <v>9.9999999999999998E-13</v>
      </c>
      <c r="D16" s="309" t="s">
        <v>435</v>
      </c>
      <c r="E16" s="214" t="b">
        <f t="shared" si="13"/>
        <v>1</v>
      </c>
      <c r="F16" s="292">
        <v>14</v>
      </c>
      <c r="G16" s="293">
        <f t="shared" si="0"/>
        <v>168.57974642922125</v>
      </c>
      <c r="H16" s="293">
        <f t="shared" si="1"/>
        <v>168.57881372500071</v>
      </c>
      <c r="I16" s="294">
        <f t="shared" si="2"/>
        <v>1</v>
      </c>
      <c r="J16" s="292">
        <f t="shared" si="14"/>
        <v>1</v>
      </c>
      <c r="K16" s="292">
        <f t="shared" si="14"/>
        <v>1</v>
      </c>
      <c r="L16" s="292">
        <f>10^('Small Signal'!F16/30)</f>
        <v>2.9286445646252366</v>
      </c>
      <c r="M16" s="292" t="str">
        <f t="shared" si="15"/>
        <v>18.4012164984046i</v>
      </c>
      <c r="N16" s="292">
        <f>IF(D$32=1, IF(AND('Small Signal'!$B$63&gt;=1,FCCM=0),U16+0,R16+0), 0)</f>
        <v>0</v>
      </c>
      <c r="O16" s="292">
        <f>IF(D$32=1, IF(AND('Small Signal'!$B$63&gt;=1,FCCM=0),V16,S16), 0)</f>
        <v>0</v>
      </c>
      <c r="P16" s="292">
        <f>IF(AND('Small Signal'!$B$63&gt;=1,FCCM=0),AE16+0,AB16+0)</f>
        <v>68.779061875265825</v>
      </c>
      <c r="Q16" s="292">
        <f>IF(AND('Small Signal'!$B$63&gt;=1,FCCM=0),AF16,AC16)</f>
        <v>170.26802110111765</v>
      </c>
      <c r="R16" s="292">
        <f t="shared" si="16"/>
        <v>18.456539984108552</v>
      </c>
      <c r="S16" s="292">
        <f t="shared" si="16"/>
        <v>-6.0294196737582816E-2</v>
      </c>
      <c r="T16" s="292" t="str">
        <f>IMDIV(IMSUM('Small Signal'!$B$76,IMPRODUCT(M16,'Small Signal'!$B$77)),IMSUM(IMPRODUCT('Small Signal'!$B$80,IMPOWER(M16,2)),IMSUM(IMPRODUCT(M16,'Small Signal'!$B$79),'Small Signal'!$B$78)))</f>
        <v>5.36146014411557-0.00477680866973708i</v>
      </c>
      <c r="U16" s="292">
        <f t="shared" si="17"/>
        <v>14.585665085205042</v>
      </c>
      <c r="V16" s="292">
        <f t="shared" si="18"/>
        <v>-5.1047829610276291E-2</v>
      </c>
      <c r="W16" s="292" t="str">
        <f>IMPRODUCT(IMDIV(IMSUM(IMPRODUCT(M16,'Small Signal'!$B$59*'Small Signal'!$B$6*'Small Signal'!$B$51*'Small Signal'!$B$7*'Small Signal'!$B$8),'Small Signal'!$B$59*'Small Signal'!$B$6*'Small Signal'!$B$51),IMSUM(IMSUM(IMPRODUCT(M16,('Small Signal'!$B$5+'Small Signal'!$B$6)*('Small Signal'!$B$58*'Small Signal'!$B$59)+'Small Signal'!$B$5*'Small Signal'!$B$59*('Small Signal'!$B$8+'Small Signal'!$B$9)+'Small Signal'!$B$6*'Small Signal'!$B$59*('Small Signal'!$B$8+'Small Signal'!$B$9)+'Small Signal'!$B$7*'Small Signal'!$B$8*('Small Signal'!$B$5+'Small Signal'!$B$6)),'Small Signal'!$B$6+'Small Signal'!$B$5),IMPRODUCT(IMPOWER(M16,2),'Small Signal'!$B$58*'Small Signal'!$B$59*'Small Signal'!$B$8*'Small Signal'!$B$7*('Small Signal'!$B$5+'Small Signal'!$B$6)+('Small Signal'!$B$5+'Small Signal'!$B$6)*('Small Signal'!$B$9*'Small Signal'!$B$8*'Small Signal'!$B$59*'Small Signal'!$B$7)))),-1)</f>
        <v>-323.525049504816+55.1415518062901i</v>
      </c>
      <c r="X16" s="292">
        <f t="shared" si="3"/>
        <v>0</v>
      </c>
      <c r="Y16" s="292">
        <f t="shared" si="4"/>
        <v>0</v>
      </c>
      <c r="Z16" s="292" t="str">
        <f t="shared" si="5"/>
        <v>1.00000000011011+0.0000148518308014518i</v>
      </c>
      <c r="AA16" s="292" t="str">
        <f t="shared" si="19"/>
        <v>-2708.05746392331+464.452517587809i</v>
      </c>
      <c r="AB16" s="289">
        <f t="shared" si="20"/>
        <v>68.779061875265825</v>
      </c>
      <c r="AC16" s="292">
        <f t="shared" si="21"/>
        <v>170.26802110111765</v>
      </c>
      <c r="AD16" s="292" t="str">
        <f t="shared" si="22"/>
        <v>-1734.30325790036+297.18464955546i</v>
      </c>
      <c r="AE16" s="289">
        <f t="shared" si="23"/>
        <v>64.908186974447972</v>
      </c>
      <c r="AF16" s="292">
        <f t="shared" si="6"/>
        <v>170.27641652102216</v>
      </c>
      <c r="AH16" s="292" t="str">
        <f t="shared" si="7"/>
        <v>0.00075-514.623420169964i</v>
      </c>
      <c r="AI16" s="292">
        <f t="shared" si="8"/>
        <v>0.95</v>
      </c>
      <c r="AJ16" s="292" t="str">
        <f t="shared" si="9"/>
        <v>1000-54344233169.9483i</v>
      </c>
      <c r="AK16" s="292" t="str">
        <f t="shared" si="10"/>
        <v>0.949996760089767-0.00175370356814241i</v>
      </c>
      <c r="AL16" s="292" t="str">
        <f t="shared" si="24"/>
        <v>1.18810560440214-1.44779882400015E-06i</v>
      </c>
      <c r="AM16" s="292" t="str">
        <f t="shared" si="11"/>
        <v>0.019+0.0000404826762964901i</v>
      </c>
      <c r="AN16" s="292" t="str">
        <f t="shared" si="25"/>
        <v>8.37195256017468-0.00881007895105822i</v>
      </c>
      <c r="AO16" s="292">
        <f t="shared" si="26"/>
        <v>18.456539984108552</v>
      </c>
      <c r="AP16" s="292">
        <f t="shared" si="27"/>
        <v>-6.0294196737582816E-2</v>
      </c>
      <c r="AR16" s="292" t="str">
        <f t="shared" si="12"/>
        <v>1.18810560440214-1.44779882400015E-06i</v>
      </c>
      <c r="AS16" s="292" t="str">
        <f t="shared" si="28"/>
        <v>8.37195256017468-0.00881007895105822i</v>
      </c>
      <c r="AT16" s="292">
        <f t="shared" si="29"/>
        <v>18.456539984108552</v>
      </c>
      <c r="AU16" s="292">
        <f t="shared" si="30"/>
        <v>-6.0294196737582816E-2</v>
      </c>
    </row>
    <row r="17" spans="1:47" x14ac:dyDescent="0.25">
      <c r="A17" s="301" t="s">
        <v>442</v>
      </c>
      <c r="B17" s="302">
        <f t="shared" si="31"/>
        <v>1000</v>
      </c>
      <c r="C17" s="310">
        <f>ESR_bulk_eff_Ohm</f>
        <v>1000</v>
      </c>
      <c r="D17" s="304" t="s">
        <v>389</v>
      </c>
      <c r="E17" s="214" t="b">
        <f t="shared" si="13"/>
        <v>1</v>
      </c>
      <c r="F17" s="292">
        <v>15</v>
      </c>
      <c r="G17" s="293">
        <f t="shared" si="0"/>
        <v>168.57982083585182</v>
      </c>
      <c r="H17" s="293">
        <f t="shared" si="1"/>
        <v>168.57881372500071</v>
      </c>
      <c r="I17" s="294">
        <f t="shared" si="2"/>
        <v>1</v>
      </c>
      <c r="J17" s="292">
        <f t="shared" si="14"/>
        <v>1</v>
      </c>
      <c r="K17" s="292">
        <f t="shared" si="14"/>
        <v>1</v>
      </c>
      <c r="L17" s="292">
        <f>10^('Small Signal'!F17/30)</f>
        <v>3.1622776601683795</v>
      </c>
      <c r="M17" s="292" t="str">
        <f t="shared" si="15"/>
        <v>19.8691765315922i</v>
      </c>
      <c r="N17" s="292">
        <f>IF(D$32=1, IF(AND('Small Signal'!$B$63&gt;=1,FCCM=0),U17+0,R17+0), 0)</f>
        <v>0</v>
      </c>
      <c r="O17" s="292">
        <f>IF(D$32=1, IF(AND('Small Signal'!$B$63&gt;=1,FCCM=0),V17,S17), 0)</f>
        <v>0</v>
      </c>
      <c r="P17" s="292">
        <f>IF(AND('Small Signal'!$B$63&gt;=1,FCCM=0),AE17+0,AB17+0)</f>
        <v>68.758589820654151</v>
      </c>
      <c r="Q17" s="292">
        <f>IF(AND('Small Signal'!$B$63&gt;=1,FCCM=0),AF17,AC17)</f>
        <v>169.50818971997654</v>
      </c>
      <c r="R17" s="292">
        <f t="shared" si="16"/>
        <v>18.456539233979953</v>
      </c>
      <c r="S17" s="292">
        <f t="shared" si="16"/>
        <v>-6.510417244093715E-2</v>
      </c>
      <c r="T17" s="292" t="str">
        <f>IMDIV(IMSUM('Small Signal'!$B$76,IMPRODUCT(M17,'Small Signal'!$B$77)),IMSUM(IMPRODUCT('Small Signal'!$B$80,IMPOWER(M17,2)),IMSUM(IMPRODUCT(M17,'Small Signal'!$B$79),'Small Signal'!$B$78)))</f>
        <v>5.36145948337309-0.00515787876484292i</v>
      </c>
      <c r="U17" s="292">
        <f t="shared" si="17"/>
        <v>14.585664586737932</v>
      </c>
      <c r="V17" s="292">
        <f t="shared" si="18"/>
        <v>-5.5120176551340029E-2</v>
      </c>
      <c r="W17" s="292" t="str">
        <f>IMPRODUCT(IMDIV(IMSUM(IMPRODUCT(M17,'Small Signal'!$B$59*'Small Signal'!$B$6*'Small Signal'!$B$51*'Small Signal'!$B$7*'Small Signal'!$B$8),'Small Signal'!$B$59*'Small Signal'!$B$6*'Small Signal'!$B$51),IMSUM(IMSUM(IMPRODUCT(M17,('Small Signal'!$B$5+'Small Signal'!$B$6)*('Small Signal'!$B$58*'Small Signal'!$B$59)+'Small Signal'!$B$5*'Small Signal'!$B$59*('Small Signal'!$B$8+'Small Signal'!$B$9)+'Small Signal'!$B$6*'Small Signal'!$B$59*('Small Signal'!$B$8+'Small Signal'!$B$9)+'Small Signal'!$B$7*'Small Signal'!$B$8*('Small Signal'!$B$5+'Small Signal'!$B$6)),'Small Signal'!$B$6+'Small Signal'!$B$5),IMPRODUCT(IMPOWER(M17,2),'Small Signal'!$B$58*'Small Signal'!$B$59*'Small Signal'!$B$8*'Small Signal'!$B$7*('Small Signal'!$B$5+'Small Signal'!$B$6)+('Small Signal'!$B$5+'Small Signal'!$B$6)*('Small Signal'!$B$9*'Small Signal'!$B$8*'Small Signal'!$B$59*'Small Signal'!$B$7)))),-1)</f>
        <v>-322.010452655191+59.2604774713984i</v>
      </c>
      <c r="X17" s="292">
        <f t="shared" si="3"/>
        <v>0</v>
      </c>
      <c r="Y17" s="292">
        <f t="shared" si="4"/>
        <v>0</v>
      </c>
      <c r="Z17" s="292" t="str">
        <f t="shared" si="5"/>
        <v>1.00000000012837+0.000016036638014355i</v>
      </c>
      <c r="AA17" s="292" t="str">
        <f t="shared" si="19"/>
        <v>-2695.30001952969+499.145848433969i</v>
      </c>
      <c r="AB17" s="289">
        <f t="shared" si="20"/>
        <v>68.758589820654151</v>
      </c>
      <c r="AC17" s="292">
        <f t="shared" si="21"/>
        <v>169.50818971997654</v>
      </c>
      <c r="AD17" s="292" t="str">
        <f t="shared" si="22"/>
        <v>-1726.14033677509+319.383539804054i</v>
      </c>
      <c r="AE17" s="289">
        <f t="shared" si="23"/>
        <v>64.887715171180247</v>
      </c>
      <c r="AF17" s="292">
        <f t="shared" si="6"/>
        <v>169.51725488419055</v>
      </c>
      <c r="AH17" s="292" t="str">
        <f t="shared" si="7"/>
        <v>0.00075-476.602387353096i</v>
      </c>
      <c r="AI17" s="292">
        <f t="shared" si="8"/>
        <v>0.95</v>
      </c>
      <c r="AJ17" s="292" t="str">
        <f t="shared" si="9"/>
        <v>1000-50329212104.487i</v>
      </c>
      <c r="AK17" s="292" t="str">
        <f t="shared" si="10"/>
        <v>0.949996222544139-0.00189360448264305i</v>
      </c>
      <c r="AL17" s="292" t="str">
        <f t="shared" si="24"/>
        <v>1.18810560440185-1.56329721020225E-06i</v>
      </c>
      <c r="AM17" s="292" t="str">
        <f t="shared" si="11"/>
        <v>0.019+0.0000437121883695028i</v>
      </c>
      <c r="AN17" s="292" t="str">
        <f t="shared" si="25"/>
        <v>8.37195106805194-0.00951290278640613i</v>
      </c>
      <c r="AO17" s="292">
        <f t="shared" si="26"/>
        <v>18.456539233979953</v>
      </c>
      <c r="AP17" s="292">
        <f t="shared" si="27"/>
        <v>-6.510417244093715E-2</v>
      </c>
      <c r="AR17" s="292" t="str">
        <f t="shared" si="12"/>
        <v>1.18810560440185-1.56329721020225E-06i</v>
      </c>
      <c r="AS17" s="292" t="str">
        <f t="shared" si="28"/>
        <v>8.37195106805194-0.00951290278640613i</v>
      </c>
      <c r="AT17" s="292">
        <f t="shared" si="29"/>
        <v>18.456539233979953</v>
      </c>
      <c r="AU17" s="292">
        <f t="shared" si="30"/>
        <v>-6.510417244093715E-2</v>
      </c>
    </row>
    <row r="18" spans="1:47" ht="12.75" x14ac:dyDescent="0.2">
      <c r="F18" s="292">
        <v>16</v>
      </c>
      <c r="G18" s="293">
        <f t="shared" si="0"/>
        <v>168.57990117828342</v>
      </c>
      <c r="H18" s="293">
        <f t="shared" si="1"/>
        <v>168.57881372500071</v>
      </c>
      <c r="I18" s="294">
        <f t="shared" si="2"/>
        <v>1</v>
      </c>
      <c r="J18" s="292">
        <f t="shared" si="14"/>
        <v>1</v>
      </c>
      <c r="K18" s="292">
        <f t="shared" si="14"/>
        <v>1</v>
      </c>
      <c r="L18" s="292">
        <f>10^('Small Signal'!F18/30)</f>
        <v>3.4145488738336023</v>
      </c>
      <c r="M18" s="292" t="str">
        <f t="shared" si="15"/>
        <v>21.4542433147179i</v>
      </c>
      <c r="N18" s="292">
        <f>IF(D$32=1, IF(AND('Small Signal'!$B$63&gt;=1,FCCM=0),U18+0,R18+0), 0)</f>
        <v>0</v>
      </c>
      <c r="O18" s="292">
        <f>IF(D$32=1, IF(AND('Small Signal'!$B$63&gt;=1,FCCM=0),V18,S18), 0)</f>
        <v>0</v>
      </c>
      <c r="P18" s="292">
        <f>IF(AND('Small Signal'!$B$63&gt;=1,FCCM=0),AE18+0,AB18+0)</f>
        <v>68.73484236648919</v>
      </c>
      <c r="Q18" s="292">
        <f>IF(AND('Small Signal'!$B$63&gt;=1,FCCM=0),AF18,AC18)</f>
        <v>168.69189792586207</v>
      </c>
      <c r="R18" s="292">
        <f t="shared" si="16"/>
        <v>18.45653835939444</v>
      </c>
      <c r="S18" s="292">
        <f t="shared" si="16"/>
        <v>-7.0297863797229479E-2</v>
      </c>
      <c r="T18" s="292" t="str">
        <f>IMDIV(IMSUM('Small Signal'!$B$76,IMPRODUCT(M18,'Small Signal'!$B$77)),IMSUM(IMPRODUCT('Small Signal'!$B$80,IMPOWER(M18,2)),IMSUM(IMPRODUCT(M18,'Small Signal'!$B$79),'Small Signal'!$B$78)))</f>
        <v>5.3614587130041-0.00556934863537832i</v>
      </c>
      <c r="U18" s="292">
        <f t="shared" si="17"/>
        <v>14.585664005568015</v>
      </c>
      <c r="V18" s="292">
        <f t="shared" si="18"/>
        <v>-5.9517395125111561E-2</v>
      </c>
      <c r="W18" s="292" t="str">
        <f>IMPRODUCT(IMDIV(IMSUM(IMPRODUCT(M18,'Small Signal'!$B$59*'Small Signal'!$B$6*'Small Signal'!$B$51*'Small Signal'!$B$7*'Small Signal'!$B$8),'Small Signal'!$B$59*'Small Signal'!$B$6*'Small Signal'!$B$51),IMSUM(IMSUM(IMPRODUCT(M18,('Small Signal'!$B$5+'Small Signal'!$B$6)*('Small Signal'!$B$58*'Small Signal'!$B$59)+'Small Signal'!$B$5*'Small Signal'!$B$59*('Small Signal'!$B$8+'Small Signal'!$B$9)+'Small Signal'!$B$6*'Small Signal'!$B$59*('Small Signal'!$B$8+'Small Signal'!$B$9)+'Small Signal'!$B$7*'Small Signal'!$B$8*('Small Signal'!$B$5+'Small Signal'!$B$6)),'Small Signal'!$B$6+'Small Signal'!$B$5),IMPRODUCT(IMPOWER(M18,2),'Small Signal'!$B$58*'Small Signal'!$B$59*'Small Signal'!$B$8*'Small Signal'!$B$7*('Small Signal'!$B$5+'Small Signal'!$B$6)+('Small Signal'!$B$5+'Small Signal'!$B$6)*('Small Signal'!$B$9*'Small Signal'!$B$8*'Small Signal'!$B$59*'Small Signal'!$B$7)))),-1)</f>
        <v>-320.262451000627+63.6390626888211i</v>
      </c>
      <c r="X18" s="292">
        <f t="shared" si="3"/>
        <v>0</v>
      </c>
      <c r="Y18" s="292">
        <f t="shared" si="4"/>
        <v>0</v>
      </c>
      <c r="Z18" s="292" t="str">
        <f t="shared" si="5"/>
        <v>1.00000000014967+0.0000173159634149568i</v>
      </c>
      <c r="AA18" s="292" t="str">
        <f t="shared" si="19"/>
        <v>-2680.57660722389+536.02626155882i</v>
      </c>
      <c r="AB18" s="289">
        <f t="shared" si="20"/>
        <v>68.73484236648919</v>
      </c>
      <c r="AC18" s="292">
        <f t="shared" si="21"/>
        <v>168.69189792586207</v>
      </c>
      <c r="AD18" s="292" t="str">
        <f t="shared" si="22"/>
        <v>-1716.71948023842+342.981860384837i</v>
      </c>
      <c r="AE18" s="289">
        <f t="shared" si="23"/>
        <v>64.863968010060546</v>
      </c>
      <c r="AF18" s="292">
        <f t="shared" si="6"/>
        <v>168.7016862629126</v>
      </c>
      <c r="AH18" s="292" t="str">
        <f t="shared" si="7"/>
        <v>0.00075-441.390396798596i</v>
      </c>
      <c r="AI18" s="292">
        <f t="shared" si="8"/>
        <v>0.95</v>
      </c>
      <c r="AJ18" s="292" t="str">
        <f t="shared" si="9"/>
        <v>1000-46610825901.9318i</v>
      </c>
      <c r="AK18" s="292" t="str">
        <f t="shared" si="10"/>
        <v>0.949995595812724-0.00204466573765788i</v>
      </c>
      <c r="AL18" s="292" t="str">
        <f t="shared" si="24"/>
        <v>1.18810560440151-0.0000016880094989121i</v>
      </c>
      <c r="AM18" s="292" t="str">
        <f t="shared" si="11"/>
        <v>0.019+0.0000471993352923794i</v>
      </c>
      <c r="AN18" s="292" t="str">
        <f t="shared" si="25"/>
        <v>8.37194932836525-0.010271794081869i</v>
      </c>
      <c r="AO18" s="292">
        <f t="shared" si="26"/>
        <v>18.45653835939444</v>
      </c>
      <c r="AP18" s="292">
        <f t="shared" si="27"/>
        <v>-7.0297863797229479E-2</v>
      </c>
      <c r="AR18" s="292" t="str">
        <f t="shared" si="12"/>
        <v>1.18810560440151-0.0000016880094989121i</v>
      </c>
      <c r="AS18" s="292" t="str">
        <f t="shared" si="28"/>
        <v>8.37194932836525-0.010271794081869i</v>
      </c>
      <c r="AT18" s="292">
        <f t="shared" si="29"/>
        <v>18.45653835939444</v>
      </c>
      <c r="AU18" s="292">
        <f t="shared" si="30"/>
        <v>-7.0297863797229479E-2</v>
      </c>
    </row>
    <row r="19" spans="1:47" ht="12.75" x14ac:dyDescent="0.2">
      <c r="A19" s="311" t="s">
        <v>354</v>
      </c>
      <c r="C19" s="313">
        <f>VLOOKUP(0,J2:P212,3,FALSE)</f>
        <v>34145.488738336011</v>
      </c>
      <c r="D19" s="312" t="s">
        <v>395</v>
      </c>
      <c r="F19" s="292">
        <v>17</v>
      </c>
      <c r="G19" s="293">
        <f t="shared" si="0"/>
        <v>168.57998793004552</v>
      </c>
      <c r="H19" s="293">
        <f t="shared" si="1"/>
        <v>168.57881372500071</v>
      </c>
      <c r="I19" s="294">
        <f t="shared" si="2"/>
        <v>1</v>
      </c>
      <c r="J19" s="292">
        <f t="shared" si="14"/>
        <v>1</v>
      </c>
      <c r="K19" s="292">
        <f t="shared" si="14"/>
        <v>1</v>
      </c>
      <c r="L19" s="292">
        <f>10^('Small Signal'!F19/30)</f>
        <v>3.6869450645195756</v>
      </c>
      <c r="M19" s="292" t="str">
        <f t="shared" si="15"/>
        <v>23.1657590577677i</v>
      </c>
      <c r="N19" s="292">
        <f>IF(D$32=1, IF(AND('Small Signal'!$B$63&gt;=1,FCCM=0),U19+0,R19+0), 0)</f>
        <v>0</v>
      </c>
      <c r="O19" s="292">
        <f>IF(D$32=1, IF(AND('Small Signal'!$B$63&gt;=1,FCCM=0),V19,S19), 0)</f>
        <v>0</v>
      </c>
      <c r="P19" s="292">
        <f>IF(AND('Small Signal'!$B$63&gt;=1,FCCM=0),AE19+0,AB19+0)</f>
        <v>68.707317829241262</v>
      </c>
      <c r="Q19" s="292">
        <f>IF(AND('Small Signal'!$B$63&gt;=1,FCCM=0),AF19,AC19)</f>
        <v>167.8156602338108</v>
      </c>
      <c r="R19" s="292">
        <f t="shared" si="16"/>
        <v>18.456537339702738</v>
      </c>
      <c r="S19" s="292">
        <f t="shared" si="16"/>
        <v>-7.5905881541678349E-2</v>
      </c>
      <c r="T19" s="292" t="str">
        <f>IMDIV(IMSUM('Small Signal'!$B$76,IMPRODUCT(M19,'Small Signal'!$B$77)),IMSUM(IMPRODUCT('Small Signal'!$B$80,IMPOWER(M19,2)),IMSUM(IMPRODUCT(M19,'Small Signal'!$B$79),'Small Signal'!$B$78)))</f>
        <v>5.36145781482009-0.00601364338867863i</v>
      </c>
      <c r="U19" s="292">
        <f t="shared" si="17"/>
        <v>14.585663327973784</v>
      </c>
      <c r="V19" s="292">
        <f t="shared" si="18"/>
        <v>-6.4265401887920987E-2</v>
      </c>
      <c r="W19" s="292" t="str">
        <f>IMPRODUCT(IMDIV(IMSUM(IMPRODUCT(M19,'Small Signal'!$B$59*'Small Signal'!$B$6*'Small Signal'!$B$51*'Small Signal'!$B$7*'Small Signal'!$B$8),'Small Signal'!$B$59*'Small Signal'!$B$6*'Small Signal'!$B$51),IMSUM(IMSUM(IMPRODUCT(M19,('Small Signal'!$B$5+'Small Signal'!$B$6)*('Small Signal'!$B$58*'Small Signal'!$B$59)+'Small Signal'!$B$5*'Small Signal'!$B$59*('Small Signal'!$B$8+'Small Signal'!$B$9)+'Small Signal'!$B$6*'Small Signal'!$B$59*('Small Signal'!$B$8+'Small Signal'!$B$9)+'Small Signal'!$B$7*'Small Signal'!$B$8*('Small Signal'!$B$5+'Small Signal'!$B$6)),'Small Signal'!$B$6+'Small Signal'!$B$5),IMPRODUCT(IMPOWER(M19,2),'Small Signal'!$B$58*'Small Signal'!$B$59*'Small Signal'!$B$8*'Small Signal'!$B$7*('Small Signal'!$B$5+'Small Signal'!$B$6)+('Small Signal'!$B$5+'Small Signal'!$B$6)*('Small Signal'!$B$9*'Small Signal'!$B$8*'Small Signal'!$B$59*'Small Signal'!$B$7)))),-1)</f>
        <v>-318.248349311461+68.2817590955252i</v>
      </c>
      <c r="X19" s="292">
        <f t="shared" si="3"/>
        <v>0</v>
      </c>
      <c r="Y19" s="292">
        <f t="shared" si="4"/>
        <v>0</v>
      </c>
      <c r="Z19" s="292" t="str">
        <f t="shared" si="5"/>
        <v>1.00000000017451+0.0000186973472070139i</v>
      </c>
      <c r="AA19" s="292" t="str">
        <f t="shared" si="19"/>
        <v>-2663.61183519615+575.13125074089i</v>
      </c>
      <c r="AB19" s="289">
        <f t="shared" si="20"/>
        <v>68.707317829241262</v>
      </c>
      <c r="AC19" s="292">
        <f t="shared" si="21"/>
        <v>167.8156602338108</v>
      </c>
      <c r="AD19" s="292" t="str">
        <f t="shared" si="22"/>
        <v>-1705.86447732037+368.003602994161i</v>
      </c>
      <c r="AE19" s="289">
        <f t="shared" si="23"/>
        <v>64.836443814478258</v>
      </c>
      <c r="AF19" s="292">
        <f t="shared" si="6"/>
        <v>167.82622943438179</v>
      </c>
      <c r="AH19" s="292" t="str">
        <f t="shared" si="7"/>
        <v>0.00075-408.77991289138i</v>
      </c>
      <c r="AI19" s="292">
        <f t="shared" si="8"/>
        <v>0.95</v>
      </c>
      <c r="AJ19" s="292" t="str">
        <f t="shared" si="9"/>
        <v>1000-43167158801.3297i</v>
      </c>
      <c r="AK19" s="292" t="str">
        <f t="shared" si="10"/>
        <v>0.949994865098586-0.00220777757927319i</v>
      </c>
      <c r="AL19" s="292" t="str">
        <f t="shared" si="24"/>
        <v>1.18810560440111-1.82267073069793E-06i</v>
      </c>
      <c r="AM19" s="292" t="str">
        <f t="shared" si="11"/>
        <v>0.019+0.0000509646699270889i</v>
      </c>
      <c r="AN19" s="292" t="str">
        <f t="shared" si="25"/>
        <v>8.3719473000403-0.0110912255180225i</v>
      </c>
      <c r="AO19" s="292">
        <f t="shared" si="26"/>
        <v>18.456537339702738</v>
      </c>
      <c r="AP19" s="292">
        <f t="shared" si="27"/>
        <v>-7.5905881541678349E-2</v>
      </c>
      <c r="AR19" s="292" t="str">
        <f t="shared" si="12"/>
        <v>1.18810560440111-1.82267073069793E-06i</v>
      </c>
      <c r="AS19" s="292" t="str">
        <f t="shared" si="28"/>
        <v>8.3719473000403-0.0110912255180225i</v>
      </c>
      <c r="AT19" s="292">
        <f t="shared" si="29"/>
        <v>18.456537339702738</v>
      </c>
      <c r="AU19" s="292">
        <f t="shared" si="30"/>
        <v>-7.5905881541678349E-2</v>
      </c>
    </row>
    <row r="20" spans="1:47" ht="12.75" x14ac:dyDescent="0.2">
      <c r="A20" s="311" t="s">
        <v>443</v>
      </c>
      <c r="C20" s="314">
        <f>VLOOKUP(0,J2:Q212,8,FALSE)</f>
        <v>75.399718549967076</v>
      </c>
      <c r="D20" s="312" t="s">
        <v>444</v>
      </c>
      <c r="F20" s="292">
        <v>18</v>
      </c>
      <c r="G20" s="293">
        <f t="shared" si="0"/>
        <v>168.5800816024435</v>
      </c>
      <c r="H20" s="293">
        <f t="shared" si="1"/>
        <v>168.57881372500071</v>
      </c>
      <c r="I20" s="294">
        <f t="shared" si="2"/>
        <v>1</v>
      </c>
      <c r="J20" s="292">
        <f t="shared" si="14"/>
        <v>1</v>
      </c>
      <c r="K20" s="292">
        <f t="shared" si="14"/>
        <v>1</v>
      </c>
      <c r="L20" s="292">
        <f>10^('Small Signal'!F20/30)</f>
        <v>3.9810717055349727</v>
      </c>
      <c r="M20" s="292" t="str">
        <f t="shared" si="15"/>
        <v>25.0138112470457i</v>
      </c>
      <c r="N20" s="292">
        <f>IF(D$32=1, IF(AND('Small Signal'!$B$63&gt;=1,FCCM=0),U20+0,R20+0), 0)</f>
        <v>0</v>
      </c>
      <c r="O20" s="292">
        <f>IF(D$32=1, IF(AND('Small Signal'!$B$63&gt;=1,FCCM=0),V20,S20), 0)</f>
        <v>0</v>
      </c>
      <c r="P20" s="292">
        <f>IF(AND('Small Signal'!$B$63&gt;=1,FCCM=0),AE20+0,AB20+0)</f>
        <v>68.67544528795635</v>
      </c>
      <c r="Q20" s="292">
        <f>IF(AND('Small Signal'!$B$63&gt;=1,FCCM=0),AF20,AC20)</f>
        <v>166.87595156742623</v>
      </c>
      <c r="R20" s="292">
        <f t="shared" si="16"/>
        <v>18.456536150829866</v>
      </c>
      <c r="S20" s="292">
        <f t="shared" si="16"/>
        <v>-8.1961278322880249E-2</v>
      </c>
      <c r="T20" s="292" t="str">
        <f>IMDIV(IMSUM('Small Signal'!$B$76,IMPRODUCT(M20,'Small Signal'!$B$77)),IMSUM(IMPRODUCT('Small Signal'!$B$80,IMPOWER(M20,2)),IMSUM(IMPRODUCT(M20,'Small Signal'!$B$79),'Small Signal'!$B$78)))</f>
        <v>5.36145676761475-0.00649338158513516i</v>
      </c>
      <c r="U20" s="292">
        <f t="shared" si="17"/>
        <v>14.585662537957012</v>
      </c>
      <c r="V20" s="292">
        <f t="shared" si="18"/>
        <v>-6.9392180859691552E-2</v>
      </c>
      <c r="W20" s="292" t="str">
        <f>IMPRODUCT(IMDIV(IMSUM(IMPRODUCT(M20,'Small Signal'!$B$59*'Small Signal'!$B$6*'Small Signal'!$B$51*'Small Signal'!$B$7*'Small Signal'!$B$8),'Small Signal'!$B$59*'Small Signal'!$B$6*'Small Signal'!$B$51),IMSUM(IMSUM(IMPRODUCT(M20,('Small Signal'!$B$5+'Small Signal'!$B$6)*('Small Signal'!$B$58*'Small Signal'!$B$59)+'Small Signal'!$B$5*'Small Signal'!$B$59*('Small Signal'!$B$8+'Small Signal'!$B$9)+'Small Signal'!$B$6*'Small Signal'!$B$59*('Small Signal'!$B$8+'Small Signal'!$B$9)+'Small Signal'!$B$7*'Small Signal'!$B$8*('Small Signal'!$B$5+'Small Signal'!$B$6)),'Small Signal'!$B$6+'Small Signal'!$B$5),IMPRODUCT(IMPOWER(M20,2),'Small Signal'!$B$58*'Small Signal'!$B$59*'Small Signal'!$B$8*'Small Signal'!$B$7*('Small Signal'!$B$5+'Small Signal'!$B$6)+('Small Signal'!$B$5+'Small Signal'!$B$6)*('Small Signal'!$B$9*'Small Signal'!$B$8*'Small Signal'!$B$59*'Small Signal'!$B$7)))),-1)</f>
        <v>-315.931976526936+73.1898462631382i</v>
      </c>
      <c r="X20" s="292">
        <f t="shared" si="3"/>
        <v>0</v>
      </c>
      <c r="Y20" s="292">
        <f t="shared" si="4"/>
        <v>0</v>
      </c>
      <c r="Z20" s="292" t="str">
        <f t="shared" si="5"/>
        <v>1.00000000020346+0.0000201889311152592i</v>
      </c>
      <c r="AA20" s="292" t="str">
        <f t="shared" si="19"/>
        <v>-2644.10103472442+616.471591273671i</v>
      </c>
      <c r="AB20" s="289">
        <f t="shared" si="20"/>
        <v>68.67544528795635</v>
      </c>
      <c r="AC20" s="292">
        <f t="shared" si="21"/>
        <v>166.87595156742623</v>
      </c>
      <c r="AD20" s="292" t="str">
        <f t="shared" si="22"/>
        <v>-1693.3803840563+394.455663446721i</v>
      </c>
      <c r="AE20" s="289">
        <f t="shared" si="23"/>
        <v>64.8045716715461</v>
      </c>
      <c r="AF20" s="292">
        <f t="shared" si="6"/>
        <v>166.88736392434399</v>
      </c>
      <c r="AH20" s="292" t="str">
        <f t="shared" si="7"/>
        <v>0.00075-378.578733011563i</v>
      </c>
      <c r="AI20" s="292">
        <f t="shared" si="8"/>
        <v>0.95</v>
      </c>
      <c r="AJ20" s="292" t="str">
        <f t="shared" si="9"/>
        <v>1000-39977914206.0212i</v>
      </c>
      <c r="AK20" s="292" t="str">
        <f t="shared" si="10"/>
        <v>0.94999401314986-0.00238390125448756i</v>
      </c>
      <c r="AL20" s="292" t="str">
        <f t="shared" si="24"/>
        <v>1.18810560440065-1.96807458410854E-06i</v>
      </c>
      <c r="AM20" s="292" t="str">
        <f t="shared" si="11"/>
        <v>0.019+0.0000550303847435005i</v>
      </c>
      <c r="AN20" s="292" t="str">
        <f t="shared" si="25"/>
        <v>8.37194493518829-0.0119760265557393i</v>
      </c>
      <c r="AO20" s="292">
        <f t="shared" si="26"/>
        <v>18.456536150829866</v>
      </c>
      <c r="AP20" s="292">
        <f t="shared" si="27"/>
        <v>-8.1961278322880249E-2</v>
      </c>
      <c r="AR20" s="292" t="str">
        <f t="shared" si="12"/>
        <v>1.18810560440065-1.96807458410854E-06i</v>
      </c>
      <c r="AS20" s="292" t="str">
        <f t="shared" si="28"/>
        <v>8.37194493518829-0.0119760265557393i</v>
      </c>
      <c r="AT20" s="292">
        <f t="shared" si="29"/>
        <v>18.456536150829866</v>
      </c>
      <c r="AU20" s="292">
        <f t="shared" si="30"/>
        <v>-8.1961278322880249E-2</v>
      </c>
    </row>
    <row r="21" spans="1:47" ht="12.75" x14ac:dyDescent="0.2">
      <c r="A21" s="311" t="s">
        <v>445</v>
      </c>
      <c r="C21" s="314">
        <f>VLOOKUP(0,K2:Q212,6,FALSE)</f>
        <v>-36.302272028828156</v>
      </c>
      <c r="D21" s="312" t="s">
        <v>446</v>
      </c>
      <c r="F21" s="292">
        <v>19</v>
      </c>
      <c r="G21" s="293">
        <f t="shared" si="0"/>
        <v>168.58018274757228</v>
      </c>
      <c r="H21" s="293">
        <f t="shared" si="1"/>
        <v>168.57881372500071</v>
      </c>
      <c r="I21" s="294">
        <f t="shared" si="2"/>
        <v>1</v>
      </c>
      <c r="J21" s="292">
        <f t="shared" si="14"/>
        <v>1</v>
      </c>
      <c r="K21" s="292">
        <f t="shared" si="14"/>
        <v>1</v>
      </c>
      <c r="L21" s="292">
        <f>10^('Small Signal'!F21/30)</f>
        <v>4.2986623470822769</v>
      </c>
      <c r="M21" s="292" t="str">
        <f t="shared" si="15"/>
        <v>27.0092920997135i</v>
      </c>
      <c r="N21" s="292">
        <f>IF(D$32=1, IF(AND('Small Signal'!$B$63&gt;=1,FCCM=0),U21+0,R21+0), 0)</f>
        <v>0</v>
      </c>
      <c r="O21" s="292">
        <f>IF(D$32=1, IF(AND('Small Signal'!$B$63&gt;=1,FCCM=0),V21,S21), 0)</f>
        <v>0</v>
      </c>
      <c r="P21" s="292">
        <f>IF(AND('Small Signal'!$B$63&gt;=1,FCCM=0),AE21+0,AB21+0)</f>
        <v>68.638577580298517</v>
      </c>
      <c r="Q21" s="292">
        <f>IF(AND('Small Signal'!$B$63&gt;=1,FCCM=0),AF21,AC21)</f>
        <v>165.86925500759571</v>
      </c>
      <c r="R21" s="292">
        <f t="shared" si="16"/>
        <v>18.456534764706294</v>
      </c>
      <c r="S21" s="292">
        <f t="shared" si="16"/>
        <v>-8.8499743490537783E-2</v>
      </c>
      <c r="T21" s="292" t="str">
        <f>IMDIV(IMSUM('Small Signal'!$B$76,IMPRODUCT(M21,'Small Signal'!$B$77)),IMSUM(IMPRODUCT('Small Signal'!$B$80,IMPOWER(M21,2)),IMSUM(IMPRODUCT(M21,'Small Signal'!$B$79),'Small Signal'!$B$78)))</f>
        <v>5.36145554666344-0.00701139066828398i</v>
      </c>
      <c r="U21" s="292">
        <f t="shared" si="17"/>
        <v>14.585661616865258</v>
      </c>
      <c r="V21" s="292">
        <f t="shared" si="18"/>
        <v>-7.492794844740934E-2</v>
      </c>
      <c r="W21" s="292" t="str">
        <f>IMPRODUCT(IMDIV(IMSUM(IMPRODUCT(M21,'Small Signal'!$B$59*'Small Signal'!$B$6*'Small Signal'!$B$51*'Small Signal'!$B$7*'Small Signal'!$B$8),'Small Signal'!$B$59*'Small Signal'!$B$6*'Small Signal'!$B$51),IMSUM(IMSUM(IMPRODUCT(M21,('Small Signal'!$B$5+'Small Signal'!$B$6)*('Small Signal'!$B$58*'Small Signal'!$B$59)+'Small Signal'!$B$5*'Small Signal'!$B$59*('Small Signal'!$B$8+'Small Signal'!$B$9)+'Small Signal'!$B$6*'Small Signal'!$B$59*('Small Signal'!$B$8+'Small Signal'!$B$9)+'Small Signal'!$B$7*'Small Signal'!$B$8*('Small Signal'!$B$5+'Small Signal'!$B$6)),'Small Signal'!$B$6+'Small Signal'!$B$5),IMPRODUCT(IMPOWER(M21,2),'Small Signal'!$B$58*'Small Signal'!$B$59*'Small Signal'!$B$8*'Small Signal'!$B$7*('Small Signal'!$B$5+'Small Signal'!$B$6)+('Small Signal'!$B$5+'Small Signal'!$B$6)*('Small Signal'!$B$9*'Small Signal'!$B$8*'Small Signal'!$B$59*'Small Signal'!$B$7)))),-1)</f>
        <v>-313.273693529952+78.3605474154773i</v>
      </c>
      <c r="X21" s="292">
        <f t="shared" si="3"/>
        <v>0</v>
      </c>
      <c r="Y21" s="292">
        <f t="shared" si="4"/>
        <v>0</v>
      </c>
      <c r="Z21" s="292" t="str">
        <f t="shared" si="5"/>
        <v>1.00000000023722+0.0000217995063718346i</v>
      </c>
      <c r="AA21" s="292" t="str">
        <f t="shared" si="19"/>
        <v>-2621.71032566159+660.023891641824i</v>
      </c>
      <c r="AB21" s="289">
        <f t="shared" si="20"/>
        <v>68.638577580298517</v>
      </c>
      <c r="AC21" s="292">
        <f t="shared" si="21"/>
        <v>165.86925500759571</v>
      </c>
      <c r="AD21" s="292" t="str">
        <f t="shared" si="22"/>
        <v>-1679.05356538899+422.323075831729i</v>
      </c>
      <c r="AE21" s="289">
        <f t="shared" si="23"/>
        <v>64.767704428333147</v>
      </c>
      <c r="AF21" s="292">
        <f t="shared" si="6"/>
        <v>165.8815777829287</v>
      </c>
      <c r="AH21" s="292" t="str">
        <f t="shared" si="7"/>
        <v>0.00075-350.608854713279i</v>
      </c>
      <c r="AI21" s="292">
        <f t="shared" si="8"/>
        <v>0.95</v>
      </c>
      <c r="AJ21" s="292" t="str">
        <f t="shared" si="9"/>
        <v>1000-37024295057.7223i</v>
      </c>
      <c r="AK21" s="292" t="str">
        <f t="shared" si="10"/>
        <v>0.949993019852515-0.00257407467050186i</v>
      </c>
      <c r="AL21" s="292" t="str">
        <f t="shared" si="24"/>
        <v>1.18810560440011-2.12507805352788E-06i</v>
      </c>
      <c r="AM21" s="292" t="str">
        <f t="shared" si="11"/>
        <v>0.019+0.0000594204426193697i</v>
      </c>
      <c r="AN21" s="292" t="str">
        <f t="shared" si="25"/>
        <v>8.37194217797493-0.01293141189101i</v>
      </c>
      <c r="AO21" s="292">
        <f t="shared" si="26"/>
        <v>18.456534764706294</v>
      </c>
      <c r="AP21" s="292">
        <f t="shared" si="27"/>
        <v>-8.8499743490537783E-2</v>
      </c>
      <c r="AR21" s="292" t="str">
        <f t="shared" si="12"/>
        <v>1.18810560440011-2.12507805352788E-06i</v>
      </c>
      <c r="AS21" s="292" t="str">
        <f t="shared" si="28"/>
        <v>8.37194217797493-0.01293141189101i</v>
      </c>
      <c r="AT21" s="292">
        <f t="shared" si="29"/>
        <v>18.456534764706294</v>
      </c>
      <c r="AU21" s="292">
        <f t="shared" si="30"/>
        <v>-8.8499743490537783E-2</v>
      </c>
    </row>
    <row r="22" spans="1:47" ht="12.75" x14ac:dyDescent="0.2">
      <c r="F22" s="292">
        <v>20</v>
      </c>
      <c r="G22" s="293">
        <f t="shared" si="0"/>
        <v>168.58029196157008</v>
      </c>
      <c r="H22" s="293">
        <f t="shared" si="1"/>
        <v>168.57881372500071</v>
      </c>
      <c r="I22" s="294">
        <f t="shared" si="2"/>
        <v>1</v>
      </c>
      <c r="J22" s="292">
        <f t="shared" si="14"/>
        <v>1</v>
      </c>
      <c r="K22" s="292">
        <f t="shared" si="14"/>
        <v>1</v>
      </c>
      <c r="L22" s="292">
        <f>10^('Small Signal'!F22/30)</f>
        <v>4.6415888336127793</v>
      </c>
      <c r="M22" s="292" t="str">
        <f t="shared" si="15"/>
        <v>29.1639627613246i</v>
      </c>
      <c r="N22" s="292">
        <f>IF(D$32=1, IF(AND('Small Signal'!$B$63&gt;=1,FCCM=0),U22+0,R22+0), 0)</f>
        <v>0</v>
      </c>
      <c r="O22" s="292">
        <f>IF(D$32=1, IF(AND('Small Signal'!$B$63&gt;=1,FCCM=0),V22,S22), 0)</f>
        <v>0</v>
      </c>
      <c r="P22" s="292">
        <f>IF(AND('Small Signal'!$B$63&gt;=1,FCCM=0),AE22+0,AB22+0)</f>
        <v>68.595984459558281</v>
      </c>
      <c r="Q22" s="292">
        <f>IF(AND('Small Signal'!$B$63&gt;=1,FCCM=0),AF22,AC22)</f>
        <v>164.79212210883742</v>
      </c>
      <c r="R22" s="292">
        <f t="shared" si="16"/>
        <v>18.456533148605377</v>
      </c>
      <c r="S22" s="292">
        <f t="shared" si="16"/>
        <v>-9.5559813418181899E-2</v>
      </c>
      <c r="T22" s="292" t="str">
        <f>IMDIV(IMSUM('Small Signal'!$B$76,IMPRODUCT(M22,'Small Signal'!$B$77)),IMSUM(IMPRODUCT('Small Signal'!$B$80,IMPOWER(M22,2)),IMSUM(IMPRODUCT(M22,'Small Signal'!$B$79),'Small Signal'!$B$78)))</f>
        <v>5.36145412313939-0.0075707236251429i</v>
      </c>
      <c r="U22" s="292">
        <f t="shared" si="17"/>
        <v>14.585660542951382</v>
      </c>
      <c r="V22" s="292">
        <f t="shared" si="18"/>
        <v>-8.0905331523111204E-2</v>
      </c>
      <c r="W22" s="292" t="str">
        <f>IMPRODUCT(IMDIV(IMSUM(IMPRODUCT(M22,'Small Signal'!$B$59*'Small Signal'!$B$6*'Small Signal'!$B$51*'Small Signal'!$B$7*'Small Signal'!$B$8),'Small Signal'!$B$59*'Small Signal'!$B$6*'Small Signal'!$B$51),IMSUM(IMSUM(IMPRODUCT(M22,('Small Signal'!$B$5+'Small Signal'!$B$6)*('Small Signal'!$B$58*'Small Signal'!$B$59)+'Small Signal'!$B$5*'Small Signal'!$B$59*('Small Signal'!$B$8+'Small Signal'!$B$9)+'Small Signal'!$B$6*'Small Signal'!$B$59*('Small Signal'!$B$8+'Small Signal'!$B$9)+'Small Signal'!$B$7*'Small Signal'!$B$8*('Small Signal'!$B$5+'Small Signal'!$B$6)),'Small Signal'!$B$6+'Small Signal'!$B$5),IMPRODUCT(IMPOWER(M22,2),'Small Signal'!$B$58*'Small Signal'!$B$59*'Small Signal'!$B$8*'Small Signal'!$B$7*('Small Signal'!$B$5+'Small Signal'!$B$6)+('Small Signal'!$B$5+'Small Signal'!$B$6)*('Small Signal'!$B$9*'Small Signal'!$B$8*'Small Signal'!$B$59*'Small Signal'!$B$7)))),-1)</f>
        <v>-310.230553514377+83.7860191876581i</v>
      </c>
      <c r="X22" s="292">
        <f t="shared" si="3"/>
        <v>0</v>
      </c>
      <c r="Y22" s="292">
        <f t="shared" si="4"/>
        <v>0</v>
      </c>
      <c r="Z22" s="292" t="str">
        <f t="shared" si="5"/>
        <v>1.00000000027657+0.0000235385655308492i</v>
      </c>
      <c r="AA22" s="292" t="str">
        <f t="shared" si="19"/>
        <v>-2596.07796720952+705.722084248723i</v>
      </c>
      <c r="AB22" s="289">
        <f t="shared" si="20"/>
        <v>68.595984459558281</v>
      </c>
      <c r="AC22" s="292">
        <f t="shared" si="21"/>
        <v>164.79212210883742</v>
      </c>
      <c r="AD22" s="292" t="str">
        <f t="shared" si="22"/>
        <v>-1662.65255946855+451.563567815838i</v>
      </c>
      <c r="AE22" s="289">
        <f t="shared" si="23"/>
        <v>64.725111849095754</v>
      </c>
      <c r="AF22" s="292">
        <f t="shared" si="6"/>
        <v>164.80542793027237</v>
      </c>
      <c r="AH22" s="292" t="str">
        <f t="shared" si="7"/>
        <v>0.00075-324.705426597756i</v>
      </c>
      <c r="AI22" s="292">
        <f t="shared" si="8"/>
        <v>0.95</v>
      </c>
      <c r="AJ22" s="292" t="str">
        <f t="shared" si="9"/>
        <v>1000-34288893048.723i</v>
      </c>
      <c r="AK22" s="292" t="str">
        <f t="shared" si="10"/>
        <v>0.949991861755451-0.00277941850423192i</v>
      </c>
      <c r="AL22" s="292" t="str">
        <f t="shared" si="24"/>
        <v>1.18810560439947-2.29460650020589E-06i</v>
      </c>
      <c r="AM22" s="292" t="str">
        <f t="shared" si="11"/>
        <v>0.019+0.0000641607180749141i</v>
      </c>
      <c r="AN22" s="292" t="str">
        <f t="shared" si="25"/>
        <v>8.37193896330235-0.0139630121778397i</v>
      </c>
      <c r="AO22" s="292">
        <f t="shared" si="26"/>
        <v>18.456533148605377</v>
      </c>
      <c r="AP22" s="292">
        <f t="shared" si="27"/>
        <v>-9.5559813418181899E-2</v>
      </c>
      <c r="AR22" s="292" t="str">
        <f t="shared" si="12"/>
        <v>1.18810560439947-2.29460650020589E-06i</v>
      </c>
      <c r="AS22" s="292" t="str">
        <f t="shared" si="28"/>
        <v>8.37193896330235-0.0139630121778397i</v>
      </c>
      <c r="AT22" s="292">
        <f t="shared" si="29"/>
        <v>18.456533148605377</v>
      </c>
      <c r="AU22" s="292">
        <f t="shared" si="30"/>
        <v>-9.5559813418181899E-2</v>
      </c>
    </row>
    <row r="23" spans="1:47" ht="12.75" x14ac:dyDescent="0.2">
      <c r="A23" s="311" t="s">
        <v>349</v>
      </c>
      <c r="C23" s="308">
        <f>(B4)/(2*PI()*B3*B14)</f>
        <v>1586.4727182206475</v>
      </c>
      <c r="D23" s="312" t="s">
        <v>395</v>
      </c>
      <c r="F23" s="292">
        <v>21</v>
      </c>
      <c r="G23" s="293">
        <f t="shared" si="0"/>
        <v>168.58040988813224</v>
      </c>
      <c r="H23" s="293">
        <f t="shared" si="1"/>
        <v>168.57881372500071</v>
      </c>
      <c r="I23" s="294">
        <f t="shared" si="2"/>
        <v>1</v>
      </c>
      <c r="J23" s="292">
        <f t="shared" si="14"/>
        <v>1</v>
      </c>
      <c r="K23" s="292">
        <f t="shared" si="14"/>
        <v>1</v>
      </c>
      <c r="L23" s="292">
        <f>10^('Small Signal'!F23/30)</f>
        <v>5.0118723362727229</v>
      </c>
      <c r="M23" s="292" t="str">
        <f t="shared" si="15"/>
        <v>31.4905226247286i</v>
      </c>
      <c r="N23" s="292">
        <f>IF(D$32=1, IF(AND('Small Signal'!$B$63&gt;=1,FCCM=0),U23+0,R23+0), 0)</f>
        <v>0</v>
      </c>
      <c r="O23" s="292">
        <f>IF(D$32=1, IF(AND('Small Signal'!$B$63&gt;=1,FCCM=0),V23,S23), 0)</f>
        <v>0</v>
      </c>
      <c r="P23" s="292">
        <f>IF(AND('Small Signal'!$B$63&gt;=1,FCCM=0),AE23+0,AB23+0)</f>
        <v>68.546846270499685</v>
      </c>
      <c r="Q23" s="292">
        <f>IF(AND('Small Signal'!$B$63&gt;=1,FCCM=0),AF23,AC23)</f>
        <v>163.6412473903907</v>
      </c>
      <c r="R23" s="292">
        <f t="shared" si="16"/>
        <v>18.456531264370785</v>
      </c>
      <c r="S23" s="292">
        <f t="shared" si="16"/>
        <v>-0.10318309859911784</v>
      </c>
      <c r="T23" s="292" t="str">
        <f>IMDIV(IMSUM('Small Signal'!$B$76,IMPRODUCT(M23,'Small Signal'!$B$77)),IMSUM(IMPRODUCT('Small Signal'!$B$80,IMPOWER(M23,2)),IMSUM(IMPRODUCT(M23,'Small Signal'!$B$79),'Small Signal'!$B$78)))</f>
        <v>5.36145246343307-0.00817467697476316i</v>
      </c>
      <c r="U23" s="292">
        <f t="shared" si="17"/>
        <v>14.58565929086004</v>
      </c>
      <c r="V23" s="292">
        <f t="shared" si="18"/>
        <v>-8.7359559705221482E-2</v>
      </c>
      <c r="W23" s="292" t="str">
        <f>IMPRODUCT(IMDIV(IMSUM(IMPRODUCT(M23,'Small Signal'!$B$59*'Small Signal'!$B$6*'Small Signal'!$B$51*'Small Signal'!$B$7*'Small Signal'!$B$8),'Small Signal'!$B$59*'Small Signal'!$B$6*'Small Signal'!$B$51),IMSUM(IMSUM(IMPRODUCT(M23,('Small Signal'!$B$5+'Small Signal'!$B$6)*('Small Signal'!$B$58*'Small Signal'!$B$59)+'Small Signal'!$B$5*'Small Signal'!$B$59*('Small Signal'!$B$8+'Small Signal'!$B$9)+'Small Signal'!$B$6*'Small Signal'!$B$59*('Small Signal'!$B$8+'Small Signal'!$B$9)+'Small Signal'!$B$7*'Small Signal'!$B$8*('Small Signal'!$B$5+'Small Signal'!$B$6)),'Small Signal'!$B$6+'Small Signal'!$B$5),IMPRODUCT(IMPOWER(M23,2),'Small Signal'!$B$58*'Small Signal'!$B$59*'Small Signal'!$B$8*'Small Signal'!$B$7*('Small Signal'!$B$5+'Small Signal'!$B$6)+('Small Signal'!$B$5+'Small Signal'!$B$6)*('Small Signal'!$B$9*'Small Signal'!$B$8*'Small Signal'!$B$59*'Small Signal'!$B$7)))),-1)</f>
        <v>-306.756666966901+89.4522271554967i</v>
      </c>
      <c r="X23" s="292">
        <f t="shared" si="3"/>
        <v>0</v>
      </c>
      <c r="Y23" s="292">
        <f t="shared" si="4"/>
        <v>0</v>
      </c>
      <c r="Z23" s="292" t="str">
        <f t="shared" si="5"/>
        <v>1.00000000032246+0.000025416358416452i</v>
      </c>
      <c r="AA23" s="292" t="str">
        <f t="shared" si="19"/>
        <v>-2566.81743216119+753.447953986293i</v>
      </c>
      <c r="AB23" s="289">
        <f t="shared" si="20"/>
        <v>68.546846270499685</v>
      </c>
      <c r="AC23" s="292">
        <f t="shared" si="21"/>
        <v>163.6412473903907</v>
      </c>
      <c r="AD23" s="292" t="str">
        <f t="shared" si="22"/>
        <v>-1643.93004472254+482.101500304722i</v>
      </c>
      <c r="AE23" s="289">
        <f t="shared" si="23"/>
        <v>64.675974291382573</v>
      </c>
      <c r="AF23" s="292">
        <f t="shared" si="6"/>
        <v>163.65561467921748</v>
      </c>
      <c r="AH23" s="292" t="str">
        <f t="shared" si="7"/>
        <v>0.00075-300.71577669723i</v>
      </c>
      <c r="AI23" s="292">
        <f t="shared" si="8"/>
        <v>0.95</v>
      </c>
      <c r="AJ23" s="292" t="str">
        <f t="shared" si="9"/>
        <v>1000-31755586019.2275i</v>
      </c>
      <c r="AK23" s="292" t="str">
        <f t="shared" si="10"/>
        <v>0.949990511516976-0.00300114279763823i</v>
      </c>
      <c r="AL23" s="292" t="str">
        <f t="shared" si="24"/>
        <v>1.18810560439874-2.47765910623652E-06i</v>
      </c>
      <c r="AM23" s="292" t="str">
        <f t="shared" si="11"/>
        <v>0.019+0.0000692791497744029i</v>
      </c>
      <c r="AN23" s="292" t="str">
        <f t="shared" si="25"/>
        <v>8.37193521527229-0.015076907199663i</v>
      </c>
      <c r="AO23" s="292">
        <f t="shared" si="26"/>
        <v>18.456531264370785</v>
      </c>
      <c r="AP23" s="292">
        <f t="shared" si="27"/>
        <v>-0.10318309859911784</v>
      </c>
      <c r="AR23" s="292" t="str">
        <f t="shared" si="12"/>
        <v>1.18810560439874-2.47765910623652E-06i</v>
      </c>
      <c r="AS23" s="292" t="str">
        <f t="shared" si="28"/>
        <v>8.37193521527229-0.015076907199663i</v>
      </c>
      <c r="AT23" s="292">
        <f t="shared" si="29"/>
        <v>18.456531264370785</v>
      </c>
      <c r="AU23" s="292">
        <f t="shared" si="30"/>
        <v>-0.10318309859911784</v>
      </c>
    </row>
    <row r="24" spans="1:47" ht="12.75" x14ac:dyDescent="0.2">
      <c r="A24" s="311" t="s">
        <v>447</v>
      </c>
      <c r="C24" s="308">
        <f>1/(2*PI()*B14*B15)</f>
        <v>2009532.1097461532</v>
      </c>
      <c r="D24" s="312" t="s">
        <v>395</v>
      </c>
      <c r="F24" s="292">
        <v>22</v>
      </c>
      <c r="G24" s="293">
        <f t="shared" si="0"/>
        <v>168.58053722230505</v>
      </c>
      <c r="H24" s="293">
        <f t="shared" si="1"/>
        <v>168.57881372500071</v>
      </c>
      <c r="I24" s="294">
        <f t="shared" si="2"/>
        <v>1</v>
      </c>
      <c r="J24" s="292">
        <f t="shared" si="14"/>
        <v>1</v>
      </c>
      <c r="K24" s="292">
        <f t="shared" si="14"/>
        <v>1</v>
      </c>
      <c r="L24" s="292">
        <f>10^('Small Signal'!F24/30)</f>
        <v>5.4116952654646369</v>
      </c>
      <c r="M24" s="292" t="str">
        <f t="shared" si="15"/>
        <v>34.0026841789007i</v>
      </c>
      <c r="N24" s="292">
        <f>IF(D$32=1, IF(AND('Small Signal'!$B$63&gt;=1,FCCM=0),U24+0,R24+0), 0)</f>
        <v>0</v>
      </c>
      <c r="O24" s="292">
        <f>IF(D$32=1, IF(AND('Small Signal'!$B$63&gt;=1,FCCM=0),V24,S24), 0)</f>
        <v>0</v>
      </c>
      <c r="P24" s="292">
        <f>IF(AND('Small Signal'!$B$63&gt;=1,FCCM=0),AE24+0,AB24+0)</f>
        <v>68.490248613671056</v>
      </c>
      <c r="Q24" s="292">
        <f>IF(AND('Small Signal'!$B$63&gt;=1,FCCM=0),AF24,AC24)</f>
        <v>162.41355835668091</v>
      </c>
      <c r="R24" s="292">
        <f t="shared" si="16"/>
        <v>18.456529067515547</v>
      </c>
      <c r="S24" s="292">
        <f t="shared" si="16"/>
        <v>-0.11141452885227536</v>
      </c>
      <c r="T24" s="292" t="str">
        <f>IMDIV(IMSUM('Small Signal'!$B$76,IMPRODUCT(M24,'Small Signal'!$B$77)),IMSUM(IMPRODUCT('Small Signal'!$B$80,IMPOWER(M24,2)),IMSUM(IMPRODUCT(M24,'Small Signal'!$B$79),'Small Signal'!$B$78)))</f>
        <v>5.36145052835877-0.00882681019072826i</v>
      </c>
      <c r="U24" s="292">
        <f t="shared" si="17"/>
        <v>14.58565783102916</v>
      </c>
      <c r="V24" s="292">
        <f t="shared" si="18"/>
        <v>-9.4328672975552141E-2</v>
      </c>
      <c r="W24" s="292" t="str">
        <f>IMPRODUCT(IMDIV(IMSUM(IMPRODUCT(M24,'Small Signal'!$B$59*'Small Signal'!$B$6*'Small Signal'!$B$51*'Small Signal'!$B$7*'Small Signal'!$B$8),'Small Signal'!$B$59*'Small Signal'!$B$6*'Small Signal'!$B$51),IMSUM(IMSUM(IMPRODUCT(M24,('Small Signal'!$B$5+'Small Signal'!$B$6)*('Small Signal'!$B$58*'Small Signal'!$B$59)+'Small Signal'!$B$5*'Small Signal'!$B$59*('Small Signal'!$B$8+'Small Signal'!$B$9)+'Small Signal'!$B$6*'Small Signal'!$B$59*('Small Signal'!$B$8+'Small Signal'!$B$9)+'Small Signal'!$B$7*'Small Signal'!$B$8*('Small Signal'!$B$5+'Small Signal'!$B$6)),'Small Signal'!$B$6+'Small Signal'!$B$5),IMPRODUCT(IMPOWER(M24,2),'Small Signal'!$B$58*'Small Signal'!$B$59*'Small Signal'!$B$8*'Small Signal'!$B$7*('Small Signal'!$B$5+'Small Signal'!$B$6)+('Small Signal'!$B$5+'Small Signal'!$B$6)*('Small Signal'!$B$9*'Small Signal'!$B$8*'Small Signal'!$B$59*'Small Signal'!$B$7)))),-1)</f>
        <v>-302.8038300228+95.337734296426i</v>
      </c>
      <c r="X24" s="292">
        <f t="shared" si="3"/>
        <v>0</v>
      </c>
      <c r="Y24" s="292">
        <f t="shared" si="4"/>
        <v>0</v>
      </c>
      <c r="Z24" s="292" t="str">
        <f t="shared" si="5"/>
        <v>1.00000000037596+0.0000274439525341708i</v>
      </c>
      <c r="AA24" s="292" t="str">
        <f t="shared" si="19"/>
        <v>-2533.52269954033+803.020933425735i</v>
      </c>
      <c r="AB24" s="289">
        <f t="shared" si="20"/>
        <v>68.490248613671056</v>
      </c>
      <c r="AC24" s="292">
        <f t="shared" si="21"/>
        <v>162.41355835668091</v>
      </c>
      <c r="AD24" s="292" t="str">
        <f t="shared" si="22"/>
        <v>-1622.62622638015+513.821337848738i</v>
      </c>
      <c r="AE24" s="289">
        <f t="shared" si="23"/>
        <v>64.619377370648138</v>
      </c>
      <c r="AF24" s="292">
        <f t="shared" si="6"/>
        <v>162.42907178990521</v>
      </c>
      <c r="AH24" s="292" t="str">
        <f t="shared" si="7"/>
        <v>0.00075-278.498512643102i</v>
      </c>
      <c r="AI24" s="292">
        <f t="shared" si="8"/>
        <v>0.95</v>
      </c>
      <c r="AJ24" s="292" t="str">
        <f t="shared" si="9"/>
        <v>1000-29409442935.1115i</v>
      </c>
      <c r="AK24" s="292" t="str">
        <f t="shared" si="10"/>
        <v>0.94998893725934-0.00324055407722109i</v>
      </c>
      <c r="AL24" s="292" t="str">
        <f t="shared" si="24"/>
        <v>1.18810560439788-2.67531476362733E-06i</v>
      </c>
      <c r="AM24" s="292" t="str">
        <f t="shared" si="11"/>
        <v>0.019+0.0000748059051935815i</v>
      </c>
      <c r="AN24" s="292" t="str">
        <f t="shared" si="25"/>
        <v>8.37193084539415-0.0162796616839806i</v>
      </c>
      <c r="AO24" s="292">
        <f t="shared" si="26"/>
        <v>18.456529067515547</v>
      </c>
      <c r="AP24" s="292">
        <f t="shared" si="27"/>
        <v>-0.11141452885227536</v>
      </c>
      <c r="AR24" s="292" t="str">
        <f t="shared" si="12"/>
        <v>1.18810560439788-2.67531476362733E-06i</v>
      </c>
      <c r="AS24" s="292" t="str">
        <f t="shared" si="28"/>
        <v>8.37193084539415-0.0162796616839806i</v>
      </c>
      <c r="AT24" s="292">
        <f t="shared" si="29"/>
        <v>18.456529067515547</v>
      </c>
      <c r="AU24" s="292">
        <f t="shared" si="30"/>
        <v>-0.11141452885227536</v>
      </c>
    </row>
    <row r="25" spans="1:47" ht="12.75" x14ac:dyDescent="0.2">
      <c r="A25" s="311" t="s">
        <v>448</v>
      </c>
      <c r="C25" s="308">
        <f>1/(2*PI()*B16*B17)</f>
        <v>159154943.09189534</v>
      </c>
      <c r="D25" s="312" t="s">
        <v>395</v>
      </c>
      <c r="F25" s="292">
        <v>23</v>
      </c>
      <c r="G25" s="293">
        <f t="shared" si="0"/>
        <v>168.5806747145821</v>
      </c>
      <c r="H25" s="293">
        <f t="shared" si="1"/>
        <v>168.57881372500071</v>
      </c>
      <c r="I25" s="294">
        <f t="shared" si="2"/>
        <v>1</v>
      </c>
      <c r="J25" s="292">
        <f t="shared" si="14"/>
        <v>1</v>
      </c>
      <c r="K25" s="292">
        <f t="shared" si="14"/>
        <v>1</v>
      </c>
      <c r="L25" s="292">
        <f>10^('Small Signal'!F25/30)</f>
        <v>5.8434141337351777</v>
      </c>
      <c r="M25" s="292" t="str">
        <f t="shared" si="15"/>
        <v>36.7152538288504i</v>
      </c>
      <c r="N25" s="292">
        <f>IF(D$32=1, IF(AND('Small Signal'!$B$63&gt;=1,FCCM=0),U25+0,R25+0), 0)</f>
        <v>0</v>
      </c>
      <c r="O25" s="292">
        <f>IF(D$32=1, IF(AND('Small Signal'!$B$63&gt;=1,FCCM=0),V25,S25), 0)</f>
        <v>0</v>
      </c>
      <c r="P25" s="292">
        <f>IF(AND('Small Signal'!$B$63&gt;=1,FCCM=0),AE25+0,AB25+0)</f>
        <v>68.425178590224689</v>
      </c>
      <c r="Q25" s="292">
        <f>IF(AND('Small Signal'!$B$63&gt;=1,FCCM=0),AF25,AC25)</f>
        <v>161.10632191063178</v>
      </c>
      <c r="R25" s="292">
        <f t="shared" si="16"/>
        <v>18.456526506171812</v>
      </c>
      <c r="S25" s="292">
        <f t="shared" si="16"/>
        <v>-0.12030261808099071</v>
      </c>
      <c r="T25" s="292" t="str">
        <f>IMDIV(IMSUM('Small Signal'!$B$76,IMPRODUCT(M25,'Small Signal'!$B$77)),IMSUM(IMPRODUCT('Small Signal'!$B$80,IMPOWER(M25,2)),IMSUM(IMPRODUCT(M25,'Small Signal'!$B$79),'Small Signal'!$B$78)))</f>
        <v>5.36144827222941-0.0095309666717119i</v>
      </c>
      <c r="U25" s="292">
        <f t="shared" si="17"/>
        <v>14.585656128991927</v>
      </c>
      <c r="V25" s="292">
        <f t="shared" si="18"/>
        <v>-0.10185374585445711</v>
      </c>
      <c r="W25" s="292" t="str">
        <f>IMPRODUCT(IMDIV(IMSUM(IMPRODUCT(M25,'Small Signal'!$B$59*'Small Signal'!$B$6*'Small Signal'!$B$51*'Small Signal'!$B$7*'Small Signal'!$B$8),'Small Signal'!$B$59*'Small Signal'!$B$6*'Small Signal'!$B$51),IMSUM(IMSUM(IMPRODUCT(M25,('Small Signal'!$B$5+'Small Signal'!$B$6)*('Small Signal'!$B$58*'Small Signal'!$B$59)+'Small Signal'!$B$5*'Small Signal'!$B$59*('Small Signal'!$B$8+'Small Signal'!$B$9)+'Small Signal'!$B$6*'Small Signal'!$B$59*('Small Signal'!$B$8+'Small Signal'!$B$9)+'Small Signal'!$B$7*'Small Signal'!$B$8*('Small Signal'!$B$5+'Small Signal'!$B$6)),'Small Signal'!$B$6+'Small Signal'!$B$5),IMPRODUCT(IMPOWER(M25,2),'Small Signal'!$B$58*'Small Signal'!$B$59*'Small Signal'!$B$8*'Small Signal'!$B$7*('Small Signal'!$B$5+'Small Signal'!$B$6)+('Small Signal'!$B$5+'Small Signal'!$B$6)*('Small Signal'!$B$9*'Small Signal'!$B$8*'Small Signal'!$B$59*'Small Signal'!$B$7)))),-1)</f>
        <v>-298.322478451509+101.412450153589i</v>
      </c>
      <c r="X25" s="292">
        <f t="shared" si="3"/>
        <v>0</v>
      </c>
      <c r="Y25" s="292">
        <f t="shared" si="4"/>
        <v>0</v>
      </c>
      <c r="Z25" s="292" t="str">
        <f t="shared" si="5"/>
        <v>1.00000000043834+0.0000296332983015755i</v>
      </c>
      <c r="AA25" s="292" t="str">
        <f t="shared" si="19"/>
        <v>-2495.77629002058+854.187567009805i</v>
      </c>
      <c r="AB25" s="289">
        <f t="shared" si="20"/>
        <v>68.425178590224689</v>
      </c>
      <c r="AC25" s="292">
        <f t="shared" si="21"/>
        <v>161.10632191063178</v>
      </c>
      <c r="AD25" s="292" t="str">
        <f t="shared" si="22"/>
        <v>-1598.47397797853+546.560907258055i</v>
      </c>
      <c r="AE25" s="289">
        <f t="shared" si="23"/>
        <v>64.554308205423766</v>
      </c>
      <c r="AF25" s="292">
        <f t="shared" si="6"/>
        <v>161.12307291993386</v>
      </c>
      <c r="AH25" s="292" t="str">
        <f t="shared" si="7"/>
        <v>0.00075-257.92268831479i</v>
      </c>
      <c r="AI25" s="292">
        <f t="shared" si="8"/>
        <v>0.95</v>
      </c>
      <c r="AJ25" s="292" t="str">
        <f t="shared" si="9"/>
        <v>1000-27236635886.0418i</v>
      </c>
      <c r="AK25" s="292" t="str">
        <f t="shared" si="10"/>
        <v>0.94998710181629-0.00349906303898573i</v>
      </c>
      <c r="AL25" s="292" t="str">
        <f t="shared" si="24"/>
        <v>1.18810560439688-2.88873843317098E-06i</v>
      </c>
      <c r="AM25" s="292" t="str">
        <f t="shared" si="11"/>
        <v>0.019+0.0000807735584234709i</v>
      </c>
      <c r="AN25" s="292" t="str">
        <f t="shared" si="25"/>
        <v>8.3719257504959-0.0175783639703025i</v>
      </c>
      <c r="AO25" s="292">
        <f t="shared" si="26"/>
        <v>18.456526506171812</v>
      </c>
      <c r="AP25" s="292">
        <f t="shared" si="27"/>
        <v>-0.12030261808099071</v>
      </c>
      <c r="AR25" s="292" t="str">
        <f t="shared" si="12"/>
        <v>1.18810560439688-2.88873843317098E-06i</v>
      </c>
      <c r="AS25" s="292" t="str">
        <f t="shared" si="28"/>
        <v>8.3719257504959-0.0175783639703025i</v>
      </c>
      <c r="AT25" s="292">
        <f t="shared" si="29"/>
        <v>18.456526506171812</v>
      </c>
      <c r="AU25" s="292">
        <f t="shared" si="30"/>
        <v>-0.12030261808099071</v>
      </c>
    </row>
    <row r="26" spans="1:47" ht="12.75" x14ac:dyDescent="0.2">
      <c r="F26" s="292">
        <v>24</v>
      </c>
      <c r="G26" s="293">
        <f t="shared" si="0"/>
        <v>168.58082317532785</v>
      </c>
      <c r="H26" s="293">
        <f t="shared" si="1"/>
        <v>168.57881372500071</v>
      </c>
      <c r="I26" s="294">
        <f t="shared" si="2"/>
        <v>1</v>
      </c>
      <c r="J26" s="292">
        <f t="shared" si="14"/>
        <v>1</v>
      </c>
      <c r="K26" s="292">
        <f t="shared" si="14"/>
        <v>1</v>
      </c>
      <c r="L26" s="292">
        <f>10^('Small Signal'!F26/30)</f>
        <v>6.3095734448019343</v>
      </c>
      <c r="M26" s="292" t="str">
        <f t="shared" si="15"/>
        <v>39.64421916295i</v>
      </c>
      <c r="N26" s="292">
        <f>IF(D$32=1, IF(AND('Small Signal'!$B$63&gt;=1,FCCM=0),U26+0,R26+0), 0)</f>
        <v>0</v>
      </c>
      <c r="O26" s="292">
        <f>IF(D$32=1, IF(AND('Small Signal'!$B$63&gt;=1,FCCM=0),V26,S26), 0)</f>
        <v>0</v>
      </c>
      <c r="P26" s="292">
        <f>IF(AND('Small Signal'!$B$63&gt;=1,FCCM=0),AE26+0,AB26+0)</f>
        <v>68.35052334341124</v>
      </c>
      <c r="Q26" s="292">
        <f>IF(AND('Small Signal'!$B$63&gt;=1,FCCM=0),AF26,AC26)</f>
        <v>159.71726722386555</v>
      </c>
      <c r="R26" s="292">
        <f t="shared" si="16"/>
        <v>18.456523519866177</v>
      </c>
      <c r="S26" s="292">
        <f t="shared" si="16"/>
        <v>-0.12989975014234123</v>
      </c>
      <c r="T26" s="292" t="str">
        <f>IMDIV(IMSUM('Small Signal'!$B$76,IMPRODUCT(M26,'Small Signal'!$B$77)),IMSUM(IMPRODUCT('Small Signal'!$B$80,IMPOWER(M26,2)),IMSUM(IMPRODUCT(M26,'Small Signal'!$B$79),'Small Signal'!$B$78)))</f>
        <v>5.36144564177791-0.0102912963832348i</v>
      </c>
      <c r="U26" s="292">
        <f t="shared" si="17"/>
        <v>14.585654144563023</v>
      </c>
      <c r="V26" s="292">
        <f t="shared" si="18"/>
        <v>-0.10997912945388223</v>
      </c>
      <c r="W26" s="292" t="str">
        <f>IMPRODUCT(IMDIV(IMSUM(IMPRODUCT(M26,'Small Signal'!$B$59*'Small Signal'!$B$6*'Small Signal'!$B$51*'Small Signal'!$B$7*'Small Signal'!$B$8),'Small Signal'!$B$59*'Small Signal'!$B$6*'Small Signal'!$B$51),IMSUM(IMSUM(IMPRODUCT(M26,('Small Signal'!$B$5+'Small Signal'!$B$6)*('Small Signal'!$B$58*'Small Signal'!$B$59)+'Small Signal'!$B$5*'Small Signal'!$B$59*('Small Signal'!$B$8+'Small Signal'!$B$9)+'Small Signal'!$B$6*'Small Signal'!$B$59*('Small Signal'!$B$8+'Small Signal'!$B$9)+'Small Signal'!$B$7*'Small Signal'!$B$8*('Small Signal'!$B$5+'Small Signal'!$B$6)),'Small Signal'!$B$6+'Small Signal'!$B$5),IMPRODUCT(IMPOWER(M26,2),'Small Signal'!$B$58*'Small Signal'!$B$59*'Small Signal'!$B$8*'Small Signal'!$B$7*('Small Signal'!$B$5+'Small Signal'!$B$6)+('Small Signal'!$B$5+'Small Signal'!$B$6)*('Small Signal'!$B$9*'Small Signal'!$B$8*'Small Signal'!$B$59*'Small Signal'!$B$7)))),-1)</f>
        <v>-293.263027263202+107.636414278489i</v>
      </c>
      <c r="X26" s="292">
        <f t="shared" si="3"/>
        <v>0</v>
      </c>
      <c r="Y26" s="292">
        <f t="shared" si="4"/>
        <v>0</v>
      </c>
      <c r="Z26" s="292" t="str">
        <f t="shared" si="5"/>
        <v>1.00000000051107+0.0000319972994827274i</v>
      </c>
      <c r="AA26" s="292" t="str">
        <f t="shared" si="19"/>
        <v>-2453.16054942923+906.611263971607i</v>
      </c>
      <c r="AB26" s="289">
        <f t="shared" si="20"/>
        <v>68.35052334341124</v>
      </c>
      <c r="AC26" s="292">
        <f t="shared" si="21"/>
        <v>159.71726722386555</v>
      </c>
      <c r="AD26" s="292" t="str">
        <f t="shared" si="22"/>
        <v>-1571.20606117392+580.104840961817i</v>
      </c>
      <c r="AE26" s="289">
        <f t="shared" si="23"/>
        <v>64.47965395922256</v>
      </c>
      <c r="AF26" s="292">
        <f t="shared" si="6"/>
        <v>159.73535453433939</v>
      </c>
      <c r="AH26" s="292" t="str">
        <f t="shared" si="7"/>
        <v>0.00075-238.867032057652i</v>
      </c>
      <c r="AI26" s="292">
        <f t="shared" si="8"/>
        <v>0.95</v>
      </c>
      <c r="AJ26" s="292" t="str">
        <f t="shared" si="9"/>
        <v>1000-25224358585.2881i</v>
      </c>
      <c r="AK26" s="292" t="str">
        <f t="shared" si="10"/>
        <v>0.949984961855773-0.00377819284334233i</v>
      </c>
      <c r="AL26" s="292" t="str">
        <f t="shared" si="24"/>
        <v>1.18810560439572-3.11918801059644E-06i</v>
      </c>
      <c r="AM26" s="292" t="str">
        <f t="shared" si="11"/>
        <v>0.019+0.00008721728215849i</v>
      </c>
      <c r="AN26" s="292" t="str">
        <f t="shared" si="25"/>
        <v>8.37191981028824-0.0189806677580274i</v>
      </c>
      <c r="AO26" s="292">
        <f t="shared" si="26"/>
        <v>18.456523519866177</v>
      </c>
      <c r="AP26" s="292">
        <f t="shared" si="27"/>
        <v>-0.12989975014234123</v>
      </c>
      <c r="AR26" s="292" t="str">
        <f t="shared" si="12"/>
        <v>1.18810560439572-3.11918801059644E-06i</v>
      </c>
      <c r="AS26" s="292" t="str">
        <f t="shared" si="28"/>
        <v>8.37191981028824-0.0189806677580274i</v>
      </c>
      <c r="AT26" s="292">
        <f t="shared" si="29"/>
        <v>18.456523519866177</v>
      </c>
      <c r="AU26" s="292">
        <f t="shared" si="30"/>
        <v>-0.12989975014234123</v>
      </c>
    </row>
    <row r="27" spans="1:47" ht="12.75" x14ac:dyDescent="0.2">
      <c r="A27" s="311" t="s">
        <v>449</v>
      </c>
      <c r="C27" s="308">
        <f>1/(2*PI()*B7*B8)</f>
        <v>3900.8564483307678</v>
      </c>
      <c r="D27" s="312" t="s">
        <v>395</v>
      </c>
      <c r="F27" s="292">
        <v>25</v>
      </c>
      <c r="G27" s="293">
        <f t="shared" si="0"/>
        <v>168.58098347955365</v>
      </c>
      <c r="H27" s="293">
        <f t="shared" si="1"/>
        <v>168.57881372500071</v>
      </c>
      <c r="I27" s="294">
        <f t="shared" si="2"/>
        <v>1</v>
      </c>
      <c r="J27" s="292">
        <f t="shared" si="14"/>
        <v>1</v>
      </c>
      <c r="K27" s="292">
        <f t="shared" si="14"/>
        <v>1</v>
      </c>
      <c r="L27" s="292">
        <f>10^('Small Signal'!F27/30)</f>
        <v>6.812920690579614</v>
      </c>
      <c r="M27" s="292" t="str">
        <f t="shared" si="15"/>
        <v>42.8068431820296i</v>
      </c>
      <c r="N27" s="292">
        <f>IF(D$32=1, IF(AND('Small Signal'!$B$63&gt;=1,FCCM=0),U27+0,R27+0), 0)</f>
        <v>0</v>
      </c>
      <c r="O27" s="292">
        <f>IF(D$32=1, IF(AND('Small Signal'!$B$63&gt;=1,FCCM=0),V27,S27), 0)</f>
        <v>0</v>
      </c>
      <c r="P27" s="292">
        <f>IF(AND('Small Signal'!$B$63&gt;=1,FCCM=0),AE27+0,AB27+0)</f>
        <v>68.265071724129527</v>
      </c>
      <c r="Q27" s="292">
        <f>IF(AND('Small Signal'!$B$63&gt;=1,FCCM=0),AF27,AC27)</f>
        <v>158.24472395637784</v>
      </c>
      <c r="R27" s="292">
        <f t="shared" si="16"/>
        <v>18.456520038092005</v>
      </c>
      <c r="S27" s="292">
        <f t="shared" si="16"/>
        <v>-0.14026248750839698</v>
      </c>
      <c r="T27" s="292" t="str">
        <f>IMDIV(IMSUM('Small Signal'!$B$76,IMPRODUCT(M27,'Small Signal'!$B$77)),IMSUM(IMPRODUCT('Small Signal'!$B$80,IMPOWER(M27,2)),IMSUM(IMPRODUCT(M27,'Small Signal'!$B$79),'Small Signal'!$B$78)))</f>
        <v>5.36144257489967-0.0111122803034939i</v>
      </c>
      <c r="U27" s="292">
        <f t="shared" si="17"/>
        <v>14.585651830889962</v>
      </c>
      <c r="V27" s="292">
        <f t="shared" si="18"/>
        <v>-0.11875271283305884</v>
      </c>
      <c r="W27" s="292" t="str">
        <f>IMPRODUCT(IMDIV(IMSUM(IMPRODUCT(M27,'Small Signal'!$B$59*'Small Signal'!$B$6*'Small Signal'!$B$51*'Small Signal'!$B$7*'Small Signal'!$B$8),'Small Signal'!$B$59*'Small Signal'!$B$6*'Small Signal'!$B$51),IMSUM(IMSUM(IMPRODUCT(M27,('Small Signal'!$B$5+'Small Signal'!$B$6)*('Small Signal'!$B$58*'Small Signal'!$B$59)+'Small Signal'!$B$5*'Small Signal'!$B$59*('Small Signal'!$B$8+'Small Signal'!$B$9)+'Small Signal'!$B$6*'Small Signal'!$B$59*('Small Signal'!$B$8+'Small Signal'!$B$9)+'Small Signal'!$B$7*'Small Signal'!$B$8*('Small Signal'!$B$5+'Small Signal'!$B$6)),'Small Signal'!$B$6+'Small Signal'!$B$5),IMPRODUCT(IMPOWER(M27,2),'Small Signal'!$B$58*'Small Signal'!$B$59*'Small Signal'!$B$8*'Small Signal'!$B$7*('Small Signal'!$B$5+'Small Signal'!$B$6)+('Small Signal'!$B$5+'Small Signal'!$B$6)*('Small Signal'!$B$9*'Small Signal'!$B$8*'Small Signal'!$B$59*'Small Signal'!$B$7)))),-1)</f>
        <v>-287.577644784626+113.958717535892i</v>
      </c>
      <c r="X27" s="292">
        <f t="shared" si="3"/>
        <v>0</v>
      </c>
      <c r="Y27" s="292">
        <f t="shared" si="4"/>
        <v>0</v>
      </c>
      <c r="Z27" s="292" t="str">
        <f t="shared" si="5"/>
        <v>1.00000000059586+0.0000345498892415479i</v>
      </c>
      <c r="AA27" s="292" t="str">
        <f t="shared" si="19"/>
        <v>-2405.2725917847+959.86321246505i</v>
      </c>
      <c r="AB27" s="289">
        <f t="shared" si="20"/>
        <v>68.265071724129527</v>
      </c>
      <c r="AC27" s="292">
        <f t="shared" si="21"/>
        <v>158.24472395637784</v>
      </c>
      <c r="AD27" s="292" t="str">
        <f t="shared" si="22"/>
        <v>-1540.56468712538+614.178763375763i</v>
      </c>
      <c r="AE27" s="289">
        <f t="shared" si="23"/>
        <v>64.394203506567763</v>
      </c>
      <c r="AF27" s="292">
        <f t="shared" si="6"/>
        <v>158.26425416821891</v>
      </c>
      <c r="AH27" s="292" t="str">
        <f t="shared" si="7"/>
        <v>0.00075-221.219231921133i</v>
      </c>
      <c r="AI27" s="292">
        <f t="shared" si="8"/>
        <v>0.95</v>
      </c>
      <c r="AJ27" s="292" t="str">
        <f t="shared" si="9"/>
        <v>1000-23360750890.8716i</v>
      </c>
      <c r="AK27" s="292" t="str">
        <f t="shared" si="10"/>
        <v>0.949982466857159-0.00407958806778802i</v>
      </c>
      <c r="AL27" s="292" t="str">
        <f t="shared" si="24"/>
        <v>1.18810560439436-3.36802174046856E-06i</v>
      </c>
      <c r="AM27" s="292" t="str">
        <f t="shared" si="11"/>
        <v>0.019+0.0000941750550004651i</v>
      </c>
      <c r="AN27" s="292" t="str">
        <f t="shared" si="25"/>
        <v>8.37191288452488-0.0204948371787196i</v>
      </c>
      <c r="AO27" s="292">
        <f t="shared" si="26"/>
        <v>18.456520038092005</v>
      </c>
      <c r="AP27" s="292">
        <f t="shared" si="27"/>
        <v>-0.14026248750839698</v>
      </c>
      <c r="AR27" s="292" t="str">
        <f t="shared" si="12"/>
        <v>1.18810560439436-3.36802174046856E-06i</v>
      </c>
      <c r="AS27" s="292" t="str">
        <f t="shared" si="28"/>
        <v>8.37191288452488-0.0204948371787196i</v>
      </c>
      <c r="AT27" s="292">
        <f t="shared" si="29"/>
        <v>18.456520038092005</v>
      </c>
      <c r="AU27" s="292">
        <f t="shared" si="30"/>
        <v>-0.14026248750839698</v>
      </c>
    </row>
    <row r="28" spans="1:47" ht="12.75" x14ac:dyDescent="0.2">
      <c r="A28" s="311" t="s">
        <v>450</v>
      </c>
      <c r="C28" s="308">
        <f>1/(2*PI()*B7*(B9+0.00000000001))</f>
        <v>1462821.1681240383</v>
      </c>
      <c r="D28" s="312" t="s">
        <v>395</v>
      </c>
      <c r="F28" s="292">
        <v>26</v>
      </c>
      <c r="G28" s="293">
        <f t="shared" si="0"/>
        <v>168.58115657207503</v>
      </c>
      <c r="H28" s="293">
        <f t="shared" si="1"/>
        <v>168.57881372500071</v>
      </c>
      <c r="I28" s="294">
        <f t="shared" si="2"/>
        <v>1</v>
      </c>
      <c r="J28" s="292">
        <f t="shared" si="14"/>
        <v>1</v>
      </c>
      <c r="K28" s="292">
        <f t="shared" si="14"/>
        <v>1</v>
      </c>
      <c r="L28" s="292">
        <f>10^('Small Signal'!F28/30)</f>
        <v>7.3564225445964153</v>
      </c>
      <c r="M28" s="292" t="str">
        <f t="shared" si="15"/>
        <v>46.2217660456129i</v>
      </c>
      <c r="N28" s="292">
        <f>IF(D$32=1, IF(AND('Small Signal'!$B$63&gt;=1,FCCM=0),U28+0,R28+0), 0)</f>
        <v>0</v>
      </c>
      <c r="O28" s="292">
        <f>IF(D$32=1, IF(AND('Small Signal'!$B$63&gt;=1,FCCM=0),V28,S28), 0)</f>
        <v>0</v>
      </c>
      <c r="P28" s="292">
        <f>IF(AND('Small Signal'!$B$63&gt;=1,FCCM=0),AE28+0,AB28+0)</f>
        <v>68.167519984923246</v>
      </c>
      <c r="Q28" s="292">
        <f>IF(AND('Small Signal'!$B$63&gt;=1,FCCM=0),AF28,AC28)</f>
        <v>156.68777313371234</v>
      </c>
      <c r="R28" s="292">
        <f t="shared" si="16"/>
        <v>18.456515978644848</v>
      </c>
      <c r="S28" s="292">
        <f t="shared" si="16"/>
        <v>-0.15145190453418636</v>
      </c>
      <c r="T28" s="292" t="str">
        <f>IMDIV(IMSUM('Small Signal'!$B$76,IMPRODUCT(M28,'Small Signal'!$B$77)),IMSUM(IMPRODUCT('Small Signal'!$B$80,IMPOWER(M28,2)),IMSUM(IMPRODUCT(M28,'Small Signal'!$B$79),'Small Signal'!$B$78)))</f>
        <v>5.36143899918625-0.0119987568166175i</v>
      </c>
      <c r="U28" s="292">
        <f t="shared" si="17"/>
        <v>14.585649133346726</v>
      </c>
      <c r="V28" s="292">
        <f t="shared" si="18"/>
        <v>-0.12822620519482902</v>
      </c>
      <c r="W28" s="292" t="str">
        <f>IMPRODUCT(IMDIV(IMSUM(IMPRODUCT(M28,'Small Signal'!$B$59*'Small Signal'!$B$6*'Small Signal'!$B$51*'Small Signal'!$B$7*'Small Signal'!$B$8),'Small Signal'!$B$59*'Small Signal'!$B$6*'Small Signal'!$B$51),IMSUM(IMSUM(IMPRODUCT(M28,('Small Signal'!$B$5+'Small Signal'!$B$6)*('Small Signal'!$B$58*'Small Signal'!$B$59)+'Small Signal'!$B$5*'Small Signal'!$B$59*('Small Signal'!$B$8+'Small Signal'!$B$9)+'Small Signal'!$B$6*'Small Signal'!$B$59*('Small Signal'!$B$8+'Small Signal'!$B$9)+'Small Signal'!$B$7*'Small Signal'!$B$8*('Small Signal'!$B$5+'Small Signal'!$B$6)),'Small Signal'!$B$6+'Small Signal'!$B$5),IMPRODUCT(IMPOWER(M28,2),'Small Signal'!$B$58*'Small Signal'!$B$59*'Small Signal'!$B$8*'Small Signal'!$B$7*('Small Signal'!$B$5+'Small Signal'!$B$6)+('Small Signal'!$B$5+'Small Signal'!$B$6)*('Small Signal'!$B$9*'Small Signal'!$B$8*'Small Signal'!$B$59*'Small Signal'!$B$7)))),-1)</f>
        <v>-281.222486627441+120.316696556711i</v>
      </c>
      <c r="X28" s="292">
        <f t="shared" si="3"/>
        <v>0</v>
      </c>
      <c r="Y28" s="292">
        <f t="shared" si="4"/>
        <v>0</v>
      </c>
      <c r="Z28" s="292" t="str">
        <f t="shared" si="5"/>
        <v>1.00000000069472+0.0000373061122623559i</v>
      </c>
      <c r="AA28" s="292" t="str">
        <f t="shared" si="19"/>
        <v>-2351.74311600758+1013.41559441815i</v>
      </c>
      <c r="AB28" s="289">
        <f t="shared" si="20"/>
        <v>68.167519984923246</v>
      </c>
      <c r="AC28" s="292">
        <f t="shared" si="21"/>
        <v>156.68777313371234</v>
      </c>
      <c r="AD28" s="292" t="str">
        <f t="shared" si="22"/>
        <v>-1506.31355646953+648.444949400815i</v>
      </c>
      <c r="AE28" s="289">
        <f t="shared" si="23"/>
        <v>64.296653127546563</v>
      </c>
      <c r="AF28" s="292">
        <f t="shared" si="6"/>
        <v>156.70886135027143</v>
      </c>
      <c r="AH28" s="292" t="str">
        <f t="shared" si="7"/>
        <v>0.00075-204.875273704428i</v>
      </c>
      <c r="AI28" s="292">
        <f t="shared" si="8"/>
        <v>0.95</v>
      </c>
      <c r="AJ28" s="292" t="str">
        <f t="shared" si="9"/>
        <v>1000-21634828903.1876i</v>
      </c>
      <c r="AK28" s="292" t="str">
        <f t="shared" si="10"/>
        <v>0.949979557918906-0.0044050243688246i</v>
      </c>
      <c r="AL28" s="292" t="str">
        <f t="shared" si="24"/>
        <v>1.18810560439278-3.63670622153286E-06i</v>
      </c>
      <c r="AM28" s="292" t="str">
        <f t="shared" si="11"/>
        <v>0.019+0.000101687885300348i</v>
      </c>
      <c r="AN28" s="292" t="str">
        <f t="shared" si="25"/>
        <v>8.37190480969162-0.0221297954564257i</v>
      </c>
      <c r="AO28" s="292">
        <f t="shared" si="26"/>
        <v>18.456515978644848</v>
      </c>
      <c r="AP28" s="292">
        <f t="shared" si="27"/>
        <v>-0.15145190453418636</v>
      </c>
      <c r="AR28" s="292" t="str">
        <f t="shared" si="12"/>
        <v>1.18810560439278-3.63670622153286E-06i</v>
      </c>
      <c r="AS28" s="292" t="str">
        <f t="shared" si="28"/>
        <v>8.37190480969162-0.0221297954564257i</v>
      </c>
      <c r="AT28" s="292">
        <f t="shared" si="29"/>
        <v>18.456515978644848</v>
      </c>
      <c r="AU28" s="292">
        <f t="shared" si="30"/>
        <v>-0.15145190453418636</v>
      </c>
    </row>
    <row r="29" spans="1:47" ht="12.75" x14ac:dyDescent="0.2">
      <c r="A29" s="311" t="s">
        <v>358</v>
      </c>
      <c r="C29" s="308">
        <f>1/(2*PI()*Cff_ss*Rhs_ss)</f>
        <v>131533.01081974819</v>
      </c>
      <c r="D29" s="312" t="s">
        <v>395</v>
      </c>
      <c r="F29" s="292">
        <v>27</v>
      </c>
      <c r="G29" s="293">
        <f t="shared" si="0"/>
        <v>168.58134347308027</v>
      </c>
      <c r="H29" s="293">
        <f t="shared" si="1"/>
        <v>168.57881372500071</v>
      </c>
      <c r="I29" s="294">
        <f t="shared" si="2"/>
        <v>1</v>
      </c>
      <c r="J29" s="292">
        <f t="shared" si="14"/>
        <v>1</v>
      </c>
      <c r="K29" s="292">
        <f t="shared" si="14"/>
        <v>1</v>
      </c>
      <c r="L29" s="292">
        <f>10^('Small Signal'!F29/30)</f>
        <v>7.9432823472428176</v>
      </c>
      <c r="M29" s="292" t="str">
        <f t="shared" si="15"/>
        <v>49.9091149349751i</v>
      </c>
      <c r="N29" s="292">
        <f>IF(D$32=1, IF(AND('Small Signal'!$B$63&gt;=1,FCCM=0),U29+0,R29+0), 0)</f>
        <v>0</v>
      </c>
      <c r="O29" s="292">
        <f>IF(D$32=1, IF(AND('Small Signal'!$B$63&gt;=1,FCCM=0),V29,S29), 0)</f>
        <v>0</v>
      </c>
      <c r="P29" s="292">
        <f>IF(AND('Small Signal'!$B$63&gt;=1,FCCM=0),AE29+0,AB29+0)</f>
        <v>68.056482421750886</v>
      </c>
      <c r="Q29" s="292">
        <f>IF(AND('Small Signal'!$B$63&gt;=1,FCCM=0),AF29,AC29)</f>
        <v>155.04640599707349</v>
      </c>
      <c r="R29" s="292">
        <f t="shared" si="16"/>
        <v>18.45651124568186</v>
      </c>
      <c r="S29" s="292">
        <f t="shared" si="16"/>
        <v>-0.16353394729096013</v>
      </c>
      <c r="T29" s="292" t="str">
        <f>IMDIV(IMSUM('Small Signal'!$B$76,IMPRODUCT(M29,'Small Signal'!$B$77)),IMSUM(IMPRODUCT('Small Signal'!$B$80,IMPOWER(M29,2)),IMSUM(IMPRODUCT(M29,'Small Signal'!$B$79),'Small Signal'!$B$78)))</f>
        <v>5.36143483021605-0.0129559502079966i</v>
      </c>
      <c r="U29" s="292">
        <f t="shared" si="17"/>
        <v>14.5856459882443</v>
      </c>
      <c r="V29" s="292">
        <f t="shared" si="18"/>
        <v>-0.13845544058285958</v>
      </c>
      <c r="W29" s="292" t="str">
        <f>IMPRODUCT(IMDIV(IMSUM(IMPRODUCT(M29,'Small Signal'!$B$59*'Small Signal'!$B$6*'Small Signal'!$B$51*'Small Signal'!$B$7*'Small Signal'!$B$8),'Small Signal'!$B$59*'Small Signal'!$B$6*'Small Signal'!$B$51),IMSUM(IMSUM(IMPRODUCT(M29,('Small Signal'!$B$5+'Small Signal'!$B$6)*('Small Signal'!$B$58*'Small Signal'!$B$59)+'Small Signal'!$B$5*'Small Signal'!$B$59*('Small Signal'!$B$8+'Small Signal'!$B$9)+'Small Signal'!$B$6*'Small Signal'!$B$59*('Small Signal'!$B$8+'Small Signal'!$B$9)+'Small Signal'!$B$7*'Small Signal'!$B$8*('Small Signal'!$B$5+'Small Signal'!$B$6)),'Small Signal'!$B$6+'Small Signal'!$B$5),IMPRODUCT(IMPOWER(M29,2),'Small Signal'!$B$58*'Small Signal'!$B$59*'Small Signal'!$B$8*'Small Signal'!$B$7*('Small Signal'!$B$5+'Small Signal'!$B$6)+('Small Signal'!$B$5+'Small Signal'!$B$6)*('Small Signal'!$B$9*'Small Signal'!$B$8*'Small Signal'!$B$59*'Small Signal'!$B$7)))),-1)</f>
        <v>-274.160376230219+126.635565500574i</v>
      </c>
      <c r="X29" s="292">
        <f t="shared" si="3"/>
        <v>0</v>
      </c>
      <c r="Y29" s="292">
        <f t="shared" si="4"/>
        <v>0</v>
      </c>
      <c r="Z29" s="292" t="str">
        <f t="shared" si="5"/>
        <v>1.00000000080999+0.0000402822134215834i</v>
      </c>
      <c r="AA29" s="292" t="str">
        <f t="shared" si="19"/>
        <v>-2292.25898412065+1066.63848384257i</v>
      </c>
      <c r="AB29" s="289">
        <f t="shared" si="20"/>
        <v>68.056482421750886</v>
      </c>
      <c r="AC29" s="292">
        <f t="shared" si="21"/>
        <v>155.04640599707349</v>
      </c>
      <c r="AD29" s="292" t="str">
        <f t="shared" si="22"/>
        <v>-1468.25230610465+682.500339802328i</v>
      </c>
      <c r="AE29" s="289">
        <f t="shared" si="23"/>
        <v>64.185617150230769</v>
      </c>
      <c r="AF29" s="292">
        <f t="shared" si="6"/>
        <v>155.06917650296629</v>
      </c>
      <c r="AH29" s="292" t="str">
        <f t="shared" si="7"/>
        <v>0.00075-189.738827908183i</v>
      </c>
      <c r="AI29" s="292">
        <f t="shared" si="8"/>
        <v>0.95</v>
      </c>
      <c r="AJ29" s="292" t="str">
        <f t="shared" si="9"/>
        <v>1000-20036420227.1041i</v>
      </c>
      <c r="AK29" s="292" t="str">
        <f t="shared" si="10"/>
        <v>0.949976166368421-0.00475641890840434i</v>
      </c>
      <c r="AL29" s="292" t="str">
        <f t="shared" si="24"/>
        <v>1.18810560439093-3.92682505068772E-06i</v>
      </c>
      <c r="AM29" s="292" t="str">
        <f t="shared" si="11"/>
        <v>0.019+0.000109800052856945i</v>
      </c>
      <c r="AN29" s="292" t="str">
        <f t="shared" si="25"/>
        <v>8.3718953951464-0.0238951774402876i</v>
      </c>
      <c r="AO29" s="292">
        <f t="shared" si="26"/>
        <v>18.45651124568186</v>
      </c>
      <c r="AP29" s="292">
        <f t="shared" si="27"/>
        <v>-0.16353394729096013</v>
      </c>
      <c r="AR29" s="292" t="str">
        <f t="shared" si="12"/>
        <v>1.18810560439093-3.92682505068772E-06i</v>
      </c>
      <c r="AS29" s="292" t="str">
        <f t="shared" si="28"/>
        <v>8.3718953951464-0.0238951774402876i</v>
      </c>
      <c r="AT29" s="292">
        <f t="shared" si="29"/>
        <v>18.45651124568186</v>
      </c>
      <c r="AU29" s="292">
        <f t="shared" si="30"/>
        <v>-0.16353394729096013</v>
      </c>
    </row>
    <row r="30" spans="1:47" ht="12.75" x14ac:dyDescent="0.2">
      <c r="A30" s="311" t="s">
        <v>359</v>
      </c>
      <c r="C30" s="308">
        <f>1/(2*PI()*Cff_ss*Rhs_ss*Rls_ss/(Rhs_ss+Rls_ss))</f>
        <v>395034.57223017095</v>
      </c>
      <c r="D30" s="312" t="s">
        <v>395</v>
      </c>
      <c r="F30" s="292">
        <v>28</v>
      </c>
      <c r="G30" s="293">
        <f t="shared" si="0"/>
        <v>168.58154528414349</v>
      </c>
      <c r="H30" s="293">
        <f t="shared" si="1"/>
        <v>168.57881372500071</v>
      </c>
      <c r="I30" s="294">
        <f t="shared" si="2"/>
        <v>1</v>
      </c>
      <c r="J30" s="292">
        <f t="shared" si="14"/>
        <v>1</v>
      </c>
      <c r="K30" s="292">
        <f t="shared" si="14"/>
        <v>1</v>
      </c>
      <c r="L30" s="292">
        <f>10^('Small Signal'!F30/30)</f>
        <v>8.5769589859089415</v>
      </c>
      <c r="M30" s="292" t="str">
        <f t="shared" si="15"/>
        <v>53.890622680545i</v>
      </c>
      <c r="N30" s="292">
        <f>IF(D$32=1, IF(AND('Small Signal'!$B$63&gt;=1,FCCM=0),U30+0,R30+0), 0)</f>
        <v>0</v>
      </c>
      <c r="O30" s="292">
        <f>IF(D$32=1, IF(AND('Small Signal'!$B$63&gt;=1,FCCM=0),V30,S30), 0)</f>
        <v>0</v>
      </c>
      <c r="P30" s="292">
        <f>IF(AND('Small Signal'!$B$63&gt;=1,FCCM=0),AE30+0,AB30+0)</f>
        <v>67.930507802943097</v>
      </c>
      <c r="Q30" s="292">
        <f>IF(AND('Small Signal'!$B$63&gt;=1,FCCM=0),AF30,AC30)</f>
        <v>153.32168382116723</v>
      </c>
      <c r="R30" s="292">
        <f t="shared" si="16"/>
        <v>18.456505727458431</v>
      </c>
      <c r="S30" s="292">
        <f t="shared" si="16"/>
        <v>-0.17657982207862213</v>
      </c>
      <c r="T30" s="292" t="str">
        <f>IMDIV(IMSUM('Small Signal'!$B$76,IMPRODUCT(M30,'Small Signal'!$B$77)),IMSUM(IMPRODUCT('Small Signal'!$B$80,IMPOWER(M30,2)),IMSUM(IMPRODUCT(M30,'Small Signal'!$B$79),'Small Signal'!$B$78)))</f>
        <v>5.36142996956127-0.0139895014284885i</v>
      </c>
      <c r="U30" s="292">
        <f t="shared" si="17"/>
        <v>14.585642321326983</v>
      </c>
      <c r="V30" s="292">
        <f t="shared" si="18"/>
        <v>-0.1495007068717773</v>
      </c>
      <c r="W30" s="292" t="str">
        <f>IMPRODUCT(IMDIV(IMSUM(IMPRODUCT(M30,'Small Signal'!$B$59*'Small Signal'!$B$6*'Small Signal'!$B$51*'Small Signal'!$B$7*'Small Signal'!$B$8),'Small Signal'!$B$59*'Small Signal'!$B$6*'Small Signal'!$B$51),IMSUM(IMSUM(IMPRODUCT(M30,('Small Signal'!$B$5+'Small Signal'!$B$6)*('Small Signal'!$B$58*'Small Signal'!$B$59)+'Small Signal'!$B$5*'Small Signal'!$B$59*('Small Signal'!$B$8+'Small Signal'!$B$9)+'Small Signal'!$B$6*'Small Signal'!$B$59*('Small Signal'!$B$8+'Small Signal'!$B$9)+'Small Signal'!$B$7*'Small Signal'!$B$8*('Small Signal'!$B$5+'Small Signal'!$B$6)),'Small Signal'!$B$6+'Small Signal'!$B$5),IMPRODUCT(IMPOWER(M30,2),'Small Signal'!$B$58*'Small Signal'!$B$59*'Small Signal'!$B$8*'Small Signal'!$B$7*('Small Signal'!$B$5+'Small Signal'!$B$6)+('Small Signal'!$B$5+'Small Signal'!$B$6)*('Small Signal'!$B$9*'Small Signal'!$B$8*'Small Signal'!$B$59*'Small Signal'!$B$7)))),-1)</f>
        <v>-266.363862995709+132.828668557865i</v>
      </c>
      <c r="X30" s="292">
        <f t="shared" si="3"/>
        <v>0</v>
      </c>
      <c r="Y30" s="292">
        <f t="shared" si="4"/>
        <v>0</v>
      </c>
      <c r="Z30" s="292" t="str">
        <f t="shared" si="5"/>
        <v>1.00000000094438+0.0000434957335332918i</v>
      </c>
      <c r="AA30" s="292" t="str">
        <f t="shared" si="19"/>
        <v>-2226.58897993297+1118.80197362776i</v>
      </c>
      <c r="AB30" s="289">
        <f t="shared" si="20"/>
        <v>67.930507802943097</v>
      </c>
      <c r="AC30" s="292">
        <f t="shared" si="21"/>
        <v>153.32168382116723</v>
      </c>
      <c r="AD30" s="292" t="str">
        <f t="shared" si="22"/>
        <v>-1426.23299102477+715.877902064934i</v>
      </c>
      <c r="AE30" s="289">
        <f t="shared" si="23"/>
        <v>64.059644380392513</v>
      </c>
      <c r="AF30" s="292">
        <f t="shared" si="6"/>
        <v>153.34627081441968</v>
      </c>
      <c r="AH30" s="292" t="str">
        <f t="shared" si="7"/>
        <v>0.00075-175.720681978975i</v>
      </c>
      <c r="AI30" s="292">
        <f t="shared" si="8"/>
        <v>0.95</v>
      </c>
      <c r="AJ30" s="292" t="str">
        <f t="shared" si="9"/>
        <v>1000-18556104016.9797i</v>
      </c>
      <c r="AK30" s="292" t="str">
        <f t="shared" si="10"/>
        <v>0.949972212141468-0.00513584160427758i</v>
      </c>
      <c r="AL30" s="292" t="str">
        <f t="shared" si="24"/>
        <v>1.18810560438877-4.24008815653116E-06i</v>
      </c>
      <c r="AM30" s="292" t="str">
        <f t="shared" si="11"/>
        <v>0.019+0.000118559369897199i</v>
      </c>
      <c r="AN30" s="292" t="str">
        <f t="shared" si="25"/>
        <v>8.37188441861822-0.0258013863158953i</v>
      </c>
      <c r="AO30" s="292">
        <f t="shared" si="26"/>
        <v>18.456505727458431</v>
      </c>
      <c r="AP30" s="292">
        <f t="shared" si="27"/>
        <v>-0.17657982207862213</v>
      </c>
      <c r="AR30" s="292" t="str">
        <f t="shared" si="12"/>
        <v>1.18810560438877-4.24008815653116E-06i</v>
      </c>
      <c r="AS30" s="292" t="str">
        <f t="shared" si="28"/>
        <v>8.37188441861822-0.0258013863158953i</v>
      </c>
      <c r="AT30" s="292">
        <f t="shared" si="29"/>
        <v>18.456505727458431</v>
      </c>
      <c r="AU30" s="292">
        <f t="shared" si="30"/>
        <v>-0.17657982207862213</v>
      </c>
    </row>
    <row r="31" spans="1:47" ht="12.75" x14ac:dyDescent="0.2">
      <c r="F31" s="292">
        <v>29</v>
      </c>
      <c r="G31" s="293">
        <f t="shared" si="0"/>
        <v>168.5817631947169</v>
      </c>
      <c r="H31" s="293">
        <f t="shared" si="1"/>
        <v>168.57881372500071</v>
      </c>
      <c r="I31" s="294">
        <f t="shared" si="2"/>
        <v>1</v>
      </c>
      <c r="J31" s="292">
        <f t="shared" si="14"/>
        <v>1</v>
      </c>
      <c r="K31" s="292">
        <f t="shared" si="14"/>
        <v>1</v>
      </c>
      <c r="L31" s="292">
        <f>10^('Small Signal'!F31/30)</f>
        <v>9.2611872812879383</v>
      </c>
      <c r="M31" s="292" t="str">
        <f t="shared" si="15"/>
        <v>58.1897558528268i</v>
      </c>
      <c r="N31" s="292">
        <f>IF(D$32=1, IF(AND('Small Signal'!$B$63&gt;=1,FCCM=0),U31+0,R31+0), 0)</f>
        <v>0</v>
      </c>
      <c r="O31" s="292">
        <f>IF(D$32=1, IF(AND('Small Signal'!$B$63&gt;=1,FCCM=0),V31,S31), 0)</f>
        <v>0</v>
      </c>
      <c r="P31" s="292">
        <f>IF(AND('Small Signal'!$B$63&gt;=1,FCCM=0),AE31+0,AB31+0)</f>
        <v>67.788102216651993</v>
      </c>
      <c r="Q31" s="292">
        <f>IF(AND('Small Signal'!$B$63&gt;=1,FCCM=0),AF31,AC31)</f>
        <v>151.515889229679</v>
      </c>
      <c r="R31" s="292">
        <f t="shared" si="16"/>
        <v>18.456499293691341</v>
      </c>
      <c r="S31" s="292">
        <f t="shared" si="16"/>
        <v>-0.19066641489819949</v>
      </c>
      <c r="T31" s="292" t="str">
        <f>IMDIV(IMSUM('Small Signal'!$B$76,IMPRODUCT(M31,'Small Signal'!$B$77)),IMSUM(IMPRODUCT('Small Signal'!$B$80,IMPOWER(M31,2)),IMSUM(IMPRODUCT(M31,'Small Signal'!$B$79),'Small Signal'!$B$78)))</f>
        <v>5.36142430246414-0.0151055013073675i</v>
      </c>
      <c r="U31" s="292">
        <f t="shared" si="17"/>
        <v>14.585638046019087</v>
      </c>
      <c r="V31" s="292">
        <f t="shared" si="18"/>
        <v>-0.16142710098449142</v>
      </c>
      <c r="W31" s="292" t="str">
        <f>IMPRODUCT(IMDIV(IMSUM(IMPRODUCT(M31,'Small Signal'!$B$59*'Small Signal'!$B$6*'Small Signal'!$B$51*'Small Signal'!$B$7*'Small Signal'!$B$8),'Small Signal'!$B$59*'Small Signal'!$B$6*'Small Signal'!$B$51),IMSUM(IMSUM(IMPRODUCT(M31,('Small Signal'!$B$5+'Small Signal'!$B$6)*('Small Signal'!$B$58*'Small Signal'!$B$59)+'Small Signal'!$B$5*'Small Signal'!$B$59*('Small Signal'!$B$8+'Small Signal'!$B$9)+'Small Signal'!$B$6*'Small Signal'!$B$59*('Small Signal'!$B$8+'Small Signal'!$B$9)+'Small Signal'!$B$7*'Small Signal'!$B$8*('Small Signal'!$B$5+'Small Signal'!$B$6)),'Small Signal'!$B$6+'Small Signal'!$B$5),IMPRODUCT(IMPOWER(M31,2),'Small Signal'!$B$58*'Small Signal'!$B$59*'Small Signal'!$B$8*'Small Signal'!$B$7*('Small Signal'!$B$5+'Small Signal'!$B$6)+('Small Signal'!$B$5+'Small Signal'!$B$6)*('Small Signal'!$B$9*'Small Signal'!$B$8*'Small Signal'!$B$59*'Small Signal'!$B$7)))),-1)</f>
        <v>-257.818517738906+138.798537517868i</v>
      </c>
      <c r="X31" s="292">
        <f t="shared" si="3"/>
        <v>0</v>
      </c>
      <c r="Y31" s="292">
        <f t="shared" si="4"/>
        <v>0</v>
      </c>
      <c r="Z31" s="292" t="str">
        <f t="shared" si="5"/>
        <v>1.00000000110106+0.0000469656127327995i</v>
      </c>
      <c r="AA31" s="292" t="str">
        <f t="shared" si="19"/>
        <v>-2154.61156659309+1169.08508340262i</v>
      </c>
      <c r="AB31" s="289">
        <f t="shared" si="20"/>
        <v>67.788102216651993</v>
      </c>
      <c r="AC31" s="292">
        <f t="shared" si="21"/>
        <v>151.515889229679</v>
      </c>
      <c r="AD31" s="292" t="str">
        <f t="shared" si="22"/>
        <v>-1380.17784514072+748.052330151547i</v>
      </c>
      <c r="AE31" s="289">
        <f t="shared" si="23"/>
        <v>63.91724094983654</v>
      </c>
      <c r="AF31" s="292">
        <f t="shared" si="6"/>
        <v>151.5424376122059</v>
      </c>
      <c r="AH31" s="292" t="str">
        <f t="shared" si="7"/>
        <v>0.00075-162.738214500292i</v>
      </c>
      <c r="AI31" s="292">
        <f t="shared" si="8"/>
        <v>0.95</v>
      </c>
      <c r="AJ31" s="292" t="str">
        <f t="shared" si="9"/>
        <v>1000-17185155451.2309i</v>
      </c>
      <c r="AK31" s="292" t="str">
        <f t="shared" si="10"/>
        <v>0.949967601892914-0.00554552726793113i</v>
      </c>
      <c r="AL31" s="292" t="str">
        <f t="shared" si="24"/>
        <v>1.18810560438626-4.57834187749255E-06i</v>
      </c>
      <c r="AM31" s="292" t="str">
        <f t="shared" si="11"/>
        <v>0.019+0.000128017462876219i</v>
      </c>
      <c r="AN31" s="292" t="str">
        <f t="shared" si="25"/>
        <v>8.37187162096136-0.0278596548256069i</v>
      </c>
      <c r="AO31" s="292">
        <f t="shared" si="26"/>
        <v>18.456499293691341</v>
      </c>
      <c r="AP31" s="292">
        <f t="shared" si="27"/>
        <v>-0.19066641489819949</v>
      </c>
      <c r="AR31" s="292" t="str">
        <f t="shared" si="12"/>
        <v>1.18810560438626-4.57834187749255E-06i</v>
      </c>
      <c r="AS31" s="292" t="str">
        <f t="shared" si="28"/>
        <v>8.37187162096136-0.0278596548256069i</v>
      </c>
      <c r="AT31" s="292">
        <f t="shared" si="29"/>
        <v>18.456499293691341</v>
      </c>
      <c r="AU31" s="292">
        <f t="shared" si="30"/>
        <v>-0.19066641489819949</v>
      </c>
    </row>
    <row r="32" spans="1:47" ht="12.75" x14ac:dyDescent="0.2">
      <c r="A32" s="295"/>
      <c r="B32" s="292"/>
      <c r="C32" s="292"/>
      <c r="D32" s="292">
        <f>VLOOKUP(DeviceCalculator!K136,B35:C36,2,FALSE)</f>
        <v>0</v>
      </c>
      <c r="F32" s="292">
        <v>30</v>
      </c>
      <c r="G32" s="293">
        <f t="shared" si="0"/>
        <v>168.58199848914148</v>
      </c>
      <c r="H32" s="293">
        <f t="shared" si="1"/>
        <v>168.57881372500071</v>
      </c>
      <c r="I32" s="294">
        <f t="shared" si="2"/>
        <v>1</v>
      </c>
      <c r="J32" s="292">
        <f t="shared" si="14"/>
        <v>1</v>
      </c>
      <c r="K32" s="292">
        <f t="shared" si="14"/>
        <v>1</v>
      </c>
      <c r="L32" s="292">
        <f>10^('Small Signal'!F32/30)</f>
        <v>10</v>
      </c>
      <c r="M32" s="292" t="str">
        <f t="shared" si="15"/>
        <v>62.8318530717959i</v>
      </c>
      <c r="N32" s="292">
        <f>IF(D$32=1, IF(AND('Small Signal'!$B$63&gt;=1,FCCM=0),U32+0,R32+0), 0)</f>
        <v>0</v>
      </c>
      <c r="O32" s="292">
        <f>IF(D$32=1, IF(AND('Small Signal'!$B$63&gt;=1,FCCM=0),V32,S32), 0)</f>
        <v>0</v>
      </c>
      <c r="P32" s="292">
        <f>IF(AND('Small Signal'!$B$63&gt;=1,FCCM=0),AE32+0,AB32+0)</f>
        <v>67.627758605175146</v>
      </c>
      <c r="Q32" s="292">
        <f>IF(AND('Small Signal'!$B$63&gt;=1,FCCM=0),AF32,AC32)</f>
        <v>149.63265723661451</v>
      </c>
      <c r="R32" s="292">
        <f t="shared" si="16"/>
        <v>18.456491792481572</v>
      </c>
      <c r="S32" s="292">
        <f t="shared" si="16"/>
        <v>-0.20587674434563491</v>
      </c>
      <c r="T32" s="292" t="str">
        <f>IMDIV(IMSUM('Small Signal'!$B$76,IMPRODUCT(M32,'Small Signal'!$B$77)),IMSUM(IMPRODUCT('Small Signal'!$B$80,IMPOWER(M32,2)),IMSUM(IMPRODUCT(M32,'Small Signal'!$B$79),'Small Signal'!$B$78)))</f>
        <v>5.36141769512802-0.0163105264079589i</v>
      </c>
      <c r="U32" s="292">
        <f t="shared" si="17"/>
        <v>14.585633061381335</v>
      </c>
      <c r="V32" s="292">
        <f t="shared" si="18"/>
        <v>-0.17430491242433255</v>
      </c>
      <c r="W32" s="292" t="str">
        <f>IMPRODUCT(IMDIV(IMSUM(IMPRODUCT(M32,'Small Signal'!$B$59*'Small Signal'!$B$6*'Small Signal'!$B$51*'Small Signal'!$B$7*'Small Signal'!$B$8),'Small Signal'!$B$59*'Small Signal'!$B$6*'Small Signal'!$B$51),IMSUM(IMSUM(IMPRODUCT(M32,('Small Signal'!$B$5+'Small Signal'!$B$6)*('Small Signal'!$B$58*'Small Signal'!$B$59)+'Small Signal'!$B$5*'Small Signal'!$B$59*('Small Signal'!$B$8+'Small Signal'!$B$9)+'Small Signal'!$B$6*'Small Signal'!$B$59*('Small Signal'!$B$8+'Small Signal'!$B$9)+'Small Signal'!$B$7*'Small Signal'!$B$8*('Small Signal'!$B$5+'Small Signal'!$B$6)),'Small Signal'!$B$6+'Small Signal'!$B$5),IMPRODUCT(IMPOWER(M32,2),'Small Signal'!$B$58*'Small Signal'!$B$59*'Small Signal'!$B$8*'Small Signal'!$B$7*('Small Signal'!$B$5+'Small Signal'!$B$6)+('Small Signal'!$B$5+'Small Signal'!$B$6)*('Small Signal'!$B$9*'Small Signal'!$B$8*'Small Signal'!$B$59*'Small Signal'!$B$7)))),-1)</f>
        <v>-248.526243906027+144.438911662271i</v>
      </c>
      <c r="X32" s="292">
        <f t="shared" si="3"/>
        <v>0</v>
      </c>
      <c r="Y32" s="292">
        <f t="shared" si="4"/>
        <v>0</v>
      </c>
      <c r="Z32" s="292" t="str">
        <f t="shared" si="5"/>
        <v>1.00000000128374+0.0000507123021077546i</v>
      </c>
      <c r="AA32" s="292" t="str">
        <f t="shared" si="19"/>
        <v>-2076.34277698043+1216.59277305817i</v>
      </c>
      <c r="AB32" s="289">
        <f t="shared" si="20"/>
        <v>67.627758605175146</v>
      </c>
      <c r="AC32" s="292">
        <f t="shared" si="21"/>
        <v>149.63265723661451</v>
      </c>
      <c r="AD32" s="292" t="str">
        <f t="shared" si="22"/>
        <v>-1330.09712709847+778.450930715433i</v>
      </c>
      <c r="AE32" s="289">
        <f t="shared" si="23"/>
        <v>63.756899851755563</v>
      </c>
      <c r="AF32" s="292">
        <f t="shared" si="6"/>
        <v>149.66132346766184</v>
      </c>
      <c r="AH32" s="292" t="str">
        <f t="shared" si="7"/>
        <v>0.00075-150.714908230961i</v>
      </c>
      <c r="AI32" s="292">
        <f t="shared" si="8"/>
        <v>0.95</v>
      </c>
      <c r="AJ32" s="292" t="str">
        <f t="shared" si="9"/>
        <v>1000-15915494309.1895i</v>
      </c>
      <c r="AK32" s="292" t="str">
        <f t="shared" si="10"/>
        <v>0.949962226794281-0.00598788869836126i</v>
      </c>
      <c r="AL32" s="292" t="str">
        <f t="shared" si="24"/>
        <v>1.18810560438334-4.94357984394911E-06i</v>
      </c>
      <c r="AM32" s="292" t="str">
        <f t="shared" si="11"/>
        <v>0.019+0.000138230076757951i</v>
      </c>
      <c r="AN32" s="292" t="str">
        <f t="shared" si="25"/>
        <v>8.37185670003668-0.0300821113536129i</v>
      </c>
      <c r="AO32" s="292">
        <f t="shared" si="26"/>
        <v>18.456491792481572</v>
      </c>
      <c r="AP32" s="292">
        <f t="shared" si="27"/>
        <v>-0.20587674434563491</v>
      </c>
      <c r="AR32" s="292" t="str">
        <f t="shared" si="12"/>
        <v>1.18810560438334-4.94357984394911E-06i</v>
      </c>
      <c r="AS32" s="292" t="str">
        <f t="shared" si="28"/>
        <v>8.37185670003668-0.0300821113536129i</v>
      </c>
      <c r="AT32" s="292">
        <f t="shared" si="29"/>
        <v>18.456491792481572</v>
      </c>
      <c r="AU32" s="292">
        <f t="shared" si="30"/>
        <v>-0.20587674434563491</v>
      </c>
    </row>
    <row r="33" spans="1:47" ht="12.75" x14ac:dyDescent="0.2">
      <c r="A33" s="295"/>
      <c r="B33" s="292"/>
      <c r="C33" s="292"/>
      <c r="D33" s="292">
        <f>VLOOKUP(DeviceCalculator!K137,B35:C36,2,FALSE)</f>
        <v>0</v>
      </c>
      <c r="F33" s="292">
        <v>31</v>
      </c>
      <c r="G33" s="293">
        <f t="shared" si="0"/>
        <v>168.58225255421684</v>
      </c>
      <c r="H33" s="293">
        <f t="shared" si="1"/>
        <v>168.57881372500071</v>
      </c>
      <c r="I33" s="294">
        <f t="shared" si="2"/>
        <v>1</v>
      </c>
      <c r="J33" s="292">
        <f t="shared" si="14"/>
        <v>1</v>
      </c>
      <c r="K33" s="292">
        <f t="shared" si="14"/>
        <v>1</v>
      </c>
      <c r="L33" s="292">
        <f>10^('Small Signal'!F33/30)</f>
        <v>10.797751623277103</v>
      </c>
      <c r="M33" s="292" t="str">
        <f t="shared" si="15"/>
        <v>67.8442743499492i</v>
      </c>
      <c r="N33" s="292">
        <f>IF(D$32=1, IF(AND('Small Signal'!$B$63&gt;=1,FCCM=0),U33+0,R33+0), 0)</f>
        <v>0</v>
      </c>
      <c r="O33" s="292">
        <f>IF(D$32=1, IF(AND('Small Signal'!$B$63&gt;=1,FCCM=0),V33,S33), 0)</f>
        <v>0</v>
      </c>
      <c r="P33" s="292">
        <f>IF(AND('Small Signal'!$B$63&gt;=1,FCCM=0),AE33+0,AB33+0)</f>
        <v>67.447992727177279</v>
      </c>
      <c r="Q33" s="292">
        <f>IF(AND('Small Signal'!$B$63&gt;=1,FCCM=0),AF33,AC33)</f>
        <v>147.6770725315381</v>
      </c>
      <c r="R33" s="292">
        <f t="shared" si="16"/>
        <v>18.456483046729339</v>
      </c>
      <c r="S33" s="292">
        <f t="shared" si="16"/>
        <v>-0.22230045058203549</v>
      </c>
      <c r="T33" s="292" t="str">
        <f>IMDIV(IMSUM('Small Signal'!$B$76,IMPRODUCT(M33,'Small Signal'!$B$77)),IMSUM(IMPRODUCT('Small Signal'!$B$80,IMPOWER(M33,2)),IMSUM(IMPRODUCT(M33,'Small Signal'!$B$79),'Small Signal'!$B$78)))</f>
        <v>5.36140999155872-0.0176116777349877i</v>
      </c>
      <c r="U33" s="292">
        <f t="shared" si="17"/>
        <v>14.585627249727516</v>
      </c>
      <c r="V33" s="292">
        <f t="shared" si="18"/>
        <v>-0.18821003737490274</v>
      </c>
      <c r="W33" s="292" t="str">
        <f>IMPRODUCT(IMDIV(IMSUM(IMPRODUCT(M33,'Small Signal'!$B$59*'Small Signal'!$B$6*'Small Signal'!$B$51*'Small Signal'!$B$7*'Small Signal'!$B$8),'Small Signal'!$B$59*'Small Signal'!$B$6*'Small Signal'!$B$51),IMSUM(IMSUM(IMPRODUCT(M33,('Small Signal'!$B$5+'Small Signal'!$B$6)*('Small Signal'!$B$58*'Small Signal'!$B$59)+'Small Signal'!$B$5*'Small Signal'!$B$59*('Small Signal'!$B$8+'Small Signal'!$B$9)+'Small Signal'!$B$6*'Small Signal'!$B$59*('Small Signal'!$B$8+'Small Signal'!$B$9)+'Small Signal'!$B$7*'Small Signal'!$B$8*('Small Signal'!$B$5+'Small Signal'!$B$6)),'Small Signal'!$B$6+'Small Signal'!$B$5),IMPRODUCT(IMPOWER(M33,2),'Small Signal'!$B$58*'Small Signal'!$B$59*'Small Signal'!$B$8*'Small Signal'!$B$7*('Small Signal'!$B$5+'Small Signal'!$B$6)+('Small Signal'!$B$5+'Small Signal'!$B$6)*('Small Signal'!$B$9*'Small Signal'!$B$8*'Small Signal'!$B$59*'Small Signal'!$B$7)))),-1)</f>
        <v>-238.508303091882+149.637814048557i</v>
      </c>
      <c r="X33" s="292">
        <f t="shared" si="3"/>
        <v>0</v>
      </c>
      <c r="Y33" s="292">
        <f t="shared" si="4"/>
        <v>0</v>
      </c>
      <c r="Z33" s="292" t="str">
        <f t="shared" si="5"/>
        <v>1.00000000149673+0.0000547578842345907i</v>
      </c>
      <c r="AA33" s="292" t="str">
        <f t="shared" si="19"/>
        <v>-1991.96169763375+1260.38185423687i</v>
      </c>
      <c r="AB33" s="289">
        <f t="shared" si="20"/>
        <v>67.447992727177279</v>
      </c>
      <c r="AC33" s="292">
        <f t="shared" si="21"/>
        <v>147.6770725315381</v>
      </c>
      <c r="AD33" s="292" t="str">
        <f t="shared" si="22"/>
        <v>-1276.10542630854+806.470202726112i</v>
      </c>
      <c r="AE33" s="289">
        <f t="shared" si="23"/>
        <v>63.577136904153029</v>
      </c>
      <c r="AF33" s="292">
        <f t="shared" si="6"/>
        <v>147.70802554909136</v>
      </c>
      <c r="AH33" s="292" t="str">
        <f t="shared" si="7"/>
        <v>0.00075-139.579899120906i</v>
      </c>
      <c r="AI33" s="292">
        <f t="shared" si="8"/>
        <v>0.95</v>
      </c>
      <c r="AJ33" s="292" t="str">
        <f t="shared" si="9"/>
        <v>1000-14739637347.1677i</v>
      </c>
      <c r="AK33" s="292" t="str">
        <f t="shared" si="10"/>
        <v>0.949955959966231-0.00646553080470546i</v>
      </c>
      <c r="AL33" s="292" t="str">
        <f t="shared" si="24"/>
        <v>1.18810560437992-5.33795472846482E-06i</v>
      </c>
      <c r="AM33" s="292" t="str">
        <f t="shared" si="11"/>
        <v>0.019+0.000149257403569888i</v>
      </c>
      <c r="AN33" s="292" t="str">
        <f t="shared" si="25"/>
        <v>8.37183930358067-0.0324818512588779i</v>
      </c>
      <c r="AO33" s="292">
        <f t="shared" si="26"/>
        <v>18.456483046729339</v>
      </c>
      <c r="AP33" s="292">
        <f t="shared" si="27"/>
        <v>-0.22230045058203549</v>
      </c>
      <c r="AR33" s="292" t="str">
        <f t="shared" si="12"/>
        <v>1.18810560437992-5.33795472846482E-06i</v>
      </c>
      <c r="AS33" s="292" t="str">
        <f t="shared" si="28"/>
        <v>8.37183930358067-0.0324818512588779i</v>
      </c>
      <c r="AT33" s="292">
        <f t="shared" si="29"/>
        <v>18.456483046729339</v>
      </c>
      <c r="AU33" s="292">
        <f t="shared" si="30"/>
        <v>-0.22230045058203549</v>
      </c>
    </row>
    <row r="34" spans="1:47" ht="12.75" x14ac:dyDescent="0.2">
      <c r="A34" s="292"/>
      <c r="B34" s="292"/>
      <c r="C34" s="292"/>
      <c r="D34" s="292"/>
      <c r="F34" s="292">
        <v>32</v>
      </c>
      <c r="G34" s="293">
        <f t="shared" si="0"/>
        <v>168.58252688737451</v>
      </c>
      <c r="H34" s="293">
        <f t="shared" si="1"/>
        <v>168.57881372500071</v>
      </c>
      <c r="I34" s="294">
        <f t="shared" si="2"/>
        <v>1</v>
      </c>
      <c r="J34" s="292">
        <f t="shared" si="14"/>
        <v>1</v>
      </c>
      <c r="K34" s="292">
        <f t="shared" si="14"/>
        <v>1</v>
      </c>
      <c r="L34" s="292">
        <f>10^('Small Signal'!F34/30)</f>
        <v>11.659144011798322</v>
      </c>
      <c r="M34" s="292" t="str">
        <f t="shared" si="15"/>
        <v>73.2565623492221i</v>
      </c>
      <c r="N34" s="292">
        <f>IF(D$32=1, IF(AND('Small Signal'!$B$63&gt;=1,FCCM=0),U34+0,R34+0), 0)</f>
        <v>0</v>
      </c>
      <c r="O34" s="292">
        <f>IF(D$32=1, IF(AND('Small Signal'!$B$63&gt;=1,FCCM=0),V34,S34), 0)</f>
        <v>0</v>
      </c>
      <c r="P34" s="292">
        <f>IF(AND('Small Signal'!$B$63&gt;=1,FCCM=0),AE34+0,AB34+0)</f>
        <v>67.247384615734944</v>
      </c>
      <c r="Q34" s="292">
        <f>IF(AND('Small Signal'!$B$63&gt;=1,FCCM=0),AF34,AC34)</f>
        <v>145.65571891749437</v>
      </c>
      <c r="R34" s="292">
        <f t="shared" si="16"/>
        <v>18.456472849953055</v>
      </c>
      <c r="S34" s="292">
        <f t="shared" si="16"/>
        <v>-0.24003432324473661</v>
      </c>
      <c r="T34" s="292" t="str">
        <f>IMDIV(IMSUM('Small Signal'!$B$76,IMPRODUCT(M34,'Small Signal'!$B$77)),IMSUM(IMPRODUCT('Small Signal'!$B$80,IMPOWER(M34,2)),IMSUM(IMPRODUCT(M34,'Small Signal'!$B$79),'Small Signal'!$B$78)))</f>
        <v>5.36140100988221-0.0190166225188988i</v>
      </c>
      <c r="U34" s="292">
        <f t="shared" si="17"/>
        <v>14.585620473846312</v>
      </c>
      <c r="V34" s="292">
        <f t="shared" si="18"/>
        <v>-0.20322442579881642</v>
      </c>
      <c r="W34" s="292" t="str">
        <f>IMPRODUCT(IMDIV(IMSUM(IMPRODUCT(M34,'Small Signal'!$B$59*'Small Signal'!$B$6*'Small Signal'!$B$51*'Small Signal'!$B$7*'Small Signal'!$B$8),'Small Signal'!$B$59*'Small Signal'!$B$6*'Small Signal'!$B$51),IMSUM(IMSUM(IMPRODUCT(M34,('Small Signal'!$B$5+'Small Signal'!$B$6)*('Small Signal'!$B$58*'Small Signal'!$B$59)+'Small Signal'!$B$5*'Small Signal'!$B$59*('Small Signal'!$B$8+'Small Signal'!$B$9)+'Small Signal'!$B$6*'Small Signal'!$B$59*('Small Signal'!$B$8+'Small Signal'!$B$9)+'Small Signal'!$B$7*'Small Signal'!$B$8*('Small Signal'!$B$5+'Small Signal'!$B$6)),'Small Signal'!$B$6+'Small Signal'!$B$5),IMPRODUCT(IMPOWER(M34,2),'Small Signal'!$B$58*'Small Signal'!$B$59*'Small Signal'!$B$8*'Small Signal'!$B$7*('Small Signal'!$B$5+'Small Signal'!$B$6)+('Small Signal'!$B$5+'Small Signal'!$B$6)*('Small Signal'!$B$9*'Small Signal'!$B$8*'Small Signal'!$B$59*'Small Signal'!$B$7)))),-1)</f>
        <v>-227.807691581555+154.281675470011i</v>
      </c>
      <c r="X34" s="292">
        <f t="shared" si="3"/>
        <v>0</v>
      </c>
      <c r="Y34" s="292">
        <f t="shared" si="4"/>
        <v>0</v>
      </c>
      <c r="Z34" s="292" t="str">
        <f t="shared" si="5"/>
        <v>1.00000000174506+0.0000591262033307979i</v>
      </c>
      <c r="AA34" s="292" t="str">
        <f t="shared" si="19"/>
        <v>-1901.83048635965+1299.49572639622i</v>
      </c>
      <c r="AB34" s="289">
        <f t="shared" si="20"/>
        <v>67.247384615734944</v>
      </c>
      <c r="AC34" s="292">
        <f t="shared" si="21"/>
        <v>145.65571891749437</v>
      </c>
      <c r="AD34" s="292" t="str">
        <f t="shared" si="22"/>
        <v>-1218.43447132029+831.498063548945i</v>
      </c>
      <c r="AE34" s="289">
        <f t="shared" si="23"/>
        <v>63.376532209288285</v>
      </c>
      <c r="AF34" s="292">
        <f t="shared" si="6"/>
        <v>145.68914113304086</v>
      </c>
      <c r="AH34" s="292" t="str">
        <f t="shared" si="7"/>
        <v>0.00075-129.267558646199i</v>
      </c>
      <c r="AI34" s="292">
        <f t="shared" si="8"/>
        <v>0.95</v>
      </c>
      <c r="AJ34" s="292" t="str">
        <f t="shared" si="9"/>
        <v>1000-13650654193.0386i</v>
      </c>
      <c r="AK34" s="292" t="str">
        <f t="shared" si="10"/>
        <v>0.94994865348564-0.00698126583574917i</v>
      </c>
      <c r="AL34" s="292" t="str">
        <f t="shared" si="24"/>
        <v>1.18810560437595-5.76379093340674E-06i</v>
      </c>
      <c r="AM34" s="292" t="str">
        <f t="shared" si="11"/>
        <v>0.019+0.000161164437168289i</v>
      </c>
      <c r="AN34" s="292" t="str">
        <f t="shared" si="25"/>
        <v>8.37181902089046-0.0350730138683857i</v>
      </c>
      <c r="AO34" s="292">
        <f t="shared" si="26"/>
        <v>18.456472849953055</v>
      </c>
      <c r="AP34" s="292">
        <f t="shared" si="27"/>
        <v>-0.24003432324473661</v>
      </c>
      <c r="AR34" s="292" t="str">
        <f t="shared" si="12"/>
        <v>1.18810560437595-5.76379093340674E-06i</v>
      </c>
      <c r="AS34" s="292" t="str">
        <f t="shared" si="28"/>
        <v>8.37181902089046-0.0350730138683857i</v>
      </c>
      <c r="AT34" s="292">
        <f t="shared" si="29"/>
        <v>18.456472849953055</v>
      </c>
      <c r="AU34" s="292">
        <f t="shared" si="30"/>
        <v>-0.24003432324473661</v>
      </c>
    </row>
    <row r="35" spans="1:47" ht="12.75" x14ac:dyDescent="0.2">
      <c r="A35" s="292"/>
      <c r="B35" s="295" t="s">
        <v>452</v>
      </c>
      <c r="C35" s="292">
        <v>1</v>
      </c>
      <c r="D35" s="292"/>
      <c r="F35" s="292">
        <v>33</v>
      </c>
      <c r="G35" s="293">
        <f t="shared" si="0"/>
        <v>168.58282310550408</v>
      </c>
      <c r="H35" s="293">
        <f t="shared" si="1"/>
        <v>168.57881372500071</v>
      </c>
      <c r="I35" s="294">
        <f t="shared" si="2"/>
        <v>1</v>
      </c>
      <c r="J35" s="292">
        <f t="shared" si="14"/>
        <v>1</v>
      </c>
      <c r="K35" s="292">
        <f t="shared" si="14"/>
        <v>1</v>
      </c>
      <c r="L35" s="292">
        <f>10^('Small Signal'!F35/30)</f>
        <v>12.58925411794168</v>
      </c>
      <c r="M35" s="292" t="str">
        <f t="shared" si="15"/>
        <v>79.1006165022013i</v>
      </c>
      <c r="N35" s="292">
        <f>IF(D$32=1, IF(AND('Small Signal'!$B$63&gt;=1,FCCM=0),U35+0,R35+0), 0)</f>
        <v>0</v>
      </c>
      <c r="O35" s="292">
        <f>IF(D$32=1, IF(AND('Small Signal'!$B$63&gt;=1,FCCM=0),V35,S35), 0)</f>
        <v>0</v>
      </c>
      <c r="P35" s="292">
        <f>IF(AND('Small Signal'!$B$63&gt;=1,FCCM=0),AE35+0,AB35+0)</f>
        <v>67.024623837901729</v>
      </c>
      <c r="Q35" s="292">
        <f>IF(AND('Small Signal'!$B$63&gt;=1,FCCM=0),AF35,AC35)</f>
        <v>143.57666780575542</v>
      </c>
      <c r="R35" s="292">
        <f t="shared" si="16"/>
        <v>18.456460961414891</v>
      </c>
      <c r="S35" s="292">
        <f t="shared" si="16"/>
        <v>-0.2591828713882523</v>
      </c>
      <c r="T35" s="292" t="str">
        <f>IMDIV(IMSUM('Small Signal'!$B$76,IMPRODUCT(M35,'Small Signal'!$B$77)),IMSUM(IMPRODUCT('Small Signal'!$B$80,IMPOWER(M35,2)),IMSUM(IMPRODUCT(M35,'Small Signal'!$B$79),'Small Signal'!$B$78)))</f>
        <v>5.36139053805144-0.0205336393197847i</v>
      </c>
      <c r="U35" s="292">
        <f t="shared" si="17"/>
        <v>14.585612573762067</v>
      </c>
      <c r="V35" s="292">
        <f t="shared" si="18"/>
        <v>-0.21943656415846952</v>
      </c>
      <c r="W35" s="292" t="str">
        <f>IMPRODUCT(IMDIV(IMSUM(IMPRODUCT(M35,'Small Signal'!$B$59*'Small Signal'!$B$6*'Small Signal'!$B$51*'Small Signal'!$B$7*'Small Signal'!$B$8),'Small Signal'!$B$59*'Small Signal'!$B$6*'Small Signal'!$B$51),IMSUM(IMSUM(IMPRODUCT(M35,('Small Signal'!$B$5+'Small Signal'!$B$6)*('Small Signal'!$B$58*'Small Signal'!$B$59)+'Small Signal'!$B$5*'Small Signal'!$B$59*('Small Signal'!$B$8+'Small Signal'!$B$9)+'Small Signal'!$B$6*'Small Signal'!$B$59*('Small Signal'!$B$8+'Small Signal'!$B$9)+'Small Signal'!$B$7*'Small Signal'!$B$8*('Small Signal'!$B$5+'Small Signal'!$B$6)),'Small Signal'!$B$6+'Small Signal'!$B$5),IMPRODUCT(IMPOWER(M35,2),'Small Signal'!$B$58*'Small Signal'!$B$59*'Small Signal'!$B$8*'Small Signal'!$B$7*('Small Signal'!$B$5+'Small Signal'!$B$6)+('Small Signal'!$B$5+'Small Signal'!$B$6)*('Small Signal'!$B$9*'Small Signal'!$B$8*'Small Signal'!$B$59*'Small Signal'!$B$7)))),-1)</f>
        <v>-216.490481267789+158.26035991645i</v>
      </c>
      <c r="X35" s="292">
        <f t="shared" si="3"/>
        <v>0</v>
      </c>
      <c r="Y35" s="292">
        <f t="shared" si="4"/>
        <v>0</v>
      </c>
      <c r="Z35" s="292" t="str">
        <f t="shared" si="5"/>
        <v>1.0000000020346+0.0000638430057901065i</v>
      </c>
      <c r="AA35" s="292" t="str">
        <f t="shared" si="19"/>
        <v>-1806.50566678108+1333.00670620722i</v>
      </c>
      <c r="AB35" s="289">
        <f t="shared" si="20"/>
        <v>67.024623837901729</v>
      </c>
      <c r="AC35" s="292">
        <f t="shared" si="21"/>
        <v>143.57666780575542</v>
      </c>
      <c r="AD35" s="292" t="str">
        <f t="shared" si="22"/>
        <v>-1157.44035669818+852.94093366319i</v>
      </c>
      <c r="AE35" s="289">
        <f t="shared" si="23"/>
        <v>63.153775414875057</v>
      </c>
      <c r="AF35" s="292">
        <f t="shared" si="6"/>
        <v>143.61275617821443</v>
      </c>
      <c r="AH35" s="292" t="str">
        <f t="shared" si="7"/>
        <v>0.00075-119.717107001732i</v>
      </c>
      <c r="AI35" s="292">
        <f t="shared" si="8"/>
        <v>0.95</v>
      </c>
      <c r="AJ35" s="292" t="str">
        <f t="shared" si="9"/>
        <v>1000-12642126499.3829i</v>
      </c>
      <c r="AK35" s="292" t="str">
        <f t="shared" si="10"/>
        <v>0.949940134896723-0.00753812979949363i</v>
      </c>
      <c r="AL35" s="292" t="str">
        <f t="shared" si="24"/>
        <v>1.18810560437131-6.22359829071796E-06i</v>
      </c>
      <c r="AM35" s="292" t="str">
        <f t="shared" si="11"/>
        <v>0.019+0.000174021356304843i</v>
      </c>
      <c r="AN35" s="292" t="str">
        <f t="shared" si="25"/>
        <v>8.37179537312997-0.0378708655743832i</v>
      </c>
      <c r="AO35" s="292">
        <f t="shared" si="26"/>
        <v>18.456460961414891</v>
      </c>
      <c r="AP35" s="292">
        <f t="shared" si="27"/>
        <v>-0.2591828713882523</v>
      </c>
      <c r="AR35" s="292" t="str">
        <f t="shared" si="12"/>
        <v>1.18810560437131-6.22359829071796E-06i</v>
      </c>
      <c r="AS35" s="292" t="str">
        <f t="shared" si="28"/>
        <v>8.37179537312997-0.0378708655743832i</v>
      </c>
      <c r="AT35" s="292">
        <f t="shared" si="29"/>
        <v>18.456460961414891</v>
      </c>
      <c r="AU35" s="292">
        <f t="shared" si="30"/>
        <v>-0.2591828713882523</v>
      </c>
    </row>
    <row r="36" spans="1:47" ht="12.75" x14ac:dyDescent="0.2">
      <c r="A36" s="292"/>
      <c r="B36" s="292" t="s">
        <v>454</v>
      </c>
      <c r="C36" s="292">
        <v>0</v>
      </c>
      <c r="D36" s="292"/>
      <c r="F36" s="292">
        <v>34</v>
      </c>
      <c r="G36" s="293">
        <f t="shared" si="0"/>
        <v>168.58314295448264</v>
      </c>
      <c r="H36" s="293">
        <f t="shared" si="1"/>
        <v>168.57881372500071</v>
      </c>
      <c r="I36" s="294">
        <f t="shared" si="2"/>
        <v>1</v>
      </c>
      <c r="J36" s="292">
        <f t="shared" si="14"/>
        <v>1</v>
      </c>
      <c r="K36" s="292">
        <f t="shared" si="14"/>
        <v>1</v>
      </c>
      <c r="L36" s="292">
        <f>10^('Small Signal'!F36/30)</f>
        <v>13.593563908785256</v>
      </c>
      <c r="M36" s="292" t="str">
        <f t="shared" si="15"/>
        <v>85.4108810238862i</v>
      </c>
      <c r="N36" s="292">
        <f>IF(D$32=1, IF(AND('Small Signal'!$B$63&gt;=1,FCCM=0),U36+0,R36+0), 0)</f>
        <v>0</v>
      </c>
      <c r="O36" s="292">
        <f>IF(D$32=1, IF(AND('Small Signal'!$B$63&gt;=1,FCCM=0),V36,S36), 0)</f>
        <v>0</v>
      </c>
      <c r="P36" s="292">
        <f>IF(AND('Small Signal'!$B$63&gt;=1,FCCM=0),AE36+0,AB36+0)</f>
        <v>66.778556107461469</v>
      </c>
      <c r="Q36" s="292">
        <f>IF(AND('Small Signal'!$B$63&gt;=1,FCCM=0),AF36,AC36)</f>
        <v>141.44939563872879</v>
      </c>
      <c r="R36" s="292">
        <f t="shared" si="16"/>
        <v>18.456447100438101</v>
      </c>
      <c r="S36" s="292">
        <f t="shared" si="16"/>
        <v>-0.27985893878634893</v>
      </c>
      <c r="T36" s="292" t="str">
        <f>IMDIV(IMSUM('Small Signal'!$B$76,IMPRODUCT(M36,'Small Signal'!$B$77)),IMSUM(IMPRODUCT('Small Signal'!$B$80,IMPOWER(M36,2)),IMSUM(IMPRODUCT(M36,'Small Signal'!$B$79),'Small Signal'!$B$78)))</f>
        <v>5.36137832884098-0.0221716667121865i</v>
      </c>
      <c r="U36" s="292">
        <f t="shared" si="17"/>
        <v>14.585603362958002</v>
      </c>
      <c r="V36" s="292">
        <f t="shared" si="18"/>
        <v>-0.23694199658886794</v>
      </c>
      <c r="W36" s="292" t="str">
        <f>IMPRODUCT(IMDIV(IMSUM(IMPRODUCT(M36,'Small Signal'!$B$59*'Small Signal'!$B$6*'Small Signal'!$B$51*'Small Signal'!$B$7*'Small Signal'!$B$8),'Small Signal'!$B$59*'Small Signal'!$B$6*'Small Signal'!$B$51),IMSUM(IMSUM(IMPRODUCT(M36,('Small Signal'!$B$5+'Small Signal'!$B$6)*('Small Signal'!$B$58*'Small Signal'!$B$59)+'Small Signal'!$B$5*'Small Signal'!$B$59*('Small Signal'!$B$8+'Small Signal'!$B$9)+'Small Signal'!$B$6*'Small Signal'!$B$59*('Small Signal'!$B$8+'Small Signal'!$B$9)+'Small Signal'!$B$7*'Small Signal'!$B$8*('Small Signal'!$B$5+'Small Signal'!$B$6)),'Small Signal'!$B$6+'Small Signal'!$B$5),IMPRODUCT(IMPOWER(M36,2),'Small Signal'!$B$58*'Small Signal'!$B$59*'Small Signal'!$B$8*'Small Signal'!$B$7*('Small Signal'!$B$5+'Small Signal'!$B$6)+('Small Signal'!$B$5+'Small Signal'!$B$6)*('Small Signal'!$B$9*'Small Signal'!$B$8*'Small Signal'!$B$59*'Small Signal'!$B$7)))),-1)</f>
        <v>-204.645772629017+161.472789168168i</v>
      </c>
      <c r="X36" s="292">
        <f t="shared" si="3"/>
        <v>0</v>
      </c>
      <c r="Y36" s="292">
        <f t="shared" si="4"/>
        <v>0</v>
      </c>
      <c r="Z36" s="292" t="str">
        <f t="shared" si="5"/>
        <v>1.00000000237217+0.0000689360919288847i</v>
      </c>
      <c r="AA36" s="292" t="str">
        <f t="shared" si="19"/>
        <v>-1706.73773227727+1360.06340344693i</v>
      </c>
      <c r="AB36" s="289">
        <f t="shared" si="20"/>
        <v>66.778556107461469</v>
      </c>
      <c r="AC36" s="292">
        <f t="shared" si="21"/>
        <v>141.44939563872879</v>
      </c>
      <c r="AD36" s="292" t="str">
        <f t="shared" si="22"/>
        <v>-1093.60328959761+870.254050408513i</v>
      </c>
      <c r="AE36" s="289">
        <f t="shared" si="23"/>
        <v>62.907712328738498</v>
      </c>
      <c r="AF36" s="292">
        <f t="shared" si="6"/>
        <v>141.48836283381829</v>
      </c>
      <c r="AH36" s="292" t="str">
        <f t="shared" si="7"/>
        <v>0.00075-110.872254871703i</v>
      </c>
      <c r="AI36" s="292">
        <f t="shared" si="8"/>
        <v>0.95</v>
      </c>
      <c r="AJ36" s="292" t="str">
        <f t="shared" si="9"/>
        <v>1000-11708110114.4518i</v>
      </c>
      <c r="AK36" s="292" t="str">
        <f t="shared" si="10"/>
        <v>0.949930203144283-0.0081394001612889i</v>
      </c>
      <c r="AL36" s="292" t="str">
        <f t="shared" si="24"/>
        <v>1.1881056043659-6.72008685459184E-06i</v>
      </c>
      <c r="AM36" s="292" t="str">
        <f t="shared" si="11"/>
        <v>0.019+0.00018790393825255i</v>
      </c>
      <c r="AN36" s="292" t="str">
        <f t="shared" si="25"/>
        <v>8.37176780202883-0.040891889512714i</v>
      </c>
      <c r="AO36" s="292">
        <f t="shared" si="26"/>
        <v>18.456447100438101</v>
      </c>
      <c r="AP36" s="292">
        <f t="shared" si="27"/>
        <v>-0.27985893878634893</v>
      </c>
      <c r="AR36" s="292" t="str">
        <f t="shared" si="12"/>
        <v>1.1881056043659-6.72008685459184E-06i</v>
      </c>
      <c r="AS36" s="292" t="str">
        <f t="shared" si="28"/>
        <v>8.37176780202883-0.040891889512714i</v>
      </c>
      <c r="AT36" s="292">
        <f t="shared" si="29"/>
        <v>18.456447100438101</v>
      </c>
      <c r="AU36" s="292">
        <f t="shared" si="30"/>
        <v>-0.27985893878634893</v>
      </c>
    </row>
    <row r="37" spans="1:47" ht="12.75" x14ac:dyDescent="0.2">
      <c r="A37" s="292"/>
      <c r="B37" s="292"/>
      <c r="C37" s="292"/>
      <c r="D37" s="292"/>
      <c r="F37" s="292">
        <v>35</v>
      </c>
      <c r="G37" s="293">
        <f t="shared" si="0"/>
        <v>168.58348831946483</v>
      </c>
      <c r="H37" s="293">
        <f t="shared" si="1"/>
        <v>168.57881372500071</v>
      </c>
      <c r="I37" s="294">
        <f t="shared" si="2"/>
        <v>1</v>
      </c>
      <c r="J37" s="292">
        <f t="shared" si="14"/>
        <v>1</v>
      </c>
      <c r="K37" s="292">
        <f t="shared" si="14"/>
        <v>1</v>
      </c>
      <c r="L37" s="292">
        <f>10^('Small Signal'!F37/30)</f>
        <v>14.677992676220699</v>
      </c>
      <c r="M37" s="292" t="str">
        <f t="shared" si="15"/>
        <v>92.2245479221195i</v>
      </c>
      <c r="N37" s="292">
        <f>IF(D$32=1, IF(AND('Small Signal'!$B$63&gt;=1,FCCM=0),U37+0,R37+0), 0)</f>
        <v>0</v>
      </c>
      <c r="O37" s="292">
        <f>IF(D$32=1, IF(AND('Small Signal'!$B$63&gt;=1,FCCM=0),V37,S37), 0)</f>
        <v>0</v>
      </c>
      <c r="P37" s="292">
        <f>IF(AND('Small Signal'!$B$63&gt;=1,FCCM=0),AE37+0,AB37+0)</f>
        <v>66.508228186450538</v>
      </c>
      <c r="Q37" s="292">
        <f>IF(AND('Small Signal'!$B$63&gt;=1,FCCM=0),AF37,AC37)</f>
        <v>139.28462513139442</v>
      </c>
      <c r="R37" s="292">
        <f t="shared" si="16"/>
        <v>18.45643093978132</v>
      </c>
      <c r="S37" s="292">
        <f t="shared" si="16"/>
        <v>-0.30218436818641492</v>
      </c>
      <c r="T37" s="292" t="str">
        <f>IMDIV(IMSUM('Small Signal'!$B$76,IMPRODUCT(M37,'Small Signal'!$B$77)),IMSUM(IMPRODUCT('Small Signal'!$B$80,IMPOWER(M37,2)),IMSUM(IMPRODUCT(M37,'Small Signal'!$B$79),'Small Signal'!$B$78)))</f>
        <v>5.36136409401173-0.023940355831956i</v>
      </c>
      <c r="U37" s="292">
        <f t="shared" si="17"/>
        <v>14.585592623973296</v>
      </c>
      <c r="V37" s="292">
        <f t="shared" si="18"/>
        <v>-0.25584388757526344</v>
      </c>
      <c r="W37" s="292" t="str">
        <f>IMPRODUCT(IMDIV(IMSUM(IMPRODUCT(M37,'Small Signal'!$B$59*'Small Signal'!$B$6*'Small Signal'!$B$51*'Small Signal'!$B$7*'Small Signal'!$B$8),'Small Signal'!$B$59*'Small Signal'!$B$6*'Small Signal'!$B$51),IMSUM(IMSUM(IMPRODUCT(M37,('Small Signal'!$B$5+'Small Signal'!$B$6)*('Small Signal'!$B$58*'Small Signal'!$B$59)+'Small Signal'!$B$5*'Small Signal'!$B$59*('Small Signal'!$B$8+'Small Signal'!$B$9)+'Small Signal'!$B$6*'Small Signal'!$B$59*('Small Signal'!$B$8+'Small Signal'!$B$9)+'Small Signal'!$B$7*'Small Signal'!$B$8*('Small Signal'!$B$5+'Small Signal'!$B$6)),'Small Signal'!$B$6+'Small Signal'!$B$5),IMPRODUCT(IMPOWER(M37,2),'Small Signal'!$B$58*'Small Signal'!$B$59*'Small Signal'!$B$8*'Small Signal'!$B$7*('Small Signal'!$B$5+'Small Signal'!$B$6)+('Small Signal'!$B$5+'Small Signal'!$B$6)*('Small Signal'!$B$9*'Small Signal'!$B$8*'Small Signal'!$B$59*'Small Signal'!$B$7)))),-1)</f>
        <v>-192.384011280474+163.83271628432i</v>
      </c>
      <c r="X37" s="292">
        <f t="shared" si="3"/>
        <v>0</v>
      </c>
      <c r="Y37" s="292">
        <f t="shared" si="4"/>
        <v>0</v>
      </c>
      <c r="Z37" s="292" t="str">
        <f t="shared" si="5"/>
        <v>1.00000000276574+0.0000744354798381263i</v>
      </c>
      <c r="AA37" s="292" t="str">
        <f t="shared" si="19"/>
        <v>-1603.45696630516+1379.93935102469i</v>
      </c>
      <c r="AB37" s="289">
        <f t="shared" si="20"/>
        <v>66.508228186450538</v>
      </c>
      <c r="AC37" s="292">
        <f t="shared" si="21"/>
        <v>139.28462513139442</v>
      </c>
      <c r="AD37" s="292" t="str">
        <f t="shared" si="22"/>
        <v>-1027.51851681632+882.972584197598i</v>
      </c>
      <c r="AE37" s="289">
        <f t="shared" si="23"/>
        <v>62.637389822556919</v>
      </c>
      <c r="AF37" s="292">
        <f t="shared" si="6"/>
        <v>139.3267007731844</v>
      </c>
      <c r="AH37" s="292" t="str">
        <f t="shared" si="7"/>
        <v>0.00075-102.680871666552i</v>
      </c>
      <c r="AI37" s="292">
        <f t="shared" si="8"/>
        <v>0.95</v>
      </c>
      <c r="AJ37" s="292" t="str">
        <f t="shared" si="9"/>
        <v>1000-10843100047.9879i</v>
      </c>
      <c r="AK37" s="292" t="str">
        <f t="shared" si="10"/>
        <v>0.9499186238335-0.00878861491443035i</v>
      </c>
      <c r="AL37" s="292" t="str">
        <f t="shared" si="24"/>
        <v>1.18810560435959-7.25618287423466E-06i</v>
      </c>
      <c r="AM37" s="292" t="str">
        <f t="shared" si="11"/>
        <v>0.019+0.000202894005428663i</v>
      </c>
      <c r="AN37" s="292" t="str">
        <f t="shared" si="25"/>
        <v>8.37173565670687-0.0441538823348083i</v>
      </c>
      <c r="AO37" s="292">
        <f t="shared" si="26"/>
        <v>18.45643093978132</v>
      </c>
      <c r="AP37" s="292">
        <f t="shared" si="27"/>
        <v>-0.30218436818641492</v>
      </c>
      <c r="AR37" s="292" t="str">
        <f t="shared" si="12"/>
        <v>1.18810560435959-7.25618287423466E-06i</v>
      </c>
      <c r="AS37" s="292" t="str">
        <f t="shared" si="28"/>
        <v>8.37173565670687-0.0441538823348083i</v>
      </c>
      <c r="AT37" s="292">
        <f t="shared" si="29"/>
        <v>18.45643093978132</v>
      </c>
      <c r="AU37" s="292">
        <f t="shared" si="30"/>
        <v>-0.30218436818641492</v>
      </c>
    </row>
    <row r="38" spans="1:47" ht="12.75" x14ac:dyDescent="0.2">
      <c r="A38" s="292"/>
      <c r="B38" s="292"/>
      <c r="C38" s="292"/>
      <c r="D38" s="292"/>
      <c r="F38" s="292">
        <v>36</v>
      </c>
      <c r="G38" s="293">
        <f t="shared" si="0"/>
        <v>168.58386123599394</v>
      </c>
      <c r="H38" s="293">
        <f t="shared" si="1"/>
        <v>168.57881372500071</v>
      </c>
      <c r="I38" s="294">
        <f t="shared" si="2"/>
        <v>1</v>
      </c>
      <c r="J38" s="292">
        <f t="shared" si="14"/>
        <v>1</v>
      </c>
      <c r="K38" s="292">
        <f t="shared" si="14"/>
        <v>1</v>
      </c>
      <c r="L38" s="292">
        <f>10^('Small Signal'!F38/30)</f>
        <v>15.848931924611136</v>
      </c>
      <c r="M38" s="292" t="str">
        <f t="shared" si="15"/>
        <v>99.5817762032062i</v>
      </c>
      <c r="N38" s="292">
        <f>IF(D$32=1, IF(AND('Small Signal'!$B$63&gt;=1,FCCM=0),U38+0,R38+0), 0)</f>
        <v>0</v>
      </c>
      <c r="O38" s="292">
        <f>IF(D$32=1, IF(AND('Small Signal'!$B$63&gt;=1,FCCM=0),V38,S38), 0)</f>
        <v>0</v>
      </c>
      <c r="P38" s="292">
        <f>IF(AND('Small Signal'!$B$63&gt;=1,FCCM=0),AE38+0,AB38+0)</f>
        <v>66.212927673075626</v>
      </c>
      <c r="Q38" s="292">
        <f>IF(AND('Small Signal'!$B$63&gt;=1,FCCM=0),AF38,AC38)</f>
        <v>137.09409196002838</v>
      </c>
      <c r="R38" s="292">
        <f t="shared" si="16"/>
        <v>18.456412097914665</v>
      </c>
      <c r="S38" s="292">
        <f t="shared" si="16"/>
        <v>-0.32629071838671903</v>
      </c>
      <c r="T38" s="292" t="str">
        <f>IMDIV(IMSUM('Small Signal'!$B$76,IMPRODUCT(M38,'Small Signal'!$B$77)),IMSUM(IMPRODUCT('Small Signal'!$B$80,IMPOWER(M38,2)),IMSUM(IMPRODUCT(M38,'Small Signal'!$B$79),'Small Signal'!$B$78)))</f>
        <v>5.36134749750771-0.025850127087635i</v>
      </c>
      <c r="U38" s="292">
        <f t="shared" si="17"/>
        <v>14.585580103269498</v>
      </c>
      <c r="V38" s="292">
        <f t="shared" si="18"/>
        <v>-0.27625362942803233</v>
      </c>
      <c r="W38" s="292" t="str">
        <f>IMPRODUCT(IMDIV(IMSUM(IMPRODUCT(M38,'Small Signal'!$B$59*'Small Signal'!$B$6*'Small Signal'!$B$51*'Small Signal'!$B$7*'Small Signal'!$B$8),'Small Signal'!$B$59*'Small Signal'!$B$6*'Small Signal'!$B$51),IMSUM(IMSUM(IMPRODUCT(M38,('Small Signal'!$B$5+'Small Signal'!$B$6)*('Small Signal'!$B$58*'Small Signal'!$B$59)+'Small Signal'!$B$5*'Small Signal'!$B$59*('Small Signal'!$B$8+'Small Signal'!$B$9)+'Small Signal'!$B$6*'Small Signal'!$B$59*('Small Signal'!$B$8+'Small Signal'!$B$9)+'Small Signal'!$B$7*'Small Signal'!$B$8*('Small Signal'!$B$5+'Small Signal'!$B$6)),'Small Signal'!$B$6+'Small Signal'!$B$5),IMPRODUCT(IMPOWER(M38,2),'Small Signal'!$B$58*'Small Signal'!$B$59*'Small Signal'!$B$8*'Small Signal'!$B$7*('Small Signal'!$B$5+'Small Signal'!$B$6)+('Small Signal'!$B$5+'Small Signal'!$B$6)*('Small Signal'!$B$9*'Small Signal'!$B$8*'Small Signal'!$B$59*'Small Signal'!$B$7)))),-1)</f>
        <v>-179.83359052093+165.274092270384i</v>
      </c>
      <c r="X38" s="292">
        <f t="shared" si="3"/>
        <v>0</v>
      </c>
      <c r="Y38" s="292">
        <f t="shared" si="4"/>
        <v>0</v>
      </c>
      <c r="Z38" s="292" t="str">
        <f t="shared" si="5"/>
        <v>1.00000000322462+0.0000803735823067436i</v>
      </c>
      <c r="AA38" s="292" t="str">
        <f t="shared" si="19"/>
        <v>-1497.74482566782+1392.07820835294i</v>
      </c>
      <c r="AB38" s="289">
        <f t="shared" si="20"/>
        <v>66.212927673075626</v>
      </c>
      <c r="AC38" s="292">
        <f t="shared" si="21"/>
        <v>137.09409196002838</v>
      </c>
      <c r="AD38" s="292" t="str">
        <f t="shared" si="22"/>
        <v>-959.878014217731+890.740562166273i</v>
      </c>
      <c r="AE38" s="289">
        <f t="shared" si="23"/>
        <v>62.342095622366728</v>
      </c>
      <c r="AF38" s="292">
        <f t="shared" si="6"/>
        <v>137.13952398196125</v>
      </c>
      <c r="AH38" s="292" t="str">
        <f t="shared" si="7"/>
        <v>0.00075-95.0946782709832i</v>
      </c>
      <c r="AI38" s="292">
        <f t="shared" si="8"/>
        <v>0.95</v>
      </c>
      <c r="AJ38" s="292" t="str">
        <f t="shared" si="9"/>
        <v>1000-10041998025.4159i</v>
      </c>
      <c r="AK38" s="292" t="str">
        <f t="shared" si="10"/>
        <v>0.949905123705018-0.00948959312251496i</v>
      </c>
      <c r="AL38" s="292" t="str">
        <f t="shared" si="24"/>
        <v>1.18810560435224-7.83504604085782E-06i</v>
      </c>
      <c r="AM38" s="292" t="str">
        <f t="shared" si="11"/>
        <v>0.019+0.000219079907647054i</v>
      </c>
      <c r="AN38" s="292" t="str">
        <f t="shared" si="25"/>
        <v>8.37169817831488-0.0476760586235842i</v>
      </c>
      <c r="AO38" s="292">
        <f t="shared" si="26"/>
        <v>18.456412097914665</v>
      </c>
      <c r="AP38" s="292">
        <f t="shared" si="27"/>
        <v>-0.32629071838671903</v>
      </c>
      <c r="AR38" s="292" t="str">
        <f t="shared" si="12"/>
        <v>1.18810560435224-7.83504604085782E-06i</v>
      </c>
      <c r="AS38" s="292" t="str">
        <f t="shared" si="28"/>
        <v>8.37169817831488-0.0476760586235842i</v>
      </c>
      <c r="AT38" s="292">
        <f t="shared" si="29"/>
        <v>18.456412097914665</v>
      </c>
      <c r="AU38" s="292">
        <f t="shared" si="30"/>
        <v>-0.32629071838671903</v>
      </c>
    </row>
    <row r="39" spans="1:47" ht="12.75" x14ac:dyDescent="0.2">
      <c r="A39" s="295" t="s">
        <v>455</v>
      </c>
      <c r="B39" s="296">
        <f>B3/B4</f>
        <v>0.95</v>
      </c>
      <c r="C39" s="292"/>
      <c r="D39" s="292"/>
      <c r="F39" s="292">
        <v>37</v>
      </c>
      <c r="G39" s="293">
        <f t="shared" si="0"/>
        <v>168.58426390199887</v>
      </c>
      <c r="H39" s="293">
        <f t="shared" si="1"/>
        <v>168.57881372500071</v>
      </c>
      <c r="I39" s="294">
        <f t="shared" si="2"/>
        <v>1</v>
      </c>
      <c r="J39" s="292">
        <f t="shared" si="14"/>
        <v>1</v>
      </c>
      <c r="K39" s="292">
        <f t="shared" si="14"/>
        <v>1</v>
      </c>
      <c r="L39" s="292">
        <f>10^('Small Signal'!F39/30)</f>
        <v>17.113283041617812</v>
      </c>
      <c r="M39" s="292" t="str">
        <f t="shared" si="15"/>
        <v>107.525928564699i</v>
      </c>
      <c r="N39" s="292">
        <f>IF(D$32=1, IF(AND('Small Signal'!$B$63&gt;=1,FCCM=0),U39+0,R39+0), 0)</f>
        <v>0</v>
      </c>
      <c r="O39" s="292">
        <f>IF(D$32=1, IF(AND('Small Signal'!$B$63&gt;=1,FCCM=0),V39,S39), 0)</f>
        <v>0</v>
      </c>
      <c r="P39" s="292">
        <f>IF(AND('Small Signal'!$B$63&gt;=1,FCCM=0),AE39+0,AB39+0)</f>
        <v>65.89221433104268</v>
      </c>
      <c r="Q39" s="292">
        <f>IF(AND('Small Signal'!$B$63&gt;=1,FCCM=0),AF39,AC39)</f>
        <v>134.89024619779539</v>
      </c>
      <c r="R39" s="292">
        <f t="shared" si="16"/>
        <v>18.456390130014086</v>
      </c>
      <c r="S39" s="292">
        <f t="shared" si="16"/>
        <v>-0.35232003830709929</v>
      </c>
      <c r="T39" s="292" t="str">
        <f>IMDIV(IMSUM('Small Signal'!$B$76,IMPRODUCT(M39,'Small Signal'!$B$77)),IMSUM(IMPRODUCT('Small Signal'!$B$80,IMPOWER(M39,2)),IMSUM(IMPRODUCT(M39,'Small Signal'!$B$79),'Small Signal'!$B$78)))</f>
        <v>5.36132814752486-0.0279122313614826i</v>
      </c>
      <c r="U39" s="292">
        <f t="shared" si="17"/>
        <v>14.585565505245706</v>
      </c>
      <c r="V39" s="292">
        <f t="shared" si="18"/>
        <v>-0.29829149810510242</v>
      </c>
      <c r="W39" s="292" t="str">
        <f>IMPRODUCT(IMDIV(IMSUM(IMPRODUCT(M39,'Small Signal'!$B$59*'Small Signal'!$B$6*'Small Signal'!$B$51*'Small Signal'!$B$7*'Small Signal'!$B$8),'Small Signal'!$B$59*'Small Signal'!$B$6*'Small Signal'!$B$51),IMSUM(IMSUM(IMPRODUCT(M39,('Small Signal'!$B$5+'Small Signal'!$B$6)*('Small Signal'!$B$58*'Small Signal'!$B$59)+'Small Signal'!$B$5*'Small Signal'!$B$59*('Small Signal'!$B$8+'Small Signal'!$B$9)+'Small Signal'!$B$6*'Small Signal'!$B$59*('Small Signal'!$B$8+'Small Signal'!$B$9)+'Small Signal'!$B$7*'Small Signal'!$B$8*('Small Signal'!$B$5+'Small Signal'!$B$6)),'Small Signal'!$B$6+'Small Signal'!$B$5),IMPRODUCT(IMPOWER(M39,2),'Small Signal'!$B$58*'Small Signal'!$B$59*'Small Signal'!$B$8*'Small Signal'!$B$7*('Small Signal'!$B$5+'Small Signal'!$B$6)+('Small Signal'!$B$5+'Small Signal'!$B$6)*('Small Signal'!$B$9*'Small Signal'!$B$8*'Small Signal'!$B$59*'Small Signal'!$B$7)))),-1)</f>
        <v>-167.135879564745+165.755439900311i</v>
      </c>
      <c r="X39" s="292">
        <f t="shared" si="3"/>
        <v>0</v>
      </c>
      <c r="Y39" s="292">
        <f t="shared" si="4"/>
        <v>0</v>
      </c>
      <c r="Z39" s="292" t="str">
        <f t="shared" si="5"/>
        <v>1.00000000375963+0.0000867853978589463i</v>
      </c>
      <c r="AA39" s="292" t="str">
        <f t="shared" si="19"/>
        <v>-1390.79206333564+1396.13060198009i</v>
      </c>
      <c r="AB39" s="289">
        <f t="shared" si="20"/>
        <v>65.89221433104268</v>
      </c>
      <c r="AC39" s="292">
        <f t="shared" si="21"/>
        <v>134.89024619779539</v>
      </c>
      <c r="AD39" s="292" t="str">
        <f t="shared" si="22"/>
        <v>-891.443691383871+893.334440882119i</v>
      </c>
      <c r="AE39" s="289">
        <f t="shared" si="23"/>
        <v>62.021389640908787</v>
      </c>
      <c r="AF39" s="292">
        <f t="shared" si="6"/>
        <v>134.9393023010079</v>
      </c>
      <c r="AH39" s="292" t="str">
        <f t="shared" si="7"/>
        <v>0.00075-88.0689624921398i</v>
      </c>
      <c r="AI39" s="292">
        <f t="shared" si="8"/>
        <v>0.95</v>
      </c>
      <c r="AJ39" s="292" t="str">
        <f t="shared" si="9"/>
        <v>1000-9300082439.16995i</v>
      </c>
      <c r="AK39" s="292" t="str">
        <f t="shared" si="10"/>
        <v>0.949889384195682-0.0102464570381419i</v>
      </c>
      <c r="AL39" s="292" t="str">
        <f t="shared" si="24"/>
        <v>1.18810560434367-8.46008811055134E-06i</v>
      </c>
      <c r="AM39" s="292" t="str">
        <f t="shared" si="11"/>
        <v>0.019+0.000236557042842338i</v>
      </c>
      <c r="AN39" s="292" t="str">
        <f t="shared" si="25"/>
        <v>8.37165448212821-0.0514791635433685i</v>
      </c>
      <c r="AO39" s="292">
        <f t="shared" si="26"/>
        <v>18.456390130014086</v>
      </c>
      <c r="AP39" s="292">
        <f t="shared" si="27"/>
        <v>-0.35232003830709929</v>
      </c>
      <c r="AR39" s="292" t="str">
        <f t="shared" si="12"/>
        <v>1.18810560434367-8.46008811055134E-06i</v>
      </c>
      <c r="AS39" s="292" t="str">
        <f t="shared" si="28"/>
        <v>8.37165448212821-0.0514791635433685i</v>
      </c>
      <c r="AT39" s="292">
        <f t="shared" si="29"/>
        <v>18.456390130014086</v>
      </c>
      <c r="AU39" s="292">
        <f t="shared" si="30"/>
        <v>-0.35232003830709929</v>
      </c>
    </row>
    <row r="40" spans="1:47" ht="12.75" x14ac:dyDescent="0.2">
      <c r="A40" s="295" t="s">
        <v>439</v>
      </c>
      <c r="B40" s="297">
        <f>B14</f>
        <v>1.0559999999999999E-4</v>
      </c>
      <c r="C40" s="292"/>
      <c r="D40" s="292"/>
      <c r="F40" s="292">
        <v>38</v>
      </c>
      <c r="G40" s="293">
        <f t="shared" si="0"/>
        <v>168.58469869074867</v>
      </c>
      <c r="H40" s="293">
        <f t="shared" si="1"/>
        <v>168.57881372500071</v>
      </c>
      <c r="I40" s="294">
        <f t="shared" si="2"/>
        <v>1</v>
      </c>
      <c r="J40" s="292">
        <f t="shared" si="14"/>
        <v>1</v>
      </c>
      <c r="K40" s="292">
        <f t="shared" si="14"/>
        <v>1</v>
      </c>
      <c r="L40" s="292">
        <f>10^('Small Signal'!F40/30)</f>
        <v>18.478497974222911</v>
      </c>
      <c r="M40" s="292" t="str">
        <f t="shared" si="15"/>
        <v>116.103826970385i</v>
      </c>
      <c r="N40" s="292">
        <f>IF(D$32=1, IF(AND('Small Signal'!$B$63&gt;=1,FCCM=0),U40+0,R40+0), 0)</f>
        <v>0</v>
      </c>
      <c r="O40" s="292">
        <f>IF(D$32=1, IF(AND('Small Signal'!$B$63&gt;=1,FCCM=0),V40,S40), 0)</f>
        <v>0</v>
      </c>
      <c r="P40" s="292">
        <f>IF(AND('Small Signal'!$B$63&gt;=1,FCCM=0),AE40+0,AB40+0)</f>
        <v>65.545940125716271</v>
      </c>
      <c r="Q40" s="292">
        <f>IF(AND('Small Signal'!$B$63&gt;=1,FCCM=0),AF40,AC40)</f>
        <v>132.68590524590982</v>
      </c>
      <c r="R40" s="292">
        <f t="shared" si="16"/>
        <v>18.456364517462337</v>
      </c>
      <c r="S40" s="292">
        <f t="shared" si="16"/>
        <v>-0.38042570254488872</v>
      </c>
      <c r="T40" s="292" t="str">
        <f>IMDIV(IMSUM('Small Signal'!$B$76,IMPRODUCT(M40,'Small Signal'!$B$77)),IMSUM(IMPRODUCT('Small Signal'!$B$80,IMPOWER(M40,2)),IMSUM(IMPRODUCT(M40,'Small Signal'!$B$79),'Small Signal'!$B$78)))</f>
        <v>5.36130558726456-0.0301388160493778i</v>
      </c>
      <c r="U40" s="292">
        <f t="shared" si="17"/>
        <v>14.585548485260775</v>
      </c>
      <c r="V40" s="292">
        <f t="shared" si="18"/>
        <v>-0.32208736120938153</v>
      </c>
      <c r="W40" s="292" t="str">
        <f>IMPRODUCT(IMDIV(IMSUM(IMPRODUCT(M40,'Small Signal'!$B$59*'Small Signal'!$B$6*'Small Signal'!$B$51*'Small Signal'!$B$7*'Small Signal'!$B$8),'Small Signal'!$B$59*'Small Signal'!$B$6*'Small Signal'!$B$51),IMSUM(IMSUM(IMPRODUCT(M40,('Small Signal'!$B$5+'Small Signal'!$B$6)*('Small Signal'!$B$58*'Small Signal'!$B$59)+'Small Signal'!$B$5*'Small Signal'!$B$59*('Small Signal'!$B$8+'Small Signal'!$B$9)+'Small Signal'!$B$6*'Small Signal'!$B$59*('Small Signal'!$B$8+'Small Signal'!$B$9)+'Small Signal'!$B$7*'Small Signal'!$B$8*('Small Signal'!$B$5+'Small Signal'!$B$6)),'Small Signal'!$B$6+'Small Signal'!$B$5),IMPRODUCT(IMPOWER(M40,2),'Small Signal'!$B$58*'Small Signal'!$B$59*'Small Signal'!$B$8*'Small Signal'!$B$7*('Small Signal'!$B$5+'Small Signal'!$B$6)+('Small Signal'!$B$5+'Small Signal'!$B$6)*('Small Signal'!$B$9*'Small Signal'!$B$8*'Small Signal'!$B$59*'Small Signal'!$B$7)))),-1)</f>
        <v>-154.439043021726+165.262714324281i</v>
      </c>
      <c r="X40" s="292">
        <f t="shared" si="3"/>
        <v>0</v>
      </c>
      <c r="Y40" s="292">
        <f t="shared" si="4"/>
        <v>0</v>
      </c>
      <c r="Z40" s="292" t="str">
        <f t="shared" si="5"/>
        <v>1.0000000043834+0.0000937087170316397i</v>
      </c>
      <c r="AA40" s="292" t="str">
        <f t="shared" si="19"/>
        <v>-1283.84666995276+1391.97822041816i</v>
      </c>
      <c r="AB40" s="289">
        <f t="shared" si="20"/>
        <v>65.545940125716271</v>
      </c>
      <c r="AC40" s="292">
        <f t="shared" si="21"/>
        <v>132.68590524590982</v>
      </c>
      <c r="AD40" s="292" t="str">
        <f t="shared" si="22"/>
        <v>-823.014081697331+890.678523581748i</v>
      </c>
      <c r="AE40" s="289">
        <f t="shared" si="23"/>
        <v>61.675124017304192</v>
      </c>
      <c r="AF40" s="292">
        <f t="shared" si="6"/>
        <v>132.73887447329511</v>
      </c>
      <c r="AH40" s="292" t="str">
        <f t="shared" si="7"/>
        <v>0.00075-81.562315530843i</v>
      </c>
      <c r="AI40" s="292">
        <f t="shared" si="8"/>
        <v>0.95</v>
      </c>
      <c r="AJ40" s="292" t="str">
        <f t="shared" si="9"/>
        <v>1000-8612980520.05705i</v>
      </c>
      <c r="AK40" s="292" t="str">
        <f t="shared" si="10"/>
        <v>0.949871033934178-0.0110636559075732i</v>
      </c>
      <c r="AL40" s="292" t="str">
        <f t="shared" si="24"/>
        <v>1.18810560433367-9.13499301280038E-06i</v>
      </c>
      <c r="AM40" s="292" t="str">
        <f t="shared" si="11"/>
        <v>0.019+0.000255428419334847i</v>
      </c>
      <c r="AN40" s="292" t="str">
        <f t="shared" si="25"/>
        <v>8.37160353667238-0.0555855943559102i</v>
      </c>
      <c r="AO40" s="292">
        <f t="shared" si="26"/>
        <v>18.456364517462337</v>
      </c>
      <c r="AP40" s="292">
        <f t="shared" si="27"/>
        <v>-0.38042570254488872</v>
      </c>
      <c r="AR40" s="292" t="str">
        <f t="shared" si="12"/>
        <v>1.18810560433367-9.13499301280038E-06i</v>
      </c>
      <c r="AS40" s="292" t="str">
        <f t="shared" si="28"/>
        <v>8.37160353667238-0.0555855943559102i</v>
      </c>
      <c r="AT40" s="292">
        <f t="shared" si="29"/>
        <v>18.456364517462337</v>
      </c>
      <c r="AU40" s="292">
        <f t="shared" si="30"/>
        <v>-0.38042570254488872</v>
      </c>
    </row>
    <row r="41" spans="1:47" ht="12.75" x14ac:dyDescent="0.2">
      <c r="A41" s="295" t="s">
        <v>456</v>
      </c>
      <c r="B41" s="298">
        <f>B15</f>
        <v>7.5000000000000002E-4</v>
      </c>
      <c r="C41" s="292"/>
      <c r="D41" s="292"/>
      <c r="F41" s="292">
        <v>39</v>
      </c>
      <c r="G41" s="293">
        <f t="shared" si="0"/>
        <v>168.58516816484035</v>
      </c>
      <c r="H41" s="293">
        <f t="shared" si="1"/>
        <v>168.57881372500071</v>
      </c>
      <c r="I41" s="294">
        <f t="shared" si="2"/>
        <v>1</v>
      </c>
      <c r="J41" s="292">
        <f t="shared" si="14"/>
        <v>1</v>
      </c>
      <c r="K41" s="292">
        <f t="shared" si="14"/>
        <v>1</v>
      </c>
      <c r="L41" s="292">
        <f>10^('Small Signal'!F41/30)</f>
        <v>19.952623149688804</v>
      </c>
      <c r="M41" s="292" t="str">
        <f t="shared" si="15"/>
        <v>125.366028613816i</v>
      </c>
      <c r="N41" s="292">
        <f>IF(D$32=1, IF(AND('Small Signal'!$B$63&gt;=1,FCCM=0),U41+0,R41+0), 0)</f>
        <v>0</v>
      </c>
      <c r="O41" s="292">
        <f>IF(D$32=1, IF(AND('Small Signal'!$B$63&gt;=1,FCCM=0),V41,S41), 0)</f>
        <v>0</v>
      </c>
      <c r="P41" s="292">
        <f>IF(AND('Small Signal'!$B$63&gt;=1,FCCM=0),AE41+0,AB41+0)</f>
        <v>65.174256066663119</v>
      </c>
      <c r="Q41" s="292">
        <f>IF(AND('Small Signal'!$B$63&gt;=1,FCCM=0),AF41,AC41)</f>
        <v>130.49388093913134</v>
      </c>
      <c r="R41" s="292">
        <f t="shared" si="16"/>
        <v>18.456334655609716</v>
      </c>
      <c r="S41" s="292">
        <f t="shared" si="16"/>
        <v>-0.41077331325211291</v>
      </c>
      <c r="T41" s="292" t="str">
        <f>IMDIV(IMSUM('Small Signal'!$B$76,IMPRODUCT(M41,'Small Signal'!$B$77)),IMSUM(IMPRODUCT('Small Signal'!$B$80,IMPOWER(M41,2)),IMSUM(IMPRODUCT(M41,'Small Signal'!$B$79),'Small Signal'!$B$78)))</f>
        <v>5.36127928415426-0.0325429963143771i</v>
      </c>
      <c r="U41" s="292">
        <f t="shared" si="17"/>
        <v>14.585528641498488</v>
      </c>
      <c r="V41" s="292">
        <f t="shared" si="18"/>
        <v>-0.34778144228636487</v>
      </c>
      <c r="W41" s="292" t="str">
        <f>IMPRODUCT(IMDIV(IMSUM(IMPRODUCT(M41,'Small Signal'!$B$59*'Small Signal'!$B$6*'Small Signal'!$B$51*'Small Signal'!$B$7*'Small Signal'!$B$8),'Small Signal'!$B$59*'Small Signal'!$B$6*'Small Signal'!$B$51),IMSUM(IMSUM(IMPRODUCT(M41,('Small Signal'!$B$5+'Small Signal'!$B$6)*('Small Signal'!$B$58*'Small Signal'!$B$59)+'Small Signal'!$B$5*'Small Signal'!$B$59*('Small Signal'!$B$8+'Small Signal'!$B$9)+'Small Signal'!$B$6*'Small Signal'!$B$59*('Small Signal'!$B$8+'Small Signal'!$B$9)+'Small Signal'!$B$7*'Small Signal'!$B$8*('Small Signal'!$B$5+'Small Signal'!$B$6)),'Small Signal'!$B$6+'Small Signal'!$B$5),IMPRODUCT(IMPOWER(M41,2),'Small Signal'!$B$58*'Small Signal'!$B$59*'Small Signal'!$B$8*'Small Signal'!$B$7*('Small Signal'!$B$5+'Small Signal'!$B$6)+('Small Signal'!$B$5+'Small Signal'!$B$6)*('Small Signal'!$B$9*'Small Signal'!$B$8*'Small Signal'!$B$59*'Small Signal'!$B$7)))),-1)</f>
        <v>-141.891204812156+163.810291326552i</v>
      </c>
      <c r="X41" s="292">
        <f t="shared" si="3"/>
        <v>0</v>
      </c>
      <c r="Y41" s="292">
        <f t="shared" si="4"/>
        <v>0</v>
      </c>
      <c r="Z41" s="292" t="str">
        <f t="shared" si="5"/>
        <v>1.00000000511067+0.000101184345107627i</v>
      </c>
      <c r="AA41" s="292" t="str">
        <f t="shared" si="19"/>
        <v>-1178.15629352462+1379.7421381673i</v>
      </c>
      <c r="AB41" s="289">
        <f t="shared" si="20"/>
        <v>65.174256066663119</v>
      </c>
      <c r="AC41" s="292">
        <f t="shared" si="21"/>
        <v>130.49388093913134</v>
      </c>
      <c r="AD41" s="292" t="str">
        <f t="shared" si="22"/>
        <v>-755.387499256204+882.850286375562i</v>
      </c>
      <c r="AE41" s="289">
        <f t="shared" si="23"/>
        <v>61.303449963696934</v>
      </c>
      <c r="AF41" s="292">
        <f t="shared" si="6"/>
        <v>130.55107537421912</v>
      </c>
      <c r="AH41" s="292" t="str">
        <f t="shared" si="7"/>
        <v>0.00075-75.5363879226636i</v>
      </c>
      <c r="AI41" s="292">
        <f t="shared" si="8"/>
        <v>0.95</v>
      </c>
      <c r="AJ41" s="292" t="str">
        <f t="shared" si="9"/>
        <v>1000-7976642564.63329i</v>
      </c>
      <c r="AK41" s="292" t="str">
        <f t="shared" si="10"/>
        <v>0.9498496399959-0.0119459915755439i</v>
      </c>
      <c r="AL41" s="292" t="str">
        <f t="shared" si="24"/>
        <v>1.18810560432202-0.0000098637385631623i</v>
      </c>
      <c r="AM41" s="292" t="str">
        <f t="shared" si="11"/>
        <v>0.019+0.000275805262950395i</v>
      </c>
      <c r="AN41" s="292" t="str">
        <f t="shared" si="25"/>
        <v>8.3715441393897-0.0600195314785813i</v>
      </c>
      <c r="AO41" s="292">
        <f t="shared" si="26"/>
        <v>18.456334655609716</v>
      </c>
      <c r="AP41" s="292">
        <f t="shared" si="27"/>
        <v>-0.41077331325211291</v>
      </c>
      <c r="AR41" s="292" t="str">
        <f t="shared" si="12"/>
        <v>1.18810560432202-0.0000098637385631623i</v>
      </c>
      <c r="AS41" s="292" t="str">
        <f t="shared" si="28"/>
        <v>8.3715441393897-0.0600195314785813i</v>
      </c>
      <c r="AT41" s="292">
        <f t="shared" si="29"/>
        <v>18.456334655609716</v>
      </c>
      <c r="AU41" s="292">
        <f t="shared" si="30"/>
        <v>-0.41077331325211291</v>
      </c>
    </row>
    <row r="42" spans="1:47" ht="12.75" x14ac:dyDescent="0.2">
      <c r="A42" s="295" t="s">
        <v>437</v>
      </c>
      <c r="B42" s="297">
        <f>B12</f>
        <v>2.2000000000000001E-6</v>
      </c>
      <c r="C42" s="292"/>
      <c r="D42" s="292"/>
      <c r="F42" s="292">
        <v>40</v>
      </c>
      <c r="G42" s="293">
        <f t="shared" si="0"/>
        <v>168.58567509130228</v>
      </c>
      <c r="H42" s="293">
        <f t="shared" si="1"/>
        <v>168.57881372500071</v>
      </c>
      <c r="I42" s="294">
        <f t="shared" si="2"/>
        <v>1</v>
      </c>
      <c r="J42" s="292">
        <f t="shared" si="14"/>
        <v>1</v>
      </c>
      <c r="K42" s="292">
        <f t="shared" si="14"/>
        <v>1</v>
      </c>
      <c r="L42" s="292">
        <f>10^('Small Signal'!F42/30)</f>
        <v>21.544346900318843</v>
      </c>
      <c r="M42" s="292" t="str">
        <f t="shared" si="15"/>
        <v>135.367123896863i</v>
      </c>
      <c r="N42" s="292">
        <f>IF(D$32=1, IF(AND('Small Signal'!$B$63&gt;=1,FCCM=0),U42+0,R42+0), 0)</f>
        <v>0</v>
      </c>
      <c r="O42" s="292">
        <f>IF(D$32=1, IF(AND('Small Signal'!$B$63&gt;=1,FCCM=0),V42,S42), 0)</f>
        <v>0</v>
      </c>
      <c r="P42" s="292">
        <f>IF(AND('Small Signal'!$B$63&gt;=1,FCCM=0),AE42+0,AB42+0)</f>
        <v>64.777605191990915</v>
      </c>
      <c r="Q42" s="292">
        <f>IF(AND('Small Signal'!$B$63&gt;=1,FCCM=0),AF42,AC42)</f>
        <v>128.32660678715112</v>
      </c>
      <c r="R42" s="292">
        <f t="shared" si="16"/>
        <v>18.456299839504432</v>
      </c>
      <c r="S42" s="292">
        <f t="shared" si="16"/>
        <v>-0.44354167353803559</v>
      </c>
      <c r="T42" s="292" t="str">
        <f>IMDIV(IMSUM('Small Signal'!$B$76,IMPRODUCT(M42,'Small Signal'!$B$77)),IMSUM(IMPRODUCT('Small Signal'!$B$80,IMPOWER(M42,2)),IMSUM(IMPRODUCT(M42,'Small Signal'!$B$79),'Small Signal'!$B$78)))</f>
        <v>5.36124861728106-0.0351389319556876i</v>
      </c>
      <c r="U42" s="292">
        <f t="shared" si="17"/>
        <v>14.58550550548347</v>
      </c>
      <c r="V42" s="292">
        <f t="shared" si="18"/>
        <v>-0.3755251458665253</v>
      </c>
      <c r="W42" s="292" t="str">
        <f>IMPRODUCT(IMDIV(IMSUM(IMPRODUCT(M42,'Small Signal'!$B$59*'Small Signal'!$B$6*'Small Signal'!$B$51*'Small Signal'!$B$7*'Small Signal'!$B$8),'Small Signal'!$B$59*'Small Signal'!$B$6*'Small Signal'!$B$51),IMSUM(IMSUM(IMPRODUCT(M42,('Small Signal'!$B$5+'Small Signal'!$B$6)*('Small Signal'!$B$58*'Small Signal'!$B$59)+'Small Signal'!$B$5*'Small Signal'!$B$59*('Small Signal'!$B$8+'Small Signal'!$B$9)+'Small Signal'!$B$6*'Small Signal'!$B$59*('Small Signal'!$B$8+'Small Signal'!$B$9)+'Small Signal'!$B$7*'Small Signal'!$B$8*('Small Signal'!$B$5+'Small Signal'!$B$6)),'Small Signal'!$B$6+'Small Signal'!$B$5),IMPRODUCT(IMPOWER(M42,2),'Small Signal'!$B$58*'Small Signal'!$B$59*'Small Signal'!$B$8*'Small Signal'!$B$7*('Small Signal'!$B$5+'Small Signal'!$B$6)+('Small Signal'!$B$5+'Small Signal'!$B$6)*('Small Signal'!$B$9*'Small Signal'!$B$8*'Small Signal'!$B$59*'Small Signal'!$B$7)))),-1)</f>
        <v>-129.633616052326+161.43995590218i</v>
      </c>
      <c r="X42" s="292">
        <f t="shared" si="3"/>
        <v>0</v>
      </c>
      <c r="Y42" s="292">
        <f t="shared" si="4"/>
        <v>0</v>
      </c>
      <c r="Z42" s="292" t="str">
        <f t="shared" si="5"/>
        <v>1.00000000595861+0.000109256342617366i</v>
      </c>
      <c r="AA42" s="292" t="str">
        <f t="shared" si="19"/>
        <v>-1074.91069255089+1359.77429642591i</v>
      </c>
      <c r="AB42" s="289">
        <f t="shared" si="20"/>
        <v>64.777605191990915</v>
      </c>
      <c r="AC42" s="292">
        <f t="shared" si="21"/>
        <v>128.32660678715112</v>
      </c>
      <c r="AD42" s="292" t="str">
        <f t="shared" si="22"/>
        <v>-689.325217188301+870.07492716811i</v>
      </c>
      <c r="AE42" s="289">
        <f t="shared" si="23"/>
        <v>60.906810754372607</v>
      </c>
      <c r="AF42" s="292">
        <f t="shared" si="6"/>
        <v>128.38836338756778</v>
      </c>
      <c r="AH42" s="292" t="str">
        <f t="shared" si="7"/>
        <v>0.00075-69.9556635103809i</v>
      </c>
      <c r="AI42" s="292">
        <f t="shared" si="8"/>
        <v>0.95</v>
      </c>
      <c r="AJ42" s="292" t="str">
        <f t="shared" si="9"/>
        <v>1000-7387318066.69621i</v>
      </c>
      <c r="AK42" s="292" t="str">
        <f t="shared" si="10"/>
        <v>0.949824697712908-0.0128986460082888i</v>
      </c>
      <c r="AL42" s="292" t="str">
        <f t="shared" si="24"/>
        <v>1.18810560430843-0.0000106506199080748i</v>
      </c>
      <c r="AM42" s="292" t="str">
        <f t="shared" si="11"/>
        <v>0.019+0.000297807672573099i</v>
      </c>
      <c r="AN42" s="292" t="str">
        <f t="shared" si="25"/>
        <v>8.37147488827276-0.0648070798067227i</v>
      </c>
      <c r="AO42" s="292">
        <f t="shared" si="26"/>
        <v>18.456299839504432</v>
      </c>
      <c r="AP42" s="292">
        <f t="shared" si="27"/>
        <v>-0.44354167353803559</v>
      </c>
      <c r="AR42" s="292" t="str">
        <f t="shared" si="12"/>
        <v>1.18810560430843-0.0000106506199080748i</v>
      </c>
      <c r="AS42" s="292" t="str">
        <f t="shared" si="28"/>
        <v>8.37147488827276-0.0648070798067227i</v>
      </c>
      <c r="AT42" s="292">
        <f t="shared" si="29"/>
        <v>18.456299839504432</v>
      </c>
      <c r="AU42" s="292">
        <f t="shared" si="30"/>
        <v>-0.44354167353803559</v>
      </c>
    </row>
    <row r="43" spans="1:47" ht="12.75" x14ac:dyDescent="0.2">
      <c r="A43" s="295" t="s">
        <v>388</v>
      </c>
      <c r="B43" s="299">
        <f>B13</f>
        <v>1.9E-2</v>
      </c>
      <c r="C43" s="292"/>
      <c r="D43" s="292"/>
      <c r="F43" s="292">
        <v>41</v>
      </c>
      <c r="G43" s="293">
        <f t="shared" si="0"/>
        <v>168.58622245790295</v>
      </c>
      <c r="H43" s="293">
        <f t="shared" si="1"/>
        <v>168.57881372500071</v>
      </c>
      <c r="I43" s="294">
        <f t="shared" si="2"/>
        <v>1</v>
      </c>
      <c r="J43" s="292">
        <f t="shared" si="14"/>
        <v>1</v>
      </c>
      <c r="K43" s="292">
        <f t="shared" si="14"/>
        <v>1</v>
      </c>
      <c r="L43" s="292">
        <f>10^('Small Signal'!F43/30)</f>
        <v>23.263050671536273</v>
      </c>
      <c r="M43" s="292" t="str">
        <f t="shared" si="15"/>
        <v>146.166058179571i</v>
      </c>
      <c r="N43" s="292">
        <f>IF(D$32=1, IF(AND('Small Signal'!$B$63&gt;=1,FCCM=0),U43+0,R43+0), 0)</f>
        <v>0</v>
      </c>
      <c r="O43" s="292">
        <f>IF(D$32=1, IF(AND('Small Signal'!$B$63&gt;=1,FCCM=0),V43,S43), 0)</f>
        <v>0</v>
      </c>
      <c r="P43" s="292">
        <f>IF(AND('Small Signal'!$B$63&gt;=1,FCCM=0),AE43+0,AB43+0)</f>
        <v>64.356702374313514</v>
      </c>
      <c r="Q43" s="292">
        <f>IF(AND('Small Signal'!$B$63&gt;=1,FCCM=0),AF43,AC43)</f>
        <v>126.19579129328929</v>
      </c>
      <c r="R43" s="292">
        <f t="shared" si="16"/>
        <v>18.456259247257673</v>
      </c>
      <c r="S43" s="292">
        <f t="shared" si="16"/>
        <v>-0.4789238379938287</v>
      </c>
      <c r="T43" s="292" t="str">
        <f>IMDIV(IMSUM('Small Signal'!$B$76,IMPRODUCT(M43,'Small Signal'!$B$77)),IMSUM(IMPRODUCT('Small Signal'!$B$80,IMPOWER(M43,2)),IMSUM(IMPRODUCT(M43,'Small Signal'!$B$79),'Small Signal'!$B$78)))</f>
        <v>5.36121286274228-0.0379419103232146i</v>
      </c>
      <c r="U43" s="292">
        <f t="shared" si="17"/>
        <v>14.585478531024158</v>
      </c>
      <c r="V43" s="292">
        <f t="shared" si="18"/>
        <v>-0.40548194803967302</v>
      </c>
      <c r="W43" s="292" t="str">
        <f>IMPRODUCT(IMDIV(IMSUM(IMPRODUCT(M43,'Small Signal'!$B$59*'Small Signal'!$B$6*'Small Signal'!$B$51*'Small Signal'!$B$7*'Small Signal'!$B$8),'Small Signal'!$B$59*'Small Signal'!$B$6*'Small Signal'!$B$51),IMSUM(IMSUM(IMPRODUCT(M43,('Small Signal'!$B$5+'Small Signal'!$B$6)*('Small Signal'!$B$58*'Small Signal'!$B$59)+'Small Signal'!$B$5*'Small Signal'!$B$59*('Small Signal'!$B$8+'Small Signal'!$B$9)+'Small Signal'!$B$6*'Small Signal'!$B$59*('Small Signal'!$B$8+'Small Signal'!$B$9)+'Small Signal'!$B$7*'Small Signal'!$B$8*('Small Signal'!$B$5+'Small Signal'!$B$6)),'Small Signal'!$B$6+'Small Signal'!$B$5),IMPRODUCT(IMPOWER(M43,2),'Small Signal'!$B$58*'Small Signal'!$B$59*'Small Signal'!$B$8*'Small Signal'!$B$7*('Small Signal'!$B$5+'Small Signal'!$B$6)+('Small Signal'!$B$5+'Small Signal'!$B$6)*('Small Signal'!$B$9*'Small Signal'!$B$8*'Small Signal'!$B$59*'Small Signal'!$B$7)))),-1)</f>
        <v>-117.794485792539+158.218021448863i</v>
      </c>
      <c r="X43" s="292">
        <f t="shared" si="3"/>
        <v>0</v>
      </c>
      <c r="Y43" s="292">
        <f t="shared" si="4"/>
        <v>0</v>
      </c>
      <c r="Z43" s="292" t="str">
        <f t="shared" si="5"/>
        <v>1.00000000694723+0.00011797228502678i</v>
      </c>
      <c r="AA43" s="292" t="str">
        <f t="shared" si="19"/>
        <v>-975.189772365578+1332.63323797143i</v>
      </c>
      <c r="AB43" s="289">
        <f t="shared" si="20"/>
        <v>64.356702374313514</v>
      </c>
      <c r="AC43" s="292">
        <f t="shared" si="21"/>
        <v>126.19579129328929</v>
      </c>
      <c r="AD43" s="292" t="str">
        <f t="shared" si="22"/>
        <v>-625.518218409744+852.709839525788i</v>
      </c>
      <c r="AE43" s="289">
        <f t="shared" si="23"/>
        <v>60.485921537294367</v>
      </c>
      <c r="AF43" s="292">
        <f t="shared" si="6"/>
        <v>126.26247386929025</v>
      </c>
      <c r="AH43" s="292" t="str">
        <f t="shared" si="7"/>
        <v>0.00075-64.7872501156394i</v>
      </c>
      <c r="AI43" s="292">
        <f t="shared" si="8"/>
        <v>0.95</v>
      </c>
      <c r="AJ43" s="292" t="str">
        <f t="shared" si="9"/>
        <v>1000-6841533612.21152i</v>
      </c>
      <c r="AK43" s="292" t="str">
        <f t="shared" si="10"/>
        <v>0.94979561880119-0.013927210855674i</v>
      </c>
      <c r="AL43" s="292" t="str">
        <f t="shared" si="24"/>
        <v>1.18810560429259-0.000011500274839979i</v>
      </c>
      <c r="AM43" s="292" t="str">
        <f t="shared" si="11"/>
        <v>0.019+0.000321565327995056i</v>
      </c>
      <c r="AN43" s="292" t="str">
        <f t="shared" si="25"/>
        <v>8.37139414879884-0.0699764210695489i</v>
      </c>
      <c r="AO43" s="292">
        <f t="shared" si="26"/>
        <v>18.456259247257673</v>
      </c>
      <c r="AP43" s="292">
        <f t="shared" si="27"/>
        <v>-0.4789238379938287</v>
      </c>
      <c r="AR43" s="292" t="str">
        <f t="shared" si="12"/>
        <v>1.18810560429259-0.000011500274839979i</v>
      </c>
      <c r="AS43" s="292" t="str">
        <f t="shared" si="28"/>
        <v>8.37139414879884-0.0699764210695489i</v>
      </c>
      <c r="AT43" s="292">
        <f t="shared" si="29"/>
        <v>18.456259247257673</v>
      </c>
      <c r="AU43" s="292">
        <f t="shared" si="30"/>
        <v>-0.4789238379938287</v>
      </c>
    </row>
    <row r="44" spans="1:47" ht="12.75" x14ac:dyDescent="0.2">
      <c r="A44" s="295" t="s">
        <v>13</v>
      </c>
      <c r="B44" s="292">
        <f>B2</f>
        <v>12</v>
      </c>
      <c r="C44" s="292"/>
      <c r="D44" s="292"/>
      <c r="F44" s="292">
        <v>42</v>
      </c>
      <c r="G44" s="293">
        <f t="shared" si="0"/>
        <v>168.58681349076053</v>
      </c>
      <c r="H44" s="293">
        <f t="shared" si="1"/>
        <v>168.57881372500071</v>
      </c>
      <c r="I44" s="294">
        <f t="shared" si="2"/>
        <v>1</v>
      </c>
      <c r="J44" s="292">
        <f t="shared" si="14"/>
        <v>1</v>
      </c>
      <c r="K44" s="292">
        <f t="shared" si="14"/>
        <v>1</v>
      </c>
      <c r="L44" s="292">
        <f>10^('Small Signal'!F44/30)</f>
        <v>25.118864315095799</v>
      </c>
      <c r="M44" s="292" t="str">
        <f t="shared" si="15"/>
        <v>157.826479197648i</v>
      </c>
      <c r="N44" s="292">
        <f>IF(D$32=1, IF(AND('Small Signal'!$B$63&gt;=1,FCCM=0),U44+0,R44+0), 0)</f>
        <v>0</v>
      </c>
      <c r="O44" s="292">
        <f>IF(D$32=1, IF(AND('Small Signal'!$B$63&gt;=1,FCCM=0),V44,S44), 0)</f>
        <v>0</v>
      </c>
      <c r="P44" s="292">
        <f>IF(AND('Small Signal'!$B$63&gt;=1,FCCM=0),AE44+0,AB44+0)</f>
        <v>63.912502861503604</v>
      </c>
      <c r="Q44" s="292">
        <f>IF(AND('Small Signal'!$B$63&gt;=1,FCCM=0),AF44,AC44)</f>
        <v>124.11211997301223</v>
      </c>
      <c r="R44" s="292">
        <f t="shared" si="16"/>
        <v>18.456211920650599</v>
      </c>
      <c r="S44" s="292">
        <f t="shared" si="16"/>
        <v>-0.51712824635398491</v>
      </c>
      <c r="T44" s="292" t="str">
        <f>IMDIV(IMSUM('Small Signal'!$B$76,IMPRODUCT(M44,'Small Signal'!$B$77)),IMSUM(IMPRODUCT('Small Signal'!$B$80,IMPOWER(M44,2)),IMSUM(IMPRODUCT(M44,'Small Signal'!$B$79),'Small Signal'!$B$78)))</f>
        <v>5.36117117656844-0.0409684357375414i</v>
      </c>
      <c r="U44" s="292">
        <f t="shared" si="17"/>
        <v>14.585447081322744</v>
      </c>
      <c r="V44" s="292">
        <f t="shared" si="18"/>
        <v>-0.43782835771504092</v>
      </c>
      <c r="W44" s="292" t="str">
        <f>IMPRODUCT(IMDIV(IMSUM(IMPRODUCT(M44,'Small Signal'!$B$59*'Small Signal'!$B$6*'Small Signal'!$B$51*'Small Signal'!$B$7*'Small Signal'!$B$8),'Small Signal'!$B$59*'Small Signal'!$B$6*'Small Signal'!$B$51),IMSUM(IMSUM(IMPRODUCT(M44,('Small Signal'!$B$5+'Small Signal'!$B$6)*('Small Signal'!$B$58*'Small Signal'!$B$59)+'Small Signal'!$B$5*'Small Signal'!$B$59*('Small Signal'!$B$8+'Small Signal'!$B$9)+'Small Signal'!$B$6*'Small Signal'!$B$59*('Small Signal'!$B$8+'Small Signal'!$B$9)+'Small Signal'!$B$7*'Small Signal'!$B$8*('Small Signal'!$B$5+'Small Signal'!$B$6)),'Small Signal'!$B$6+'Small Signal'!$B$5),IMPRODUCT(IMPOWER(M44,2),'Small Signal'!$B$58*'Small Signal'!$B$59*'Small Signal'!$B$8*'Small Signal'!$B$7*('Small Signal'!$B$5+'Small Signal'!$B$6)+('Small Signal'!$B$5+'Small Signal'!$B$6)*('Small Signal'!$B$9*'Small Signal'!$B$8*'Small Signal'!$B$59*'Small Signal'!$B$7)))),-1)</f>
        <v>-106.484025995845+154.230941077985i</v>
      </c>
      <c r="X44" s="292">
        <f t="shared" si="3"/>
        <v>0</v>
      </c>
      <c r="Y44" s="292">
        <f t="shared" si="4"/>
        <v>0</v>
      </c>
      <c r="Z44" s="292" t="str">
        <f t="shared" si="5"/>
        <v>1.00000000809987+0.00012738354314167i</v>
      </c>
      <c r="AA44" s="292" t="str">
        <f t="shared" si="19"/>
        <v>-879.921849026368+1299.04714115886i</v>
      </c>
      <c r="AB44" s="289">
        <f t="shared" si="20"/>
        <v>63.912502861503604</v>
      </c>
      <c r="AC44" s="292">
        <f t="shared" si="21"/>
        <v>124.11211997301223</v>
      </c>
      <c r="AD44" s="292" t="str">
        <f t="shared" si="22"/>
        <v>-564.560490535595+831.220959818404i</v>
      </c>
      <c r="AE44" s="289">
        <f t="shared" si="23"/>
        <v>60.041737881350102</v>
      </c>
      <c r="AF44" s="292">
        <f t="shared" si="6"/>
        <v>124.18412132234832</v>
      </c>
      <c r="AH44" s="292" t="str">
        <f t="shared" si="7"/>
        <v>0.00075-60.000685676058i</v>
      </c>
      <c r="AI44" s="292">
        <f t="shared" si="8"/>
        <v>0.95</v>
      </c>
      <c r="AJ44" s="292" t="str">
        <f t="shared" si="9"/>
        <v>1000-6336072407.39172i</v>
      </c>
      <c r="AK44" s="292" t="str">
        <f t="shared" si="10"/>
        <v>0.949761717529068-0.0150377191746836i</v>
      </c>
      <c r="AL44" s="292" t="str">
        <f t="shared" si="24"/>
        <v>1.18810560427412-0.0000124177111319584i</v>
      </c>
      <c r="AM44" s="292" t="str">
        <f t="shared" si="11"/>
        <v>0.019+0.000347218254234826i</v>
      </c>
      <c r="AN44" s="292" t="str">
        <f t="shared" si="25"/>
        <v>8.37130001538716-0.0755579780375539i</v>
      </c>
      <c r="AO44" s="292">
        <f t="shared" si="26"/>
        <v>18.456211920650599</v>
      </c>
      <c r="AP44" s="292">
        <f t="shared" si="27"/>
        <v>-0.51712824635398491</v>
      </c>
      <c r="AR44" s="292" t="str">
        <f t="shared" si="12"/>
        <v>1.18810560427412-0.0000124177111319584i</v>
      </c>
      <c r="AS44" s="292" t="str">
        <f t="shared" si="28"/>
        <v>8.37130001538716-0.0755579780375539i</v>
      </c>
      <c r="AT44" s="292">
        <f t="shared" si="29"/>
        <v>18.456211920650599</v>
      </c>
      <c r="AU44" s="292">
        <f t="shared" si="30"/>
        <v>-0.51712824635398491</v>
      </c>
    </row>
    <row r="45" spans="1:47" ht="12.75" x14ac:dyDescent="0.2">
      <c r="A45" s="295" t="s">
        <v>249</v>
      </c>
      <c r="B45" s="292">
        <f>B3</f>
        <v>3.8</v>
      </c>
      <c r="C45" s="292"/>
      <c r="D45" s="292"/>
      <c r="F45" s="292">
        <v>43</v>
      </c>
      <c r="G45" s="293">
        <f t="shared" si="0"/>
        <v>168.58745167335707</v>
      </c>
      <c r="H45" s="293">
        <f t="shared" si="1"/>
        <v>168.57881372500071</v>
      </c>
      <c r="I45" s="294">
        <f t="shared" si="2"/>
        <v>1</v>
      </c>
      <c r="J45" s="292">
        <f t="shared" si="14"/>
        <v>1</v>
      </c>
      <c r="K45" s="292">
        <f t="shared" si="14"/>
        <v>1</v>
      </c>
      <c r="L45" s="292">
        <f>10^('Small Signal'!F45/30)</f>
        <v>27.122725793320289</v>
      </c>
      <c r="M45" s="292" t="str">
        <f t="shared" si="15"/>
        <v>170.417112195251i</v>
      </c>
      <c r="N45" s="292">
        <f>IF(D$32=1, IF(AND('Small Signal'!$B$63&gt;=1,FCCM=0),U45+0,R45+0), 0)</f>
        <v>0</v>
      </c>
      <c r="O45" s="292">
        <f>IF(D$32=1, IF(AND('Small Signal'!$B$63&gt;=1,FCCM=0),V45,S45), 0)</f>
        <v>0</v>
      </c>
      <c r="P45" s="292">
        <f>IF(AND('Small Signal'!$B$63&gt;=1,FCCM=0),AE45+0,AB45+0)</f>
        <v>63.446162395091562</v>
      </c>
      <c r="Q45" s="292">
        <f>IF(AND('Small Signal'!$B$63&gt;=1,FCCM=0),AF45,AC45)</f>
        <v>122.08502273950795</v>
      </c>
      <c r="R45" s="292">
        <f t="shared" si="16"/>
        <v>18.456156742527611</v>
      </c>
      <c r="S45" s="292">
        <f t="shared" si="16"/>
        <v>-0.55837994675412528</v>
      </c>
      <c r="T45" s="292" t="str">
        <f>IMDIV(IMSUM('Small Signal'!$B$76,IMPRODUCT(M45,'Small Signal'!$B$77)),IMSUM(IMPRODUCT('Small Signal'!$B$80,IMPOWER(M45,2)),IMSUM(IMPRODUCT(M45,'Small Signal'!$B$79),'Small Signal'!$B$78)))</f>
        <v>5.36112257481628-0.0442363259060852i</v>
      </c>
      <c r="U45" s="292">
        <f t="shared" si="17"/>
        <v>14.585410413947228</v>
      </c>
      <c r="V45" s="292">
        <f t="shared" si="18"/>
        <v>-0.47275495411291923</v>
      </c>
      <c r="W45" s="292" t="str">
        <f>IMPRODUCT(IMDIV(IMSUM(IMPRODUCT(M45,'Small Signal'!$B$59*'Small Signal'!$B$6*'Small Signal'!$B$51*'Small Signal'!$B$7*'Small Signal'!$B$8),'Small Signal'!$B$59*'Small Signal'!$B$6*'Small Signal'!$B$51),IMSUM(IMSUM(IMPRODUCT(M45,('Small Signal'!$B$5+'Small Signal'!$B$6)*('Small Signal'!$B$58*'Small Signal'!$B$59)+'Small Signal'!$B$5*'Small Signal'!$B$59*('Small Signal'!$B$8+'Small Signal'!$B$9)+'Small Signal'!$B$6*'Small Signal'!$B$59*('Small Signal'!$B$8+'Small Signal'!$B$9)+'Small Signal'!$B$7*'Small Signal'!$B$8*('Small Signal'!$B$5+'Small Signal'!$B$6)),'Small Signal'!$B$6+'Small Signal'!$B$5),IMPRODUCT(IMPOWER(M45,2),'Small Signal'!$B$58*'Small Signal'!$B$59*'Small Signal'!$B$8*'Small Signal'!$B$7*('Small Signal'!$B$5+'Small Signal'!$B$6)+('Small Signal'!$B$5+'Small Signal'!$B$6)*('Small Signal'!$B$9*'Small Signal'!$B$8*'Small Signal'!$B$59*'Small Signal'!$B$7)))),-1)</f>
        <v>-95.7910738022941+149.579932760971i</v>
      </c>
      <c r="X45" s="292">
        <f t="shared" si="3"/>
        <v>0</v>
      </c>
      <c r="Y45" s="292">
        <f t="shared" si="4"/>
        <v>0</v>
      </c>
      <c r="Z45" s="292" t="str">
        <f t="shared" si="5"/>
        <v>1.00000000944376+0.000137545585881406i</v>
      </c>
      <c r="AA45" s="292" t="str">
        <f t="shared" si="19"/>
        <v>-789.855198678937+1259.86854745028i</v>
      </c>
      <c r="AB45" s="289">
        <f t="shared" si="20"/>
        <v>63.446162395091562</v>
      </c>
      <c r="AC45" s="292">
        <f t="shared" si="21"/>
        <v>122.08502273950795</v>
      </c>
      <c r="AD45" s="292" t="str">
        <f t="shared" si="22"/>
        <v>-506.930821572747+806.153799423955i</v>
      </c>
      <c r="AE45" s="289">
        <f t="shared" si="23"/>
        <v>59.575415902320458</v>
      </c>
      <c r="AF45" s="292">
        <f t="shared" si="6"/>
        <v>122.16276695071174</v>
      </c>
      <c r="AH45" s="292" t="str">
        <f t="shared" si="7"/>
        <v>0.00075-55.5677587051664i</v>
      </c>
      <c r="AI45" s="292">
        <f t="shared" si="8"/>
        <v>0.95</v>
      </c>
      <c r="AJ45" s="292" t="str">
        <f t="shared" si="9"/>
        <v>1000-5867955319.26557i</v>
      </c>
      <c r="AK45" s="292" t="str">
        <f t="shared" si="10"/>
        <v>0.949722194605662-0.0162366794358642i</v>
      </c>
      <c r="AL45" s="292" t="str">
        <f t="shared" si="24"/>
        <v>1.18810560425259-0.0000134083360530061i</v>
      </c>
      <c r="AM45" s="292" t="str">
        <f t="shared" si="11"/>
        <v>0.019+0.000374917646829552i</v>
      </c>
      <c r="AN45" s="292" t="str">
        <f t="shared" si="25"/>
        <v>8.37119026647458-0.0815845914486596i</v>
      </c>
      <c r="AO45" s="292">
        <f t="shared" si="26"/>
        <v>18.456156742527611</v>
      </c>
      <c r="AP45" s="292">
        <f t="shared" si="27"/>
        <v>-0.55837994675412528</v>
      </c>
      <c r="AR45" s="292" t="str">
        <f t="shared" si="12"/>
        <v>1.18810560425259-0.0000134083360530061i</v>
      </c>
      <c r="AS45" s="292" t="str">
        <f t="shared" si="28"/>
        <v>8.37119026647458-0.0815845914486596i</v>
      </c>
      <c r="AT45" s="292">
        <f t="shared" si="29"/>
        <v>18.456156742527611</v>
      </c>
      <c r="AU45" s="292">
        <f t="shared" si="30"/>
        <v>-0.55837994675412528</v>
      </c>
    </row>
    <row r="46" spans="1:47" x14ac:dyDescent="0.25">
      <c r="A46" s="295" t="s">
        <v>387</v>
      </c>
      <c r="B46" s="297">
        <f>B11</f>
        <v>908998.12863428425</v>
      </c>
      <c r="C46" s="292"/>
      <c r="D46" s="292"/>
      <c r="F46" s="292">
        <v>44</v>
      </c>
      <c r="G46" s="293">
        <f t="shared" si="0"/>
        <v>168.58814076706983</v>
      </c>
      <c r="H46" s="293">
        <f t="shared" si="1"/>
        <v>168.57881372500071</v>
      </c>
      <c r="I46" s="294">
        <f t="shared" si="2"/>
        <v>1</v>
      </c>
      <c r="J46" s="292">
        <f t="shared" si="14"/>
        <v>1</v>
      </c>
      <c r="K46" s="292">
        <f t="shared" si="14"/>
        <v>1</v>
      </c>
      <c r="L46" s="292">
        <f>10^('Small Signal'!F46/30)</f>
        <v>29.286445646252368</v>
      </c>
      <c r="M46" s="292" t="str">
        <f t="shared" si="15"/>
        <v>184.012164984046i</v>
      </c>
      <c r="N46" s="292">
        <f>IF(D$32=1, IF(AND('Small Signal'!$B$63&gt;=1,FCCM=0),U46+0,R46+0), 0)</f>
        <v>0</v>
      </c>
      <c r="O46" s="292">
        <f>IF(D$32=1, IF(AND('Small Signal'!$B$63&gt;=1,FCCM=0),V46,S46), 0)</f>
        <v>0</v>
      </c>
      <c r="P46" s="292">
        <f>IF(AND('Small Signal'!$B$63&gt;=1,FCCM=0),AE46+0,AB46+0)</f>
        <v>62.958992254223112</v>
      </c>
      <c r="Q46" s="292">
        <f>IF(AND('Small Signal'!$B$63&gt;=1,FCCM=0),AF46,AC46)</f>
        <v>120.12251586417052</v>
      </c>
      <c r="R46" s="292">
        <f t="shared" si="16"/>
        <v>18.456092410442789</v>
      </c>
      <c r="S46" s="292">
        <f t="shared" si="16"/>
        <v>-0.60292191551444041</v>
      </c>
      <c r="T46" s="292" t="str">
        <f>IMDIV(IMSUM('Small Signal'!$B$76,IMPRODUCT(M46,'Small Signal'!$B$77)),IMSUM(IMPRODUCT('Small Signal'!$B$80,IMPOWER(M46,2)),IMSUM(IMPRODUCT(M46,'Small Signal'!$B$79),'Small Signal'!$B$78)))</f>
        <v>5.3610659103642-0.0477648158580285i</v>
      </c>
      <c r="U46" s="292">
        <f t="shared" si="17"/>
        <v>14.585367663312461</v>
      </c>
      <c r="V46" s="292">
        <f t="shared" si="18"/>
        <v>-0.51046750645196426</v>
      </c>
      <c r="W46" s="292" t="str">
        <f>IMPRODUCT(IMDIV(IMSUM(IMPRODUCT(M46,'Small Signal'!$B$59*'Small Signal'!$B$6*'Small Signal'!$B$51*'Small Signal'!$B$7*'Small Signal'!$B$8),'Small Signal'!$B$59*'Small Signal'!$B$6*'Small Signal'!$B$51),IMSUM(IMSUM(IMPRODUCT(M46,('Small Signal'!$B$5+'Small Signal'!$B$6)*('Small Signal'!$B$58*'Small Signal'!$B$59)+'Small Signal'!$B$5*'Small Signal'!$B$59*('Small Signal'!$B$8+'Small Signal'!$B$9)+'Small Signal'!$B$6*'Small Signal'!$B$59*('Small Signal'!$B$8+'Small Signal'!$B$9)+'Small Signal'!$B$7*'Small Signal'!$B$8*('Small Signal'!$B$5+'Small Signal'!$B$6)),'Small Signal'!$B$6+'Small Signal'!$B$5),IMPRODUCT(IMPOWER(M46,2),'Small Signal'!$B$58*'Small Signal'!$B$59*'Small Signal'!$B$8*'Small Signal'!$B$7*('Small Signal'!$B$5+'Small Signal'!$B$6)+('Small Signal'!$B$5+'Small Signal'!$B$6)*('Small Signal'!$B$9*'Small Signal'!$B$8*'Small Signal'!$B$59*'Small Signal'!$B$7)))),-1)</f>
        <v>-85.7814280869393+144.375204512926i</v>
      </c>
      <c r="X46" s="292">
        <f t="shared" si="3"/>
        <v>0</v>
      </c>
      <c r="Y46" s="292">
        <f t="shared" si="4"/>
        <v>0</v>
      </c>
      <c r="Z46" s="292" t="str">
        <f t="shared" si="5"/>
        <v>1.00000001101061+0.000148518307206393i</v>
      </c>
      <c r="AA46" s="292" t="str">
        <f t="shared" si="19"/>
        <v>-705.544046416702+1216.02572005209i</v>
      </c>
      <c r="AB46" s="289">
        <f t="shared" si="20"/>
        <v>62.958992254223112</v>
      </c>
      <c r="AC46" s="292">
        <f t="shared" si="21"/>
        <v>120.12251586417052</v>
      </c>
      <c r="AD46" s="292" t="str">
        <f t="shared" si="22"/>
        <v>-452.983834801223+778.102321332718i</v>
      </c>
      <c r="AE46" s="289">
        <f t="shared" si="23"/>
        <v>59.088267315660516</v>
      </c>
      <c r="AF46" s="292">
        <f t="shared" si="6"/>
        <v>120.20646080120592</v>
      </c>
      <c r="AH46" s="292" t="str">
        <f t="shared" si="7"/>
        <v>0.00075-51.4623420169964i</v>
      </c>
      <c r="AI46" s="292">
        <f t="shared" si="8"/>
        <v>0.95</v>
      </c>
      <c r="AJ46" s="292" t="str">
        <f t="shared" si="9"/>
        <v>1000-5434423316.99483i</v>
      </c>
      <c r="AK46" s="292" t="str">
        <f t="shared" si="10"/>
        <v>0.949676118416439-0.0175311119309329i</v>
      </c>
      <c r="AL46" s="292" t="str">
        <f t="shared" si="24"/>
        <v>1.18810560422748-0.0000144779882378731i</v>
      </c>
      <c r="AM46" s="292" t="str">
        <f t="shared" si="11"/>
        <v>0.019+0.000404826762964901i</v>
      </c>
      <c r="AN46" s="292" t="str">
        <f t="shared" si="25"/>
        <v>8.37106231215457-0.0880917105691411i</v>
      </c>
      <c r="AO46" s="292">
        <f t="shared" si="26"/>
        <v>18.456092410442789</v>
      </c>
      <c r="AP46" s="292">
        <f t="shared" si="27"/>
        <v>-0.60292191551444041</v>
      </c>
      <c r="AR46" s="292" t="str">
        <f t="shared" si="12"/>
        <v>1.18810560422748-0.0000144779882378731i</v>
      </c>
      <c r="AS46" s="292" t="str">
        <f t="shared" si="28"/>
        <v>8.37106231215457-0.0880917105691411i</v>
      </c>
      <c r="AT46" s="292">
        <f t="shared" si="29"/>
        <v>18.456092410442789</v>
      </c>
      <c r="AU46" s="292">
        <f t="shared" si="30"/>
        <v>-0.60292191551444041</v>
      </c>
    </row>
    <row r="47" spans="1:47" x14ac:dyDescent="0.25">
      <c r="A47" s="295"/>
      <c r="B47" s="296"/>
      <c r="C47" s="292"/>
      <c r="D47" s="292"/>
      <c r="F47" s="292">
        <v>45</v>
      </c>
      <c r="G47" s="293">
        <f t="shared" si="0"/>
        <v>168.58888483334033</v>
      </c>
      <c r="H47" s="293">
        <f t="shared" si="1"/>
        <v>168.57881372500071</v>
      </c>
      <c r="I47" s="294">
        <f t="shared" si="2"/>
        <v>1</v>
      </c>
      <c r="J47" s="292">
        <f t="shared" si="14"/>
        <v>1</v>
      </c>
      <c r="K47" s="292">
        <f t="shared" si="14"/>
        <v>1</v>
      </c>
      <c r="L47" s="292">
        <f>10^('Small Signal'!F47/30)</f>
        <v>31.622776601683803</v>
      </c>
      <c r="M47" s="292" t="str">
        <f t="shared" si="15"/>
        <v>198.691765315922i</v>
      </c>
      <c r="N47" s="292">
        <f>IF(D$32=1, IF(AND('Small Signal'!$B$63&gt;=1,FCCM=0),U47+0,R47+0), 0)</f>
        <v>0</v>
      </c>
      <c r="O47" s="292">
        <f>IF(D$32=1, IF(AND('Small Signal'!$B$63&gt;=1,FCCM=0),V47,S47), 0)</f>
        <v>0</v>
      </c>
      <c r="P47" s="292">
        <f>IF(AND('Small Signal'!$B$63&gt;=1,FCCM=0),AE47+0,AB47+0)</f>
        <v>62.452412625343747</v>
      </c>
      <c r="Q47" s="292">
        <f>IF(AND('Small Signal'!$B$63&gt;=1,FCCM=0),AF47,AC47)</f>
        <v>118.2311200535995</v>
      </c>
      <c r="R47" s="292">
        <f t="shared" si="16"/>
        <v>18.456017405939409</v>
      </c>
      <c r="S47" s="292">
        <f t="shared" si="16"/>
        <v>-0.65101648087544028</v>
      </c>
      <c r="T47" s="292" t="str">
        <f>IMDIV(IMSUM('Small Signal'!$B$76,IMPRODUCT(M47,'Small Signal'!$B$77)),IMSUM(IMPRODUCT('Small Signal'!$B$80,IMPOWER(M47,2)),IMSUM(IMPRODUCT(M47,'Small Signal'!$B$79),'Small Signal'!$B$78)))</f>
        <v>5.36099984586454-0.0515746699531217i</v>
      </c>
      <c r="U47" s="292">
        <f t="shared" si="17"/>
        <v>14.585317820257007</v>
      </c>
      <c r="V47" s="292">
        <f t="shared" si="18"/>
        <v>-0.55118818224171706</v>
      </c>
      <c r="W47" s="292" t="str">
        <f>IMPRODUCT(IMDIV(IMSUM(IMPRODUCT(M47,'Small Signal'!$B$59*'Small Signal'!$B$6*'Small Signal'!$B$51*'Small Signal'!$B$7*'Small Signal'!$B$8),'Small Signal'!$B$59*'Small Signal'!$B$6*'Small Signal'!$B$51),IMSUM(IMSUM(IMPRODUCT(M47,('Small Signal'!$B$5+'Small Signal'!$B$6)*('Small Signal'!$B$58*'Small Signal'!$B$59)+'Small Signal'!$B$5*'Small Signal'!$B$59*('Small Signal'!$B$8+'Small Signal'!$B$9)+'Small Signal'!$B$6*'Small Signal'!$B$59*('Small Signal'!$B$8+'Small Signal'!$B$9)+'Small Signal'!$B$7*'Small Signal'!$B$8*('Small Signal'!$B$5+'Small Signal'!$B$6)),'Small Signal'!$B$6+'Small Signal'!$B$5),IMPRODUCT(IMPOWER(M47,2),'Small Signal'!$B$58*'Small Signal'!$B$59*'Small Signal'!$B$8*'Small Signal'!$B$7*('Small Signal'!$B$5+'Small Signal'!$B$6)+('Small Signal'!$B$5+'Small Signal'!$B$6)*('Small Signal'!$B$9*'Small Signal'!$B$8*'Small Signal'!$B$59*'Small Signal'!$B$7)))),-1)</f>
        <v>-76.4978204051394+138.730334471942i</v>
      </c>
      <c r="X47" s="292">
        <f t="shared" si="3"/>
        <v>0</v>
      </c>
      <c r="Y47" s="292">
        <f t="shared" si="4"/>
        <v>0</v>
      </c>
      <c r="Z47" s="292" t="str">
        <f t="shared" si="5"/>
        <v>1.00000001283743+0.000160366379126182i</v>
      </c>
      <c r="AA47" s="292" t="str">
        <f t="shared" si="19"/>
        <v>-627.348321584943+1168.47530723062i</v>
      </c>
      <c r="AB47" s="289">
        <f t="shared" si="20"/>
        <v>62.452412625343747</v>
      </c>
      <c r="AC47" s="292">
        <f t="shared" si="21"/>
        <v>118.2311200535995</v>
      </c>
      <c r="AD47" s="292" t="str">
        <f t="shared" si="22"/>
        <v>-402.949832188049+747.678651560345i</v>
      </c>
      <c r="AE47" s="289">
        <f t="shared" si="23"/>
        <v>58.581712816467672</v>
      </c>
      <c r="AF47" s="292">
        <f t="shared" si="6"/>
        <v>118.32176003573036</v>
      </c>
      <c r="AH47" s="292" t="str">
        <f t="shared" si="7"/>
        <v>0.00075-47.6602387353096i</v>
      </c>
      <c r="AI47" s="292">
        <f t="shared" si="8"/>
        <v>0.95</v>
      </c>
      <c r="AJ47" s="292" t="str">
        <f t="shared" si="9"/>
        <v>1000-5032921210.4487i</v>
      </c>
      <c r="AK47" s="292" t="str">
        <f t="shared" si="10"/>
        <v>0.949622403173025-0.018928587692772i</v>
      </c>
      <c r="AL47" s="292" t="str">
        <f t="shared" si="24"/>
        <v>1.18810560419821-0.0000156329720993431i</v>
      </c>
      <c r="AM47" s="292" t="str">
        <f t="shared" si="11"/>
        <v>0.019+0.000437121883695028i</v>
      </c>
      <c r="AN47" s="292" t="str">
        <f t="shared" si="25"/>
        <v>8.37091313315169-0.0951175983531331i</v>
      </c>
      <c r="AO47" s="292">
        <f t="shared" si="26"/>
        <v>18.456017405939409</v>
      </c>
      <c r="AP47" s="292">
        <f t="shared" si="27"/>
        <v>-0.65101648087544028</v>
      </c>
      <c r="AR47" s="292" t="str">
        <f t="shared" si="12"/>
        <v>1.18810560419821-0.0000156329720993431i</v>
      </c>
      <c r="AS47" s="292" t="str">
        <f t="shared" si="28"/>
        <v>8.37091313315169-0.0951175983531331i</v>
      </c>
      <c r="AT47" s="292">
        <f t="shared" si="29"/>
        <v>18.456017405939409</v>
      </c>
      <c r="AU47" s="292">
        <f t="shared" si="30"/>
        <v>-0.65101648087544028</v>
      </c>
    </row>
    <row r="48" spans="1:47" x14ac:dyDescent="0.25">
      <c r="A48" s="295"/>
      <c r="B48" s="292"/>
      <c r="C48" s="292"/>
      <c r="D48" s="292"/>
      <c r="F48" s="292">
        <v>46</v>
      </c>
      <c r="G48" s="293">
        <f t="shared" si="0"/>
        <v>168.58968825761193</v>
      </c>
      <c r="H48" s="293">
        <f t="shared" si="1"/>
        <v>168.57881372500071</v>
      </c>
      <c r="I48" s="294">
        <f t="shared" si="2"/>
        <v>1</v>
      </c>
      <c r="J48" s="292">
        <f t="shared" si="14"/>
        <v>1</v>
      </c>
      <c r="K48" s="292">
        <f t="shared" si="14"/>
        <v>1</v>
      </c>
      <c r="L48" s="292">
        <f>10^('Small Signal'!F48/30)</f>
        <v>34.145488738336034</v>
      </c>
      <c r="M48" s="292" t="str">
        <f t="shared" si="15"/>
        <v>214.542433147179i</v>
      </c>
      <c r="N48" s="292">
        <f>IF(D$32=1, IF(AND('Small Signal'!$B$63&gt;=1,FCCM=0),U48+0,R48+0), 0)</f>
        <v>0</v>
      </c>
      <c r="O48" s="292">
        <f>IF(D$32=1, IF(AND('Small Signal'!$B$63&gt;=1,FCCM=0),V48,S48), 0)</f>
        <v>0</v>
      </c>
      <c r="P48" s="292">
        <f>IF(AND('Small Signal'!$B$63&gt;=1,FCCM=0),AE48+0,AB48+0)</f>
        <v>61.927907355761192</v>
      </c>
      <c r="Q48" s="292">
        <f>IF(AND('Small Signal'!$B$63&gt;=1,FCCM=0),AF48,AC48)</f>
        <v>116.41584946259879</v>
      </c>
      <c r="R48" s="292">
        <f t="shared" si="16"/>
        <v>18.455929958740946</v>
      </c>
      <c r="S48" s="292">
        <f t="shared" si="16"/>
        <v>-0.7029468586333113</v>
      </c>
      <c r="T48" s="292" t="str">
        <f>IMDIV(IMSUM('Small Signal'!$B$76,IMPRODUCT(M48,'Small Signal'!$B$77)),IMSUM(IMPRODUCT('Small Signal'!$B$80,IMPOWER(M48,2)),IMSUM(IMPRODUCT(M48,'Small Signal'!$B$79),'Small Signal'!$B$78)))</f>
        <v>5.36092282221741-0.0556883025521794i</v>
      </c>
      <c r="U48" s="292">
        <f t="shared" si="17"/>
        <v>14.585259708234828</v>
      </c>
      <c r="V48" s="292">
        <f t="shared" si="18"/>
        <v>-0.59515685106302296</v>
      </c>
      <c r="W48" s="292" t="str">
        <f>IMPRODUCT(IMDIV(IMSUM(IMPRODUCT(M48,'Small Signal'!$B$59*'Small Signal'!$B$6*'Small Signal'!$B$51*'Small Signal'!$B$7*'Small Signal'!$B$8),'Small Signal'!$B$59*'Small Signal'!$B$6*'Small Signal'!$B$51),IMSUM(IMSUM(IMPRODUCT(M48,('Small Signal'!$B$5+'Small Signal'!$B$6)*('Small Signal'!$B$58*'Small Signal'!$B$59)+'Small Signal'!$B$5*'Small Signal'!$B$59*('Small Signal'!$B$8+'Small Signal'!$B$9)+'Small Signal'!$B$6*'Small Signal'!$B$59*('Small Signal'!$B$8+'Small Signal'!$B$9)+'Small Signal'!$B$7*'Small Signal'!$B$8*('Small Signal'!$B$5+'Small Signal'!$B$6)),'Small Signal'!$B$6+'Small Signal'!$B$5),IMPRODUCT(IMPOWER(M48,2),'Small Signal'!$B$58*'Small Signal'!$B$59*'Small Signal'!$B$8*'Small Signal'!$B$7*('Small Signal'!$B$5+'Small Signal'!$B$6)+('Small Signal'!$B$5+'Small Signal'!$B$6)*('Small Signal'!$B$9*'Small Signal'!$B$8*'Small Signal'!$B$59*'Small Signal'!$B$7)))),-1)</f>
        <v>-67.9612702114966+132.757254556979i</v>
      </c>
      <c r="X48" s="292">
        <f t="shared" si="3"/>
        <v>0</v>
      </c>
      <c r="Y48" s="292">
        <f t="shared" si="4"/>
        <v>0</v>
      </c>
      <c r="Z48" s="292" t="str">
        <f t="shared" si="5"/>
        <v>1.00000001496735+0.000173159632868777i</v>
      </c>
      <c r="AA48" s="292" t="str">
        <f t="shared" si="19"/>
        <v>-555.445072823208+1118.16008956i</v>
      </c>
      <c r="AB48" s="289">
        <f t="shared" si="20"/>
        <v>61.927907355761192</v>
      </c>
      <c r="AC48" s="292">
        <f t="shared" si="21"/>
        <v>116.41584946259879</v>
      </c>
      <c r="AD48" s="292" t="str">
        <f t="shared" si="22"/>
        <v>-356.942098345931+715.486043546803i</v>
      </c>
      <c r="AE48" s="289">
        <f t="shared" si="23"/>
        <v>58.057236845030374</v>
      </c>
      <c r="AF48" s="292">
        <f t="shared" si="6"/>
        <v>116.51371815427123</v>
      </c>
      <c r="AH48" s="292" t="str">
        <f t="shared" si="7"/>
        <v>0.00075-44.1390396798596i</v>
      </c>
      <c r="AI48" s="292">
        <f t="shared" si="8"/>
        <v>0.95</v>
      </c>
      <c r="AJ48" s="292" t="str">
        <f t="shared" si="9"/>
        <v>1000-4661082590.19318i</v>
      </c>
      <c r="AK48" s="292" t="str">
        <f t="shared" si="10"/>
        <v>0.949559783475056-0.0204372700272626i</v>
      </c>
      <c r="AL48" s="292" t="str">
        <f t="shared" si="24"/>
        <v>1.18810560416408-0.0000168800949857478i</v>
      </c>
      <c r="AM48" s="292" t="str">
        <f t="shared" si="11"/>
        <v>0.019+0.000471993352923794i</v>
      </c>
      <c r="AN48" s="292" t="str">
        <f t="shared" si="25"/>
        <v>8.37073920970329-0.102703552209258i</v>
      </c>
      <c r="AO48" s="292">
        <f t="shared" si="26"/>
        <v>18.455929958740946</v>
      </c>
      <c r="AP48" s="292">
        <f t="shared" si="27"/>
        <v>-0.7029468586333113</v>
      </c>
      <c r="AR48" s="292" t="str">
        <f t="shared" si="12"/>
        <v>1.18810560416408-0.0000168800949857478i</v>
      </c>
      <c r="AS48" s="292" t="str">
        <f t="shared" si="28"/>
        <v>8.37073920970329-0.102703552209258i</v>
      </c>
      <c r="AT48" s="292">
        <f t="shared" si="29"/>
        <v>18.455929958740946</v>
      </c>
      <c r="AU48" s="292">
        <f t="shared" si="30"/>
        <v>-0.7029468586333113</v>
      </c>
    </row>
    <row r="49" spans="1:47" x14ac:dyDescent="0.25">
      <c r="A49" s="295"/>
      <c r="B49" s="292"/>
      <c r="C49" s="292"/>
      <c r="D49" s="292"/>
      <c r="F49" s="292">
        <v>47</v>
      </c>
      <c r="G49" s="293">
        <f t="shared" si="0"/>
        <v>168.59055577517719</v>
      </c>
      <c r="H49" s="293">
        <f t="shared" si="1"/>
        <v>168.57881372500071</v>
      </c>
      <c r="I49" s="294">
        <f t="shared" si="2"/>
        <v>1</v>
      </c>
      <c r="J49" s="292">
        <f t="shared" si="14"/>
        <v>1</v>
      </c>
      <c r="K49" s="292">
        <f t="shared" si="14"/>
        <v>1</v>
      </c>
      <c r="L49" s="292">
        <f>10^('Small Signal'!F49/30)</f>
        <v>36.869450645195769</v>
      </c>
      <c r="M49" s="292" t="str">
        <f t="shared" si="15"/>
        <v>231.657590577677i</v>
      </c>
      <c r="N49" s="292">
        <f>IF(D$32=1, IF(AND('Small Signal'!$B$63&gt;=1,FCCM=0),U49+0,R49+0), 0)</f>
        <v>0</v>
      </c>
      <c r="O49" s="292">
        <f>IF(D$32=1, IF(AND('Small Signal'!$B$63&gt;=1,FCCM=0),V49,S49), 0)</f>
        <v>0</v>
      </c>
      <c r="P49" s="292">
        <f>IF(AND('Small Signal'!$B$63&gt;=1,FCCM=0),AE49+0,AB49+0)</f>
        <v>61.386982530677159</v>
      </c>
      <c r="Q49" s="292">
        <f>IF(AND('Small Signal'!$B$63&gt;=1,FCCM=0),AF49,AC49)</f>
        <v>114.68026146644786</v>
      </c>
      <c r="R49" s="292">
        <f t="shared" si="16"/>
        <v>18.455828005011437</v>
      </c>
      <c r="S49" s="292">
        <f t="shared" si="16"/>
        <v>-0.75901880816795486</v>
      </c>
      <c r="T49" s="292" t="str">
        <f>IMDIV(IMSUM('Small Signal'!$B$76,IMPRODUCT(M49,'Small Signal'!$B$77)),IMSUM(IMPRODUCT('Small Signal'!$B$80,IMPOWER(M49,2)),IMSUM(IMPRODUCT(M49,'Small Signal'!$B$79),'Small Signal'!$B$78)))</f>
        <v>5.36083302182676-0.0601299079694574i</v>
      </c>
      <c r="U49" s="292">
        <f t="shared" si="17"/>
        <v>14.585191955561923</v>
      </c>
      <c r="V49" s="292">
        <f t="shared" si="18"/>
        <v>-0.64263249122014277</v>
      </c>
      <c r="W49" s="292" t="str">
        <f>IMPRODUCT(IMDIV(IMSUM(IMPRODUCT(M49,'Small Signal'!$B$59*'Small Signal'!$B$6*'Small Signal'!$B$51*'Small Signal'!$B$7*'Small Signal'!$B$8),'Small Signal'!$B$59*'Small Signal'!$B$6*'Small Signal'!$B$51),IMSUM(IMSUM(IMPRODUCT(M49,('Small Signal'!$B$5+'Small Signal'!$B$6)*('Small Signal'!$B$58*'Small Signal'!$B$59)+'Small Signal'!$B$5*'Small Signal'!$B$59*('Small Signal'!$B$8+'Small Signal'!$B$9)+'Small Signal'!$B$6*'Small Signal'!$B$59*('Small Signal'!$B$8+'Small Signal'!$B$9)+'Small Signal'!$B$7*'Small Signal'!$B$8*('Small Signal'!$B$5+'Small Signal'!$B$6)),'Small Signal'!$B$6+'Small Signal'!$B$5),IMPRODUCT(IMPOWER(M49,2),'Small Signal'!$B$58*'Small Signal'!$B$59*'Small Signal'!$B$8*'Small Signal'!$B$7*('Small Signal'!$B$5+'Small Signal'!$B$6)+('Small Signal'!$B$5+'Small Signal'!$B$6)*('Small Signal'!$B$9*'Small Signal'!$B$8*'Small Signal'!$B$59*'Small Signal'!$B$7)))),-1)</f>
        <v>-60.1734712445899+126.562138228427i</v>
      </c>
      <c r="X49" s="292">
        <f t="shared" si="3"/>
        <v>0</v>
      </c>
      <c r="Y49" s="292">
        <f t="shared" si="4"/>
        <v>0</v>
      </c>
      <c r="Z49" s="292" t="str">
        <f t="shared" si="5"/>
        <v>1.00000001745065+0.000186973470457718i</v>
      </c>
      <c r="AA49" s="292" t="str">
        <f t="shared" si="19"/>
        <v>-489.848568620569+1065.97434241594i</v>
      </c>
      <c r="AB49" s="289">
        <f t="shared" si="20"/>
        <v>61.386982530677159</v>
      </c>
      <c r="AC49" s="292">
        <f t="shared" si="21"/>
        <v>114.68026146644786</v>
      </c>
      <c r="AD49" s="292" t="str">
        <f t="shared" si="22"/>
        <v>-314.969761961847+682.096715216094i</v>
      </c>
      <c r="AE49" s="289">
        <f t="shared" si="23"/>
        <v>57.516346177827877</v>
      </c>
      <c r="AF49" s="292">
        <f t="shared" si="6"/>
        <v>114.78593499296929</v>
      </c>
      <c r="AH49" s="292" t="str">
        <f t="shared" si="7"/>
        <v>0.00075-40.877991289138i</v>
      </c>
      <c r="AI49" s="292">
        <f t="shared" si="8"/>
        <v>0.95</v>
      </c>
      <c r="AJ49" s="292" t="str">
        <f t="shared" si="9"/>
        <v>1000-4316715880.13297i</v>
      </c>
      <c r="AK49" s="292" t="str">
        <f t="shared" si="10"/>
        <v>0.949486784702297-0.0220659587384662i</v>
      </c>
      <c r="AL49" s="292" t="str">
        <f t="shared" si="24"/>
        <v>1.18810560412429-0.0000182267073027326i</v>
      </c>
      <c r="AM49" s="292" t="str">
        <f t="shared" si="11"/>
        <v>0.019+0.000509646699270889i</v>
      </c>
      <c r="AN49" s="292" t="str">
        <f t="shared" si="25"/>
        <v>8.37053643868447-0.110894141423223i</v>
      </c>
      <c r="AO49" s="292">
        <f t="shared" si="26"/>
        <v>18.455828005011437</v>
      </c>
      <c r="AP49" s="292">
        <f t="shared" si="27"/>
        <v>-0.75901880816795486</v>
      </c>
      <c r="AR49" s="292" t="str">
        <f t="shared" si="12"/>
        <v>1.18810560412429-0.0000182267073027326i</v>
      </c>
      <c r="AS49" s="292" t="str">
        <f t="shared" si="28"/>
        <v>8.37053643868447-0.110894141423223i</v>
      </c>
      <c r="AT49" s="292">
        <f t="shared" si="29"/>
        <v>18.455828005011437</v>
      </c>
      <c r="AU49" s="292">
        <f t="shared" si="30"/>
        <v>-0.75901880816795486</v>
      </c>
    </row>
    <row r="50" spans="1:47" x14ac:dyDescent="0.25">
      <c r="A50" s="295" t="s">
        <v>330</v>
      </c>
      <c r="B50" s="292">
        <f>VLOOKUP(DeviceCalculator!C4,partData!$A$3:$ZZ$34,20,FALSE)</f>
        <v>0</v>
      </c>
      <c r="C50" s="292"/>
      <c r="D50" s="292"/>
      <c r="F50" s="292">
        <v>48</v>
      </c>
      <c r="G50" s="293">
        <f t="shared" si="0"/>
        <v>168.59149249908697</v>
      </c>
      <c r="H50" s="293">
        <f t="shared" si="1"/>
        <v>168.57881372500071</v>
      </c>
      <c r="I50" s="294">
        <f t="shared" si="2"/>
        <v>1</v>
      </c>
      <c r="J50" s="292">
        <f t="shared" si="14"/>
        <v>1</v>
      </c>
      <c r="K50" s="292">
        <f t="shared" si="14"/>
        <v>1</v>
      </c>
      <c r="L50" s="292">
        <f>10^('Small Signal'!F50/30)</f>
        <v>39.810717055349755</v>
      </c>
      <c r="M50" s="292" t="str">
        <f t="shared" si="15"/>
        <v>250.138112470457i</v>
      </c>
      <c r="N50" s="292">
        <f>IF(D$32=1, IF(AND('Small Signal'!$B$63&gt;=1,FCCM=0),U50+0,R50+0), 0)</f>
        <v>0</v>
      </c>
      <c r="O50" s="292">
        <f>IF(D$32=1, IF(AND('Small Signal'!$B$63&gt;=1,FCCM=0),V50,S50), 0)</f>
        <v>0</v>
      </c>
      <c r="P50" s="292">
        <f>IF(AND('Small Signal'!$B$63&gt;=1,FCCM=0),AE50+0,AB50+0)</f>
        <v>60.831130558388502</v>
      </c>
      <c r="Q50" s="292">
        <f>IF(AND('Small Signal'!$B$63&gt;=1,FCCM=0),AF50,AC50)</f>
        <v>113.02655407262314</v>
      </c>
      <c r="R50" s="292">
        <f t="shared" si="16"/>
        <v>18.455709138705785</v>
      </c>
      <c r="S50" s="292">
        <f t="shared" si="16"/>
        <v>-0.81956241792111562</v>
      </c>
      <c r="T50" s="292" t="str">
        <f>IMDIV(IMSUM('Small Signal'!$B$76,IMPRODUCT(M50,'Small Signal'!$B$77)),IMSUM(IMPRODUCT('Small Signal'!$B$80,IMPOWER(M50,2)),IMSUM(IMPRODUCT(M50,'Small Signal'!$B$79),'Small Signal'!$B$78)))</f>
        <v>5.36072832577688-0.0649256003582532i</v>
      </c>
      <c r="U50" s="292">
        <f t="shared" si="17"/>
        <v>14.585112963064123</v>
      </c>
      <c r="V50" s="292">
        <f t="shared" si="18"/>
        <v>-0.69389470717674151</v>
      </c>
      <c r="W50" s="292" t="str">
        <f>IMPRODUCT(IMDIV(IMSUM(IMPRODUCT(M50,'Small Signal'!$B$59*'Small Signal'!$B$6*'Small Signal'!$B$51*'Small Signal'!$B$7*'Small Signal'!$B$8),'Small Signal'!$B$59*'Small Signal'!$B$6*'Small Signal'!$B$51),IMSUM(IMSUM(IMPRODUCT(M50,('Small Signal'!$B$5+'Small Signal'!$B$6)*('Small Signal'!$B$58*'Small Signal'!$B$59)+'Small Signal'!$B$5*'Small Signal'!$B$59*('Small Signal'!$B$8+'Small Signal'!$B$9)+'Small Signal'!$B$6*'Small Signal'!$B$59*('Small Signal'!$B$8+'Small Signal'!$B$9)+'Small Signal'!$B$7*'Small Signal'!$B$8*('Small Signal'!$B$5+'Small Signal'!$B$6)),'Small Signal'!$B$6+'Small Signal'!$B$5),IMPRODUCT(IMPOWER(M50,2),'Small Signal'!$B$58*'Small Signal'!$B$59*'Small Signal'!$B$8*'Small Signal'!$B$7*('Small Signal'!$B$5+'Small Signal'!$B$6)+('Small Signal'!$B$5+'Small Signal'!$B$6)*('Small Signal'!$B$9*'Small Signal'!$B$8*'Small Signal'!$B$59*'Small Signal'!$B$7)))),-1)</f>
        <v>-53.1198224018259+120.242336766125i</v>
      </c>
      <c r="X50" s="292">
        <f t="shared" si="3"/>
        <v>0</v>
      </c>
      <c r="Y50" s="292">
        <f t="shared" si="4"/>
        <v>0</v>
      </c>
      <c r="Z50" s="292" t="str">
        <f t="shared" si="5"/>
        <v>1.00000002034596+0.000201889309122675i</v>
      </c>
      <c r="AA50" s="292" t="str">
        <f t="shared" si="19"/>
        <v>-430.435826416543+1012.73803011976i</v>
      </c>
      <c r="AB50" s="289">
        <f t="shared" si="20"/>
        <v>60.831130558388502</v>
      </c>
      <c r="AC50" s="292">
        <f t="shared" si="21"/>
        <v>113.02655407262314</v>
      </c>
      <c r="AD50" s="292" t="str">
        <f t="shared" si="22"/>
        <v>-276.954130706685+648.035337020131i</v>
      </c>
      <c r="AE50" s="289">
        <f t="shared" si="23"/>
        <v>56.960534029008699</v>
      </c>
      <c r="AF50" s="292">
        <f t="shared" si="6"/>
        <v>113.14065437841856</v>
      </c>
      <c r="AH50" s="292" t="str">
        <f t="shared" si="7"/>
        <v>0.00075-37.8578733011563i</v>
      </c>
      <c r="AI50" s="292">
        <f t="shared" si="8"/>
        <v>0.95</v>
      </c>
      <c r="AJ50" s="292" t="str">
        <f t="shared" si="9"/>
        <v>1000-3997791420.60212i</v>
      </c>
      <c r="AK50" s="292" t="str">
        <f t="shared" si="10"/>
        <v>0.949401688563319-0.023824137102679i</v>
      </c>
      <c r="AL50" s="292" t="str">
        <f t="shared" si="24"/>
        <v>1.1881056040779-0.0000196807458357392i</v>
      </c>
      <c r="AM50" s="292" t="str">
        <f t="shared" si="11"/>
        <v>0.019+0.000550303847435005i</v>
      </c>
      <c r="AN50" s="292" t="str">
        <f t="shared" si="25"/>
        <v>8.37030003704191-0.119737462318128i</v>
      </c>
      <c r="AO50" s="292">
        <f t="shared" si="26"/>
        <v>18.455709138705785</v>
      </c>
      <c r="AP50" s="292">
        <f t="shared" si="27"/>
        <v>-0.81956241792111562</v>
      </c>
      <c r="AR50" s="292" t="str">
        <f t="shared" si="12"/>
        <v>1.1881056040779-0.0000196807458357392i</v>
      </c>
      <c r="AS50" s="292" t="str">
        <f t="shared" si="28"/>
        <v>8.37030003704191-0.119737462318128i</v>
      </c>
      <c r="AT50" s="292">
        <f t="shared" si="29"/>
        <v>18.455709138705785</v>
      </c>
      <c r="AU50" s="292">
        <f t="shared" si="30"/>
        <v>-0.81956241792111562</v>
      </c>
    </row>
    <row r="51" spans="1:47" x14ac:dyDescent="0.25">
      <c r="A51" s="295" t="s">
        <v>365</v>
      </c>
      <c r="B51" s="297">
        <f>gmea</f>
        <v>1.2999999999999999E-3</v>
      </c>
      <c r="C51" s="292"/>
      <c r="D51" s="292"/>
      <c r="F51" s="292">
        <v>49</v>
      </c>
      <c r="G51" s="293">
        <f t="shared" si="0"/>
        <v>168.59250395028596</v>
      </c>
      <c r="H51" s="293">
        <f t="shared" si="1"/>
        <v>168.57881372500071</v>
      </c>
      <c r="I51" s="294">
        <f t="shared" si="2"/>
        <v>1</v>
      </c>
      <c r="J51" s="292">
        <f t="shared" si="14"/>
        <v>1</v>
      </c>
      <c r="K51" s="292">
        <f t="shared" si="14"/>
        <v>1</v>
      </c>
      <c r="L51" s="292">
        <f>10^('Small Signal'!F51/30)</f>
        <v>42.986623470822771</v>
      </c>
      <c r="M51" s="292" t="str">
        <f t="shared" si="15"/>
        <v>270.092920997135i</v>
      </c>
      <c r="N51" s="292">
        <f>IF(D$32=1, IF(AND('Small Signal'!$B$63&gt;=1,FCCM=0),U51+0,R51+0), 0)</f>
        <v>0</v>
      </c>
      <c r="O51" s="292">
        <f>IF(D$32=1, IF(AND('Small Signal'!$B$63&gt;=1,FCCM=0),V51,S51), 0)</f>
        <v>0</v>
      </c>
      <c r="P51" s="292">
        <f>IF(AND('Small Signal'!$B$63&gt;=1,FCCM=0),AE51+0,AB51+0)</f>
        <v>60.26180068662179</v>
      </c>
      <c r="Q51" s="292">
        <f>IF(AND('Small Signal'!$B$63&gt;=1,FCCM=0),AF51,AC51)</f>
        <v>111.45569687795764</v>
      </c>
      <c r="R51" s="292">
        <f t="shared" si="16"/>
        <v>18.455570554867421</v>
      </c>
      <c r="S51" s="292">
        <f t="shared" si="16"/>
        <v>-0.88493402996449577</v>
      </c>
      <c r="T51" s="292" t="str">
        <f>IMDIV(IMSUM('Small Signal'!$B$76,IMPRODUCT(M51,'Small Signal'!$B$77)),IMSUM(IMPRODUCT('Small Signal'!$B$80,IMPOWER(M51,2)),IMSUM(IMPRODUCT(M51,'Small Signal'!$B$79),'Small Signal'!$B$78)))</f>
        <v>5.36060626392767-0.07010356421006i</v>
      </c>
      <c r="U51" s="292">
        <f t="shared" si="17"/>
        <v>14.585020866366694</v>
      </c>
      <c r="V51" s="292">
        <f t="shared" si="18"/>
        <v>-0.74924536624328775</v>
      </c>
      <c r="W51" s="292" t="str">
        <f>IMPRODUCT(IMDIV(IMSUM(IMPRODUCT(M51,'Small Signal'!$B$59*'Small Signal'!$B$6*'Small Signal'!$B$51*'Small Signal'!$B$7*'Small Signal'!$B$8),'Small Signal'!$B$59*'Small Signal'!$B$6*'Small Signal'!$B$51),IMSUM(IMSUM(IMPRODUCT(M51,('Small Signal'!$B$5+'Small Signal'!$B$6)*('Small Signal'!$B$58*'Small Signal'!$B$59)+'Small Signal'!$B$5*'Small Signal'!$B$59*('Small Signal'!$B$8+'Small Signal'!$B$9)+'Small Signal'!$B$6*'Small Signal'!$B$59*('Small Signal'!$B$8+'Small Signal'!$B$9)+'Small Signal'!$B$7*'Small Signal'!$B$8*('Small Signal'!$B$5+'Small Signal'!$B$6)),'Small Signal'!$B$6+'Small Signal'!$B$5),IMPRODUCT(IMPOWER(M51,2),'Small Signal'!$B$58*'Small Signal'!$B$59*'Small Signal'!$B$8*'Small Signal'!$B$7*('Small Signal'!$B$5+'Small Signal'!$B$6)+('Small Signal'!$B$5+'Small Signal'!$B$6)*('Small Signal'!$B$9*'Small Signal'!$B$8*'Small Signal'!$B$59*'Small Signal'!$B$7)))),-1)</f>
        <v>-46.772740372647+113.884371353917i</v>
      </c>
      <c r="X51" s="292">
        <f t="shared" si="3"/>
        <v>0</v>
      </c>
      <c r="Y51" s="292">
        <f t="shared" si="4"/>
        <v>0</v>
      </c>
      <c r="Z51" s="292" t="str">
        <f t="shared" si="5"/>
        <v>1.00000002372165+0.000217995061162831i</v>
      </c>
      <c r="AA51" s="292" t="str">
        <f t="shared" si="19"/>
        <v>-376.974514960116+959.179893128154i</v>
      </c>
      <c r="AB51" s="289">
        <f t="shared" si="20"/>
        <v>60.26180068662179</v>
      </c>
      <c r="AC51" s="292">
        <f t="shared" si="21"/>
        <v>111.45569687795764</v>
      </c>
      <c r="AD51" s="292" t="str">
        <f t="shared" si="22"/>
        <v>-242.746544682942+613.768210251267i</v>
      </c>
      <c r="AE51" s="289">
        <f t="shared" si="23"/>
        <v>56.391250585692696</v>
      </c>
      <c r="AF51" s="292">
        <f t="shared" si="6"/>
        <v>111.57889534521362</v>
      </c>
      <c r="AH51" s="292" t="str">
        <f t="shared" si="7"/>
        <v>0.00075-35.0608854713279i</v>
      </c>
      <c r="AI51" s="292">
        <f t="shared" si="8"/>
        <v>0.95</v>
      </c>
      <c r="AJ51" s="292" t="str">
        <f t="shared" si="9"/>
        <v>1000-3702429505.77223i</v>
      </c>
      <c r="AK51" s="292" t="str">
        <f t="shared" si="10"/>
        <v>0.949302493021815-0.0257220216106101i</v>
      </c>
      <c r="AL51" s="292" t="str">
        <f t="shared" si="24"/>
        <v>1.18810560402381-0.0000212507805285483i</v>
      </c>
      <c r="AM51" s="292" t="str">
        <f t="shared" si="11"/>
        <v>0.019+0.000594204426193697i</v>
      </c>
      <c r="AN51" s="292" t="str">
        <f t="shared" si="25"/>
        <v>8.37002442928461-0.129285412256974i</v>
      </c>
      <c r="AO51" s="292">
        <f t="shared" si="26"/>
        <v>18.455570554867421</v>
      </c>
      <c r="AP51" s="292">
        <f t="shared" si="27"/>
        <v>-0.88493402996449577</v>
      </c>
      <c r="AR51" s="292" t="str">
        <f t="shared" si="12"/>
        <v>1.18810560402381-0.0000212507805285483i</v>
      </c>
      <c r="AS51" s="292" t="str">
        <f t="shared" si="28"/>
        <v>8.37002442928461-0.129285412256974i</v>
      </c>
      <c r="AT51" s="292">
        <f t="shared" si="29"/>
        <v>18.455570554867421</v>
      </c>
      <c r="AU51" s="292">
        <f t="shared" si="30"/>
        <v>-0.88493402996449577</v>
      </c>
    </row>
    <row r="52" spans="1:47" x14ac:dyDescent="0.25">
      <c r="A52" s="295" t="s">
        <v>457</v>
      </c>
      <c r="B52" s="292">
        <v>1000</v>
      </c>
      <c r="C52" s="292"/>
      <c r="D52" s="292"/>
      <c r="F52" s="292">
        <v>50</v>
      </c>
      <c r="G52" s="293">
        <f t="shared" si="0"/>
        <v>168.59359609015257</v>
      </c>
      <c r="H52" s="293">
        <f t="shared" si="1"/>
        <v>168.57881372500071</v>
      </c>
      <c r="I52" s="294">
        <f t="shared" si="2"/>
        <v>1</v>
      </c>
      <c r="J52" s="292">
        <f t="shared" si="14"/>
        <v>1</v>
      </c>
      <c r="K52" s="292">
        <f t="shared" si="14"/>
        <v>1</v>
      </c>
      <c r="L52" s="292">
        <f>10^('Small Signal'!F52/30)</f>
        <v>46.415888336127807</v>
      </c>
      <c r="M52" s="292" t="str">
        <f t="shared" si="15"/>
        <v>291.639627613247i</v>
      </c>
      <c r="N52" s="292">
        <f>IF(D$32=1, IF(AND('Small Signal'!$B$63&gt;=1,FCCM=0),U52+0,R52+0), 0)</f>
        <v>0</v>
      </c>
      <c r="O52" s="292">
        <f>IF(D$32=1, IF(AND('Small Signal'!$B$63&gt;=1,FCCM=0),V52,S52), 0)</f>
        <v>0</v>
      </c>
      <c r="P52" s="292">
        <f>IF(AND('Small Signal'!$B$63&gt;=1,FCCM=0),AE52+0,AB52+0)</f>
        <v>59.680376201253367</v>
      </c>
      <c r="Q52" s="292">
        <f>IF(AND('Small Signal'!$B$63&gt;=1,FCCM=0),AF52,AC52)</f>
        <v>109.96758210229362</v>
      </c>
      <c r="R52" s="292">
        <f t="shared" si="16"/>
        <v>18.455408983546484</v>
      </c>
      <c r="S52" s="292">
        <f t="shared" si="16"/>
        <v>-0.95551831388827368</v>
      </c>
      <c r="T52" s="292" t="str">
        <f>IMDIV(IMSUM('Small Signal'!$B$76,IMPRODUCT(M52,'Small Signal'!$B$77)),IMSUM(IMPRODUCT('Small Signal'!$B$80,IMPOWER(M52,2)),IMSUM(IMPRODUCT(M52,'Small Signal'!$B$79),'Small Signal'!$B$78)))</f>
        <v>5.36046395676139-0.0756942161728985i</v>
      </c>
      <c r="U52" s="292">
        <f t="shared" si="17"/>
        <v>14.584913491938602</v>
      </c>
      <c r="V52" s="292">
        <f t="shared" si="18"/>
        <v>-0.80901036356292744</v>
      </c>
      <c r="W52" s="292" t="str">
        <f>IMPRODUCT(IMDIV(IMSUM(IMPRODUCT(M52,'Small Signal'!$B$59*'Small Signal'!$B$6*'Small Signal'!$B$51*'Small Signal'!$B$7*'Small Signal'!$B$8),'Small Signal'!$B$59*'Small Signal'!$B$6*'Small Signal'!$B$51),IMSUM(IMSUM(IMPRODUCT(M52,('Small Signal'!$B$5+'Small Signal'!$B$6)*('Small Signal'!$B$58*'Small Signal'!$B$59)+'Small Signal'!$B$5*'Small Signal'!$B$59*('Small Signal'!$B$8+'Small Signal'!$B$9)+'Small Signal'!$B$6*'Small Signal'!$B$59*('Small Signal'!$B$8+'Small Signal'!$B$9)+'Small Signal'!$B$7*'Small Signal'!$B$8*('Small Signal'!$B$5+'Small Signal'!$B$6)),'Small Signal'!$B$6+'Small Signal'!$B$5),IMPRODUCT(IMPOWER(M52,2),'Small Signal'!$B$58*'Small Signal'!$B$59*'Small Signal'!$B$8*'Small Signal'!$B$7*('Small Signal'!$B$5+'Small Signal'!$B$6)+('Small Signal'!$B$5+'Small Signal'!$B$6)*('Small Signal'!$B$9*'Small Signal'!$B$8*'Small Signal'!$B$59*'Small Signal'!$B$7)))),-1)</f>
        <v>-41.094953426352+107.562885936948i</v>
      </c>
      <c r="X52" s="292">
        <f t="shared" si="3"/>
        <v>0</v>
      </c>
      <c r="Y52" s="292">
        <f t="shared" si="4"/>
        <v>0</v>
      </c>
      <c r="Z52" s="292" t="str">
        <f t="shared" si="5"/>
        <v>1.00000002765741+0.000235385652091291i</v>
      </c>
      <c r="AA52" s="292" t="str">
        <f t="shared" si="19"/>
        <v>-329.150697943817+905.928627798693i</v>
      </c>
      <c r="AB52" s="289">
        <f t="shared" si="20"/>
        <v>59.680376201253367</v>
      </c>
      <c r="AC52" s="292">
        <f t="shared" si="21"/>
        <v>109.96758210229362</v>
      </c>
      <c r="AD52" s="292" t="str">
        <f t="shared" si="22"/>
        <v>-212.146128306456+579.697623438516i</v>
      </c>
      <c r="AE52" s="289">
        <f t="shared" si="23"/>
        <v>55.809880228789339</v>
      </c>
      <c r="AF52" s="292">
        <f t="shared" si="6"/>
        <v>110.10060344881829</v>
      </c>
      <c r="AH52" s="292" t="str">
        <f t="shared" si="7"/>
        <v>0.00075-32.4705426597755i</v>
      </c>
      <c r="AI52" s="292">
        <f t="shared" si="8"/>
        <v>0.95</v>
      </c>
      <c r="AJ52" s="292" t="str">
        <f t="shared" si="9"/>
        <v>1000-3428889304.87229i</v>
      </c>
      <c r="AK52" s="292" t="str">
        <f t="shared" si="10"/>
        <v>0.949186865701252-0.0277706144474639i</v>
      </c>
      <c r="AL52" s="292" t="str">
        <f t="shared" si="24"/>
        <v>1.18810560396075-0.0000229460649935859i</v>
      </c>
      <c r="AM52" s="292" t="str">
        <f t="shared" si="11"/>
        <v>0.019+0.000641607180749143i</v>
      </c>
      <c r="AN52" s="292" t="str">
        <f t="shared" si="25"/>
        <v>8.36970311641693-0.139593983599824i</v>
      </c>
      <c r="AO52" s="292">
        <f t="shared" si="26"/>
        <v>18.455408983546484</v>
      </c>
      <c r="AP52" s="292">
        <f t="shared" si="27"/>
        <v>-0.95551831388827368</v>
      </c>
      <c r="AR52" s="292" t="str">
        <f t="shared" si="12"/>
        <v>1.18810560396075-0.0000229460649935859i</v>
      </c>
      <c r="AS52" s="292" t="str">
        <f t="shared" si="28"/>
        <v>8.36970311641693-0.139593983599824i</v>
      </c>
      <c r="AT52" s="292">
        <f t="shared" si="29"/>
        <v>18.455408983546484</v>
      </c>
      <c r="AU52" s="292">
        <f t="shared" si="30"/>
        <v>-0.95551831388827368</v>
      </c>
    </row>
    <row r="53" spans="1:47" x14ac:dyDescent="0.25">
      <c r="A53" s="295" t="s">
        <v>458</v>
      </c>
      <c r="B53" s="297">
        <f>2*PI()*VLOOKUP(DeviceCalculator!C4,partData!$A$3:$ZZ$34,21,FALSE)</f>
        <v>62831853.071795866</v>
      </c>
      <c r="C53" s="292"/>
      <c r="D53" s="292"/>
      <c r="F53" s="292">
        <v>51</v>
      </c>
      <c r="G53" s="293">
        <f t="shared" si="0"/>
        <v>168.59477535563411</v>
      </c>
      <c r="H53" s="293">
        <f t="shared" si="1"/>
        <v>168.57881372500071</v>
      </c>
      <c r="I53" s="294">
        <f t="shared" si="2"/>
        <v>1</v>
      </c>
      <c r="J53" s="292">
        <f t="shared" si="14"/>
        <v>1</v>
      </c>
      <c r="K53" s="292">
        <f t="shared" si="14"/>
        <v>1</v>
      </c>
      <c r="L53" s="292">
        <f>10^('Small Signal'!F53/30)</f>
        <v>50.118723362727238</v>
      </c>
      <c r="M53" s="292" t="str">
        <f t="shared" si="15"/>
        <v>314.905226247286i</v>
      </c>
      <c r="N53" s="292">
        <f>IF(D$32=1, IF(AND('Small Signal'!$B$63&gt;=1,FCCM=0),U53+0,R53+0), 0)</f>
        <v>0</v>
      </c>
      <c r="O53" s="292">
        <f>IF(D$32=1, IF(AND('Small Signal'!$B$63&gt;=1,FCCM=0),V53,S53), 0)</f>
        <v>0</v>
      </c>
      <c r="P53" s="292">
        <f>IF(AND('Small Signal'!$B$63&gt;=1,FCCM=0),AE53+0,AB53+0)</f>
        <v>59.088158033086714</v>
      </c>
      <c r="Q53" s="292">
        <f>IF(AND('Small Signal'!$B$63&gt;=1,FCCM=0),AF53,AC53)</f>
        <v>108.5611839495304</v>
      </c>
      <c r="R53" s="292">
        <f t="shared" si="16"/>
        <v>18.455220612790356</v>
      </c>
      <c r="S53" s="292">
        <f t="shared" si="16"/>
        <v>-1.0317305008338149</v>
      </c>
      <c r="T53" s="292" t="str">
        <f>IMDIV(IMSUM('Small Signal'!$B$76,IMPRODUCT(M53,'Small Signal'!$B$77)),IMSUM(IMPRODUCT('Small Signal'!$B$80,IMPOWER(M53,2)),IMSUM(IMPRODUCT(M53,'Small Signal'!$B$79),'Small Signal'!$B$78)))</f>
        <v>5.36029804762405-0.081730378914379i</v>
      </c>
      <c r="U53" s="292">
        <f t="shared" si="17"/>
        <v>14.584788305860091</v>
      </c>
      <c r="V53" s="292">
        <f t="shared" si="18"/>
        <v>-0.87354152504438598</v>
      </c>
      <c r="W53" s="292" t="str">
        <f>IMPRODUCT(IMDIV(IMSUM(IMPRODUCT(M53,'Small Signal'!$B$59*'Small Signal'!$B$6*'Small Signal'!$B$51*'Small Signal'!$B$7*'Small Signal'!$B$8),'Small Signal'!$B$59*'Small Signal'!$B$6*'Small Signal'!$B$51),IMSUM(IMSUM(IMPRODUCT(M53,('Small Signal'!$B$5+'Small Signal'!$B$6)*('Small Signal'!$B$58*'Small Signal'!$B$59)+'Small Signal'!$B$5*'Small Signal'!$B$59*('Small Signal'!$B$8+'Small Signal'!$B$9)+'Small Signal'!$B$6*'Small Signal'!$B$59*('Small Signal'!$B$8+'Small Signal'!$B$9)+'Small Signal'!$B$7*'Small Signal'!$B$8*('Small Signal'!$B$5+'Small Signal'!$B$6)),'Small Signal'!$B$6+'Small Signal'!$B$5),IMPRODUCT(IMPOWER(M53,2),'Small Signal'!$B$58*'Small Signal'!$B$59*'Small Signal'!$B$8*'Small Signal'!$B$7*('Small Signal'!$B$5+'Small Signal'!$B$6)+('Small Signal'!$B$5+'Small Signal'!$B$6)*('Small Signal'!$B$9*'Small Signal'!$B$8*'Small Signal'!$B$59*'Small Signal'!$B$7)))),-1)</f>
        <v>-36.0425557864604+101.340403079066i</v>
      </c>
      <c r="X53" s="292">
        <f t="shared" si="3"/>
        <v>0</v>
      </c>
      <c r="Y53" s="292">
        <f t="shared" si="4"/>
        <v>0</v>
      </c>
      <c r="Z53" s="292" t="str">
        <f t="shared" si="5"/>
        <v>1.00000003224618+0.000254163580114303i</v>
      </c>
      <c r="AA53" s="292" t="str">
        <f t="shared" si="19"/>
        <v>-286.594561070125+853.510829811954i</v>
      </c>
      <c r="AB53" s="289">
        <f t="shared" si="20"/>
        <v>59.088158033086714</v>
      </c>
      <c r="AC53" s="292">
        <f t="shared" si="21"/>
        <v>108.5611839495304</v>
      </c>
      <c r="AD53" s="292" t="str">
        <f t="shared" si="22"/>
        <v>-184.916251870557+546.160536511622i</v>
      </c>
      <c r="AE53" s="289">
        <f t="shared" si="23"/>
        <v>55.217725165519298</v>
      </c>
      <c r="AF53" s="292">
        <f t="shared" si="6"/>
        <v>108.70481042565652</v>
      </c>
      <c r="AH53" s="292" t="str">
        <f t="shared" si="7"/>
        <v>0.00075-30.071577669723i</v>
      </c>
      <c r="AI53" s="292">
        <f t="shared" si="8"/>
        <v>0.95</v>
      </c>
      <c r="AJ53" s="292" t="str">
        <f t="shared" si="9"/>
        <v>1000-3175558601.92275i</v>
      </c>
      <c r="AK53" s="292" t="str">
        <f t="shared" si="10"/>
        <v>0.949052089731198-0.0299817586144665i</v>
      </c>
      <c r="AL53" s="292" t="str">
        <f t="shared" si="24"/>
        <v>1.18810560388722-0.000024776591051698i</v>
      </c>
      <c r="AM53" s="292" t="str">
        <f t="shared" si="11"/>
        <v>0.019+0.000692791497744029i</v>
      </c>
      <c r="AN53" s="292" t="str">
        <f t="shared" si="25"/>
        <v>8.36932852327203-0.150723578716243i</v>
      </c>
      <c r="AO53" s="292">
        <f t="shared" si="26"/>
        <v>18.455220612790356</v>
      </c>
      <c r="AP53" s="292">
        <f t="shared" si="27"/>
        <v>-1.0317305008338149</v>
      </c>
      <c r="AR53" s="292" t="str">
        <f t="shared" si="12"/>
        <v>1.18810560388722-0.000024776591051698i</v>
      </c>
      <c r="AS53" s="292" t="str">
        <f t="shared" si="28"/>
        <v>8.36932852327203-0.150723578716243i</v>
      </c>
      <c r="AT53" s="292">
        <f t="shared" si="29"/>
        <v>18.455220612790356</v>
      </c>
      <c r="AU53" s="292">
        <f t="shared" si="30"/>
        <v>-1.0317305008338149</v>
      </c>
    </row>
    <row r="54" spans="1:47" x14ac:dyDescent="0.25">
      <c r="A54" s="295" t="s">
        <v>459</v>
      </c>
      <c r="B54" s="292">
        <f>1/gmps</f>
        <v>6.25E-2</v>
      </c>
      <c r="C54" s="292"/>
      <c r="D54" s="292"/>
      <c r="F54" s="292">
        <v>52</v>
      </c>
      <c r="G54" s="293">
        <f t="shared" si="0"/>
        <v>168.59604869718555</v>
      </c>
      <c r="H54" s="293">
        <f t="shared" si="1"/>
        <v>168.57881372500071</v>
      </c>
      <c r="I54" s="294">
        <f t="shared" si="2"/>
        <v>1</v>
      </c>
      <c r="J54" s="292">
        <f t="shared" si="14"/>
        <v>1</v>
      </c>
      <c r="K54" s="292">
        <f t="shared" si="14"/>
        <v>1</v>
      </c>
      <c r="L54" s="292">
        <f>10^('Small Signal'!F54/30)</f>
        <v>54.11695265464639</v>
      </c>
      <c r="M54" s="292" t="str">
        <f t="shared" si="15"/>
        <v>340.026841789008i</v>
      </c>
      <c r="N54" s="292">
        <f>IF(D$32=1, IF(AND('Small Signal'!$B$63&gt;=1,FCCM=0),U54+0,R54+0), 0)</f>
        <v>0</v>
      </c>
      <c r="O54" s="292">
        <f>IF(D$32=1, IF(AND('Small Signal'!$B$63&gt;=1,FCCM=0),V54,S54), 0)</f>
        <v>0</v>
      </c>
      <c r="P54" s="292">
        <f>IF(AND('Small Signal'!$B$63&gt;=1,FCCM=0),AE54+0,AB54+0)</f>
        <v>58.48635413724913</v>
      </c>
      <c r="Q54" s="292">
        <f>IF(AND('Small Signal'!$B$63&gt;=1,FCCM=0),AF54,AC54)</f>
        <v>107.2347168527601</v>
      </c>
      <c r="R54" s="292">
        <f t="shared" si="16"/>
        <v>18.455000998907501</v>
      </c>
      <c r="S54" s="292">
        <f t="shared" si="16"/>
        <v>-1.1140187890772846</v>
      </c>
      <c r="T54" s="292" t="str">
        <f>IMDIV(IMSUM('Small Signal'!$B$76,IMPRODUCT(M54,'Small Signal'!$B$77)),IMSUM(IMPRODUCT('Small Signal'!$B$80,IMPOWER(M54,2)),IMSUM(IMPRODUCT(M54,'Small Signal'!$B$79),'Small Signal'!$B$78)))</f>
        <v>5.36010462378341-0.0882474677671684i</v>
      </c>
      <c r="U54" s="292">
        <f t="shared" si="17"/>
        <v>14.58464235411229</v>
      </c>
      <c r="V54" s="292">
        <f t="shared" si="18"/>
        <v>-0.94321865850860709</v>
      </c>
      <c r="W54" s="292" t="str">
        <f>IMPRODUCT(IMDIV(IMSUM(IMPRODUCT(M54,'Small Signal'!$B$59*'Small Signal'!$B$6*'Small Signal'!$B$51*'Small Signal'!$B$7*'Small Signal'!$B$8),'Small Signal'!$B$59*'Small Signal'!$B$6*'Small Signal'!$B$51),IMSUM(IMSUM(IMPRODUCT(M54,('Small Signal'!$B$5+'Small Signal'!$B$6)*('Small Signal'!$B$58*'Small Signal'!$B$59)+'Small Signal'!$B$5*'Small Signal'!$B$59*('Small Signal'!$B$8+'Small Signal'!$B$9)+'Small Signal'!$B$6*'Small Signal'!$B$59*('Small Signal'!$B$8+'Small Signal'!$B$9)+'Small Signal'!$B$7*'Small Signal'!$B$8*('Small Signal'!$B$5+'Small Signal'!$B$6)),'Small Signal'!$B$6+'Small Signal'!$B$5),IMPRODUCT(IMPOWER(M54,2),'Small Signal'!$B$58*'Small Signal'!$B$59*'Small Signal'!$B$8*'Small Signal'!$B$7*('Small Signal'!$B$5+'Small Signal'!$B$6)+('Small Signal'!$B$5+'Small Signal'!$B$6)*('Small Signal'!$B$9*'Small Signal'!$B$8*'Small Signal'!$B$59*'Small Signal'!$B$7)))),-1)</f>
        <v>-31.5676832161673+95.2676983608156i</v>
      </c>
      <c r="X54" s="292">
        <f t="shared" si="3"/>
        <v>0</v>
      </c>
      <c r="Y54" s="292">
        <f t="shared" si="4"/>
        <v>0</v>
      </c>
      <c r="Z54" s="292" t="str">
        <f t="shared" si="5"/>
        <v>1.00000003759628+0.000274439520242787i</v>
      </c>
      <c r="AA54" s="292" t="str">
        <f t="shared" si="19"/>
        <v>-248.902948592955+802.354147547706i</v>
      </c>
      <c r="AB54" s="289">
        <f t="shared" si="20"/>
        <v>58.48635413724913</v>
      </c>
      <c r="AC54" s="292">
        <f t="shared" si="21"/>
        <v>107.2347168527601</v>
      </c>
      <c r="AD54" s="292" t="str">
        <f t="shared" si="22"/>
        <v>-160.79895162876+513.430598588114i</v>
      </c>
      <c r="AE54" s="289">
        <f t="shared" si="23"/>
        <v>54.615994838799026</v>
      </c>
      <c r="AF54" s="292">
        <f t="shared" si="6"/>
        <v>107.3897927580732</v>
      </c>
      <c r="AH54" s="292" t="str">
        <f t="shared" si="7"/>
        <v>0.00075-27.8498512643101i</v>
      </c>
      <c r="AI54" s="292">
        <f t="shared" si="8"/>
        <v>0.95</v>
      </c>
      <c r="AJ54" s="292" t="str">
        <f t="shared" si="9"/>
        <v>1000-2940944293.51115i</v>
      </c>
      <c r="AK54" s="292" t="str">
        <f t="shared" si="10"/>
        <v>0.948895000842985-0.0323681955078573i</v>
      </c>
      <c r="AL54" s="292" t="str">
        <f t="shared" si="24"/>
        <v>1.18810560380149-0.0000267531476228442i</v>
      </c>
      <c r="AM54" s="292" t="str">
        <f t="shared" si="11"/>
        <v>0.019+0.000748059051935818i</v>
      </c>
      <c r="AN54" s="292" t="str">
        <f t="shared" si="25"/>
        <v>8.3688918207155-0.162739347115112i</v>
      </c>
      <c r="AO54" s="292">
        <f t="shared" si="26"/>
        <v>18.455000998907501</v>
      </c>
      <c r="AP54" s="292">
        <f t="shared" si="27"/>
        <v>-1.1140187890772846</v>
      </c>
      <c r="AR54" s="292" t="str">
        <f t="shared" si="12"/>
        <v>1.18810560380149-0.0000267531476228442i</v>
      </c>
      <c r="AS54" s="292" t="str">
        <f t="shared" si="28"/>
        <v>8.3688918207155-0.162739347115112i</v>
      </c>
      <c r="AT54" s="292">
        <f t="shared" si="29"/>
        <v>18.455000998907501</v>
      </c>
      <c r="AU54" s="292">
        <f t="shared" si="30"/>
        <v>-1.1140187890772846</v>
      </c>
    </row>
    <row r="55" spans="1:47" x14ac:dyDescent="0.25">
      <c r="A55" s="295"/>
      <c r="B55" s="292"/>
      <c r="C55" s="292"/>
      <c r="D55" s="292"/>
      <c r="F55" s="292">
        <v>53</v>
      </c>
      <c r="G55" s="293">
        <f t="shared" si="0"/>
        <v>168.59742361973395</v>
      </c>
      <c r="H55" s="293">
        <f t="shared" si="1"/>
        <v>168.57881372500071</v>
      </c>
      <c r="I55" s="294">
        <f t="shared" si="2"/>
        <v>1</v>
      </c>
      <c r="J55" s="292">
        <f t="shared" si="14"/>
        <v>1</v>
      </c>
      <c r="K55" s="292">
        <f t="shared" si="14"/>
        <v>1</v>
      </c>
      <c r="L55" s="292">
        <f>10^('Small Signal'!F55/30)</f>
        <v>58.434141337351775</v>
      </c>
      <c r="M55" s="292" t="str">
        <f t="shared" si="15"/>
        <v>367.152538288504i</v>
      </c>
      <c r="N55" s="292">
        <f>IF(D$32=1, IF(AND('Small Signal'!$B$63&gt;=1,FCCM=0),U55+0,R55+0), 0)</f>
        <v>0</v>
      </c>
      <c r="O55" s="292">
        <f>IF(D$32=1, IF(AND('Small Signal'!$B$63&gt;=1,FCCM=0),V55,S55), 0)</f>
        <v>0</v>
      </c>
      <c r="P55" s="292">
        <f>IF(AND('Small Signal'!$B$63&gt;=1,FCCM=0),AE55+0,AB55+0)</f>
        <v>57.87607380320744</v>
      </c>
      <c r="Q55" s="292">
        <f>IF(AND('Small Signal'!$B$63&gt;=1,FCCM=0),AF55,AC55)</f>
        <v>105.98578562487175</v>
      </c>
      <c r="R55" s="292">
        <f t="shared" si="16"/>
        <v>18.454744961911274</v>
      </c>
      <c r="S55" s="292">
        <f t="shared" si="16"/>
        <v>-1.2028669331272404</v>
      </c>
      <c r="T55" s="292" t="str">
        <f>IMDIV(IMSUM('Small Signal'!$B$76,IMPRODUCT(M55,'Small Signal'!$B$77)),IMSUM(IMPRODUCT('Small Signal'!$B$80,IMPOWER(M55,2)),IMSUM(IMPRODUCT(M55,'Small Signal'!$B$79),'Small Signal'!$B$78)))</f>
        <v>5.35987912446891-0.0952836908958633i</v>
      </c>
      <c r="U55" s="292">
        <f t="shared" si="17"/>
        <v>14.58447219298985</v>
      </c>
      <c r="V55" s="292">
        <f t="shared" si="18"/>
        <v>-1.0184517639442603</v>
      </c>
      <c r="W55" s="292" t="str">
        <f>IMPRODUCT(IMDIV(IMSUM(IMPRODUCT(M55,'Small Signal'!$B$59*'Small Signal'!$B$6*'Small Signal'!$B$51*'Small Signal'!$B$7*'Small Signal'!$B$8),'Small Signal'!$B$59*'Small Signal'!$B$6*'Small Signal'!$B$51),IMSUM(IMSUM(IMPRODUCT(M55,('Small Signal'!$B$5+'Small Signal'!$B$6)*('Small Signal'!$B$58*'Small Signal'!$B$59)+'Small Signal'!$B$5*'Small Signal'!$B$59*('Small Signal'!$B$8+'Small Signal'!$B$9)+'Small Signal'!$B$6*'Small Signal'!$B$59*('Small Signal'!$B$8+'Small Signal'!$B$9)+'Small Signal'!$B$7*'Small Signal'!$B$8*('Small Signal'!$B$5+'Small Signal'!$B$6)),'Small Signal'!$B$6+'Small Signal'!$B$5),IMPRODUCT(IMPOWER(M55,2),'Small Signal'!$B$58*'Small Signal'!$B$59*'Small Signal'!$B$8*'Small Signal'!$B$7*('Small Signal'!$B$5+'Small Signal'!$B$6)+('Small Signal'!$B$5+'Small Signal'!$B$6)*('Small Signal'!$B$9*'Small Signal'!$B$8*'Small Signal'!$B$59*'Small Signal'!$B$7)))),-1)</f>
        <v>-27.6207415852044+89.3846100261713i</v>
      </c>
      <c r="X55" s="292">
        <f t="shared" si="3"/>
        <v>0</v>
      </c>
      <c r="Y55" s="292">
        <f t="shared" si="4"/>
        <v>0</v>
      </c>
      <c r="Z55" s="292" t="str">
        <f t="shared" si="5"/>
        <v>1.00000004383404+0.000296332976596593i</v>
      </c>
      <c r="AA55" s="292" t="str">
        <f t="shared" si="19"/>
        <v>-215.658134637982+752.79410154802i</v>
      </c>
      <c r="AB55" s="289">
        <f t="shared" si="20"/>
        <v>57.87607380320744</v>
      </c>
      <c r="AC55" s="292">
        <f t="shared" si="21"/>
        <v>105.98578562487175</v>
      </c>
      <c r="AD55" s="292" t="str">
        <f t="shared" si="22"/>
        <v>-139.526940672306+481.722511531589i</v>
      </c>
      <c r="AE55" s="289">
        <f t="shared" si="23"/>
        <v>54.005800272180416</v>
      </c>
      <c r="AF55" s="292">
        <f t="shared" si="6"/>
        <v>106.15322216640641</v>
      </c>
      <c r="AH55" s="292" t="str">
        <f t="shared" si="7"/>
        <v>0.00075-25.792268831479i</v>
      </c>
      <c r="AI55" s="292">
        <f t="shared" si="8"/>
        <v>0.95</v>
      </c>
      <c r="AJ55" s="292" t="str">
        <f t="shared" si="9"/>
        <v>1000-2723663588.60418i</v>
      </c>
      <c r="AK55" s="292" t="str">
        <f t="shared" si="10"/>
        <v>0.948711914346359-0.0349436246569994i</v>
      </c>
      <c r="AL55" s="292" t="str">
        <f t="shared" si="24"/>
        <v>1.18810560370154-0.0000288873843148035i</v>
      </c>
      <c r="AM55" s="292" t="str">
        <f t="shared" si="11"/>
        <v>0.019+0.000807735584234709i</v>
      </c>
      <c r="AN55" s="292" t="str">
        <f t="shared" si="25"/>
        <v>8.36838271862153-0.175711545679795i</v>
      </c>
      <c r="AO55" s="292">
        <f t="shared" si="26"/>
        <v>18.454744961911274</v>
      </c>
      <c r="AP55" s="292">
        <f t="shared" si="27"/>
        <v>-1.2028669331272404</v>
      </c>
      <c r="AR55" s="292" t="str">
        <f t="shared" si="12"/>
        <v>1.18810560370154-0.0000288873843148035i</v>
      </c>
      <c r="AS55" s="292" t="str">
        <f t="shared" si="28"/>
        <v>8.36838271862153-0.175711545679795i</v>
      </c>
      <c r="AT55" s="292">
        <f t="shared" si="29"/>
        <v>18.454744961911274</v>
      </c>
      <c r="AU55" s="292">
        <f t="shared" si="30"/>
        <v>-1.2028669331272404</v>
      </c>
    </row>
    <row r="56" spans="1:47" x14ac:dyDescent="0.25">
      <c r="A56" s="295" t="s">
        <v>391</v>
      </c>
      <c r="B56" s="297">
        <f>IF(B3/B2&gt;0.1,VLOOKUP(DeviceCalculator!C4,partData!$A$3:$ZZ$34,24,FALSE)*fsw_ss*Ri,0)*1</f>
        <v>511311.44735678489</v>
      </c>
      <c r="C56" s="292"/>
      <c r="D56" s="292"/>
      <c r="F56" s="292">
        <v>54</v>
      </c>
      <c r="G56" s="293">
        <f t="shared" si="0"/>
        <v>168.59890822691165</v>
      </c>
      <c r="H56" s="293">
        <f t="shared" si="1"/>
        <v>168.57881372500071</v>
      </c>
      <c r="I56" s="294">
        <f t="shared" si="2"/>
        <v>1</v>
      </c>
      <c r="J56" s="292">
        <f t="shared" si="14"/>
        <v>1</v>
      </c>
      <c r="K56" s="292">
        <f t="shared" si="14"/>
        <v>1</v>
      </c>
      <c r="L56" s="292">
        <f>10^('Small Signal'!F56/30)</f>
        <v>63.095734448019364</v>
      </c>
      <c r="M56" s="292" t="str">
        <f t="shared" si="15"/>
        <v>396.4421916295i</v>
      </c>
      <c r="N56" s="292">
        <f>IF(D$32=1, IF(AND('Small Signal'!$B$63&gt;=1,FCCM=0),U56+0,R56+0), 0)</f>
        <v>0</v>
      </c>
      <c r="O56" s="292">
        <f>IF(D$32=1, IF(AND('Small Signal'!$B$63&gt;=1,FCCM=0),V56,S56), 0)</f>
        <v>0</v>
      </c>
      <c r="P56" s="292">
        <f>IF(AND('Small Signal'!$B$63&gt;=1,FCCM=0),AE56+0,AB56+0)</f>
        <v>57.258325974643256</v>
      </c>
      <c r="Q56" s="292">
        <f>IF(AND('Small Signal'!$B$63&gt;=1,FCCM=0),AF56,AC56)</f>
        <v>104.81152285366882</v>
      </c>
      <c r="R56" s="292">
        <f t="shared" si="16"/>
        <v>18.454446463708695</v>
      </c>
      <c r="S56" s="292">
        <f t="shared" si="16"/>
        <v>-1.298797028810847</v>
      </c>
      <c r="T56" s="292" t="str">
        <f>IMDIV(IMSUM('Small Signal'!$B$76,IMPRODUCT(M56,'Small Signal'!$B$77)),IMSUM(IMPRODUCT('Small Signal'!$B$80,IMPOWER(M56,2)),IMSUM(IMPRODUCT(M56,'Small Signal'!$B$79),'Small Signal'!$B$78)))</f>
        <v>5.35961623376198-0.102880263710965i</v>
      </c>
      <c r="U56" s="292">
        <f t="shared" si="17"/>
        <v>14.584273808008154</v>
      </c>
      <c r="V56" s="292">
        <f t="shared" si="18"/>
        <v>-1.0996834143969045</v>
      </c>
      <c r="W56" s="292" t="str">
        <f>IMPRODUCT(IMDIV(IMSUM(IMPRODUCT(M56,'Small Signal'!$B$59*'Small Signal'!$B$6*'Small Signal'!$B$51*'Small Signal'!$B$7*'Small Signal'!$B$8),'Small Signal'!$B$59*'Small Signal'!$B$6*'Small Signal'!$B$51),IMSUM(IMSUM(IMPRODUCT(M56,('Small Signal'!$B$5+'Small Signal'!$B$6)*('Small Signal'!$B$58*'Small Signal'!$B$59)+'Small Signal'!$B$5*'Small Signal'!$B$59*('Small Signal'!$B$8+'Small Signal'!$B$9)+'Small Signal'!$B$6*'Small Signal'!$B$59*('Small Signal'!$B$8+'Small Signal'!$B$9)+'Small Signal'!$B$7*'Small Signal'!$B$8*('Small Signal'!$B$5+'Small Signal'!$B$6)),'Small Signal'!$B$6+'Small Signal'!$B$5),IMPRODUCT(IMPOWER(M56,2),'Small Signal'!$B$58*'Small Signal'!$B$59*'Small Signal'!$B$8*'Small Signal'!$B$7*('Small Signal'!$B$5+'Small Signal'!$B$6)+('Small Signal'!$B$5+'Small Signal'!$B$6)*('Small Signal'!$B$9*'Small Signal'!$B$8*'Small Signal'!$B$59*'Small Signal'!$B$7)))),-1)</f>
        <v>-24.15217565+83.7211200142988i</v>
      </c>
      <c r="X56" s="292">
        <f t="shared" si="3"/>
        <v>0</v>
      </c>
      <c r="Y56" s="292">
        <f t="shared" si="4"/>
        <v>0</v>
      </c>
      <c r="Z56" s="292" t="str">
        <f t="shared" si="5"/>
        <v>1.00000005110674+0.00031997298674603i</v>
      </c>
      <c r="AA56" s="292" t="str">
        <f t="shared" si="19"/>
        <v>-186.442721758451+705.083189843i</v>
      </c>
      <c r="AB56" s="289">
        <f t="shared" si="20"/>
        <v>57.258325974643256</v>
      </c>
      <c r="AC56" s="292">
        <f t="shared" si="21"/>
        <v>104.81152285366882</v>
      </c>
      <c r="AD56" s="292" t="str">
        <f t="shared" si="22"/>
        <v>-120.833141789162+451.197856137436i</v>
      </c>
      <c r="AE56" s="289">
        <f t="shared" si="23"/>
        <v>53.388152430392807</v>
      </c>
      <c r="AF56" s="292">
        <f t="shared" si="6"/>
        <v>104.99230336794662</v>
      </c>
      <c r="AH56" s="292" t="str">
        <f t="shared" si="7"/>
        <v>0.00075-23.8867032057652i</v>
      </c>
      <c r="AI56" s="292">
        <f t="shared" si="8"/>
        <v>0.95</v>
      </c>
      <c r="AJ56" s="292" t="str">
        <f t="shared" si="9"/>
        <v>1000-2522435858.52881i</v>
      </c>
      <c r="AK56" s="292" t="str">
        <f t="shared" si="10"/>
        <v>0.948498540421407-0.0377227651751071i</v>
      </c>
      <c r="AL56" s="292" t="str">
        <f t="shared" si="24"/>
        <v>1.18810560358501-0.0000311918800846806i</v>
      </c>
      <c r="AM56" s="292" t="str">
        <f t="shared" si="11"/>
        <v>0.019+0.0008721728215849i</v>
      </c>
      <c r="AN56" s="292" t="str">
        <f t="shared" si="25"/>
        <v>8.36778922486896-0.189715922876263i</v>
      </c>
      <c r="AO56" s="292">
        <f t="shared" si="26"/>
        <v>18.454446463708695</v>
      </c>
      <c r="AP56" s="292">
        <f t="shared" si="27"/>
        <v>-1.298797028810847</v>
      </c>
      <c r="AR56" s="292" t="str">
        <f t="shared" si="12"/>
        <v>1.18810560358501-0.0000311918800846806i</v>
      </c>
      <c r="AS56" s="292" t="str">
        <f t="shared" si="28"/>
        <v>8.36778922486896-0.189715922876263i</v>
      </c>
      <c r="AT56" s="292">
        <f t="shared" si="29"/>
        <v>18.454446463708695</v>
      </c>
      <c r="AU56" s="292">
        <f t="shared" si="30"/>
        <v>-1.298797028810847</v>
      </c>
    </row>
    <row r="57" spans="1:47" x14ac:dyDescent="0.25">
      <c r="A57" s="295"/>
      <c r="B57" s="292"/>
      <c r="C57" s="292"/>
      <c r="D57" s="297"/>
      <c r="F57" s="292">
        <v>55</v>
      </c>
      <c r="G57" s="293">
        <f t="shared" si="0"/>
        <v>168.60051126881729</v>
      </c>
      <c r="H57" s="293">
        <f t="shared" si="1"/>
        <v>168.57881372500071</v>
      </c>
      <c r="I57" s="294">
        <f t="shared" si="2"/>
        <v>1</v>
      </c>
      <c r="J57" s="292">
        <f t="shared" si="14"/>
        <v>1</v>
      </c>
      <c r="K57" s="292">
        <f t="shared" si="14"/>
        <v>1</v>
      </c>
      <c r="L57" s="292">
        <f>10^('Small Signal'!F57/30)</f>
        <v>68.129206905796124</v>
      </c>
      <c r="M57" s="292" t="str">
        <f t="shared" si="15"/>
        <v>428.068431820296i</v>
      </c>
      <c r="N57" s="292">
        <f>IF(D$32=1, IF(AND('Small Signal'!$B$63&gt;=1,FCCM=0),U57+0,R57+0), 0)</f>
        <v>0</v>
      </c>
      <c r="O57" s="292">
        <f>IF(D$32=1, IF(AND('Small Signal'!$B$63&gt;=1,FCCM=0),V57,S57), 0)</f>
        <v>0</v>
      </c>
      <c r="P57" s="292">
        <f>IF(AND('Small Signal'!$B$63&gt;=1,FCCM=0),AE57+0,AB57+0)</f>
        <v>56.634020674104413</v>
      </c>
      <c r="Q57" s="292">
        <f>IF(AND('Small Signal'!$B$63&gt;=1,FCCM=0),AF57,AC57)</f>
        <v>103.70871086874389</v>
      </c>
      <c r="R57" s="292">
        <f t="shared" si="16"/>
        <v>18.454098466204911</v>
      </c>
      <c r="S57" s="292">
        <f t="shared" si="16"/>
        <v>-1.4023725072606354</v>
      </c>
      <c r="T57" s="292" t="str">
        <f>IMDIV(IMSUM('Small Signal'!$B$76,IMPRODUCT(M57,'Small Signal'!$B$77)),IMSUM(IMPRODUCT('Small Signal'!$B$80,IMPOWER(M57,2)),IMSUM(IMPRODUCT(M57,'Small Signal'!$B$79),'Small Signal'!$B$78)))</f>
        <v>5.35930975586263-0.111081638222772i</v>
      </c>
      <c r="U57" s="292">
        <f t="shared" si="17"/>
        <v>14.584042519411922</v>
      </c>
      <c r="V57" s="292">
        <f t="shared" si="18"/>
        <v>-1.1873913196347157</v>
      </c>
      <c r="W57" s="292" t="str">
        <f>IMPRODUCT(IMDIV(IMSUM(IMPRODUCT(M57,'Small Signal'!$B$59*'Small Signal'!$B$6*'Small Signal'!$B$51*'Small Signal'!$B$7*'Small Signal'!$B$8),'Small Signal'!$B$59*'Small Signal'!$B$6*'Small Signal'!$B$51),IMSUM(IMSUM(IMPRODUCT(M57,('Small Signal'!$B$5+'Small Signal'!$B$6)*('Small Signal'!$B$58*'Small Signal'!$B$59)+'Small Signal'!$B$5*'Small Signal'!$B$59*('Small Signal'!$B$8+'Small Signal'!$B$9)+'Small Signal'!$B$6*'Small Signal'!$B$59*('Small Signal'!$B$8+'Small Signal'!$B$9)+'Small Signal'!$B$7*'Small Signal'!$B$8*('Small Signal'!$B$5+'Small Signal'!$B$6)),'Small Signal'!$B$6+'Small Signal'!$B$5),IMPRODUCT(IMPOWER(M57,2),'Small Signal'!$B$58*'Small Signal'!$B$59*'Small Signal'!$B$8*'Small Signal'!$B$7*('Small Signal'!$B$5+'Small Signal'!$B$6)+('Small Signal'!$B$5+'Small Signal'!$B$6)*('Small Signal'!$B$9*'Small Signal'!$B$8*'Small Signal'!$B$59*'Small Signal'!$B$7)))),-1)</f>
        <v>-21.1138038284149+78.2985714566083i</v>
      </c>
      <c r="X57" s="292">
        <f t="shared" si="3"/>
        <v>0</v>
      </c>
      <c r="Y57" s="292">
        <f t="shared" si="4"/>
        <v>0</v>
      </c>
      <c r="Z57" s="292" t="str">
        <f t="shared" si="5"/>
        <v>1.00000005958609+0.000345498882241794i</v>
      </c>
      <c r="AA57" s="292" t="str">
        <f t="shared" si="19"/>
        <v>-160.850883885022+659.401142710352i</v>
      </c>
      <c r="AB57" s="289">
        <f t="shared" si="20"/>
        <v>56.634020674104413</v>
      </c>
      <c r="AC57" s="292">
        <f t="shared" si="21"/>
        <v>103.70871086874389</v>
      </c>
      <c r="AD57" s="292" t="str">
        <f t="shared" si="22"/>
        <v>-104.457881253091+421.971653795883i</v>
      </c>
      <c r="AE57" s="289">
        <f t="shared" si="23"/>
        <v>52.763963691338276</v>
      </c>
      <c r="AF57" s="292">
        <f t="shared" si="6"/>
        <v>103.90389643055809</v>
      </c>
      <c r="AH57" s="292" t="str">
        <f t="shared" si="7"/>
        <v>0.00075-22.1219231921133i</v>
      </c>
      <c r="AI57" s="292">
        <f t="shared" si="8"/>
        <v>0.95</v>
      </c>
      <c r="AJ57" s="292" t="str">
        <f t="shared" si="9"/>
        <v>1000-2336075089.08716i</v>
      </c>
      <c r="AK57" s="292" t="str">
        <f t="shared" si="10"/>
        <v>0.948249885940525-0.0407214182856298i</v>
      </c>
      <c r="AL57" s="292" t="str">
        <f t="shared" si="24"/>
        <v>1.18810560344914-0.0000336802173778909i</v>
      </c>
      <c r="AM57" s="292" t="str">
        <f t="shared" si="11"/>
        <v>0.019+0.000941750550004651i</v>
      </c>
      <c r="AN57" s="292" t="str">
        <f t="shared" si="25"/>
        <v>8.36709736485188-0.204834127620848i</v>
      </c>
      <c r="AO57" s="292">
        <f t="shared" si="26"/>
        <v>18.454098466204911</v>
      </c>
      <c r="AP57" s="292">
        <f t="shared" si="27"/>
        <v>-1.4023725072606354</v>
      </c>
      <c r="AR57" s="292" t="str">
        <f t="shared" si="12"/>
        <v>1.18810560344914-0.0000336802173778909i</v>
      </c>
      <c r="AS57" s="292" t="str">
        <f t="shared" si="28"/>
        <v>8.36709736485188-0.204834127620848i</v>
      </c>
      <c r="AT57" s="292">
        <f t="shared" si="29"/>
        <v>18.454098466204911</v>
      </c>
      <c r="AU57" s="292">
        <f t="shared" si="30"/>
        <v>-1.4023725072606354</v>
      </c>
    </row>
    <row r="58" spans="1:47" x14ac:dyDescent="0.25">
      <c r="A58" s="295" t="s">
        <v>460</v>
      </c>
      <c r="B58" s="297">
        <f>B51/B53</f>
        <v>2.0690142601946392E-11</v>
      </c>
      <c r="C58" s="297"/>
      <c r="D58" s="299"/>
      <c r="F58" s="292">
        <v>56</v>
      </c>
      <c r="G58" s="293">
        <f t="shared" si="0"/>
        <v>168.60224219358744</v>
      </c>
      <c r="H58" s="293">
        <f t="shared" si="1"/>
        <v>168.57881372500071</v>
      </c>
      <c r="I58" s="294">
        <f t="shared" si="2"/>
        <v>1</v>
      </c>
      <c r="J58" s="292">
        <f t="shared" si="14"/>
        <v>1</v>
      </c>
      <c r="K58" s="292">
        <f t="shared" si="14"/>
        <v>1</v>
      </c>
      <c r="L58" s="292">
        <f>10^('Small Signal'!F58/30)</f>
        <v>73.564225445964155</v>
      </c>
      <c r="M58" s="292" t="str">
        <f t="shared" si="15"/>
        <v>462.217660456129i</v>
      </c>
      <c r="N58" s="292">
        <f>IF(D$32=1, IF(AND('Small Signal'!$B$63&gt;=1,FCCM=0),U58+0,R58+0), 0)</f>
        <v>0</v>
      </c>
      <c r="O58" s="292">
        <f>IF(D$32=1, IF(AND('Small Signal'!$B$63&gt;=1,FCCM=0),V58,S58), 0)</f>
        <v>0</v>
      </c>
      <c r="P58" s="292">
        <f>IF(AND('Small Signal'!$B$63&gt;=1,FCCM=0),AE58+0,AB58+0)</f>
        <v>56.003972704708708</v>
      </c>
      <c r="Q58" s="292">
        <f>IF(AND('Small Signal'!$B$63&gt;=1,FCCM=0),AF58,AC58)</f>
        <v>102.67388718719315</v>
      </c>
      <c r="R58" s="292">
        <f t="shared" si="16"/>
        <v>18.453692766036571</v>
      </c>
      <c r="S58" s="292">
        <f t="shared" si="16"/>
        <v>-1.5142013510439785</v>
      </c>
      <c r="T58" s="292" t="str">
        <f>IMDIV(IMSUM('Small Signal'!$B$76,IMPRODUCT(M58,'Small Signal'!$B$77)),IMSUM(IMPRODUCT('Small Signal'!$B$80,IMPOWER(M58,2)),IMSUM(IMPRODUCT(M58,'Small Signal'!$B$79),'Small Signal'!$B$78)))</f>
        <v>5.35895246986015-0.119935747969219i</v>
      </c>
      <c r="U58" s="292">
        <f t="shared" si="17"/>
        <v>14.583772872080569</v>
      </c>
      <c r="V58" s="292">
        <f t="shared" si="18"/>
        <v>-1.282091085323448</v>
      </c>
      <c r="W58" s="292" t="str">
        <f>IMPRODUCT(IMDIV(IMSUM(IMPRODUCT(M58,'Small Signal'!$B$59*'Small Signal'!$B$6*'Small Signal'!$B$51*'Small Signal'!$B$7*'Small Signal'!$B$8),'Small Signal'!$B$59*'Small Signal'!$B$6*'Small Signal'!$B$51),IMSUM(IMSUM(IMPRODUCT(M58,('Small Signal'!$B$5+'Small Signal'!$B$6)*('Small Signal'!$B$58*'Small Signal'!$B$59)+'Small Signal'!$B$5*'Small Signal'!$B$59*('Small Signal'!$B$8+'Small Signal'!$B$9)+'Small Signal'!$B$6*'Small Signal'!$B$59*('Small Signal'!$B$8+'Small Signal'!$B$9)+'Small Signal'!$B$7*'Small Signal'!$B$8*('Small Signal'!$B$5+'Small Signal'!$B$6)),'Small Signal'!$B$6+'Small Signal'!$B$5),IMPRODUCT(IMPOWER(M58,2),'Small Signal'!$B$58*'Small Signal'!$B$59*'Small Signal'!$B$8*'Small Signal'!$B$7*('Small Signal'!$B$5+'Small Signal'!$B$6)+('Small Signal'!$B$5+'Small Signal'!$B$6)*('Small Signal'!$B$9*'Small Signal'!$B$8*'Small Signal'!$B$59*'Small Signal'!$B$7)))),-1)</f>
        <v>-18.4597680122465+73.1309194233776i</v>
      </c>
      <c r="X58" s="292">
        <f t="shared" si="3"/>
        <v>0</v>
      </c>
      <c r="Y58" s="292">
        <f t="shared" si="4"/>
        <v>0</v>
      </c>
      <c r="Z58" s="292" t="str">
        <f t="shared" si="5"/>
        <v>1.00000006947228+0.000373061109815648i</v>
      </c>
      <c r="AA58" s="292" t="str">
        <f t="shared" si="19"/>
        <v>-138.496366763628+615.865457482796i</v>
      </c>
      <c r="AB58" s="289">
        <f t="shared" si="20"/>
        <v>56.003972704708708</v>
      </c>
      <c r="AC58" s="292">
        <f t="shared" si="21"/>
        <v>102.67388718719315</v>
      </c>
      <c r="AD58" s="292" t="str">
        <f t="shared" si="22"/>
        <v>-90.1540078615543+394.11910735094i</v>
      </c>
      <c r="AE58" s="289">
        <f t="shared" si="23"/>
        <v>52.134051602896719</v>
      </c>
      <c r="AF58" s="292">
        <f t="shared" si="6"/>
        <v>102.88462262829738</v>
      </c>
      <c r="AH58" s="292" t="str">
        <f t="shared" si="7"/>
        <v>0.00075-20.4875273704428i</v>
      </c>
      <c r="AI58" s="292">
        <f t="shared" si="8"/>
        <v>0.95</v>
      </c>
      <c r="AJ58" s="292" t="str">
        <f t="shared" si="9"/>
        <v>1000-2163482890.31876i</v>
      </c>
      <c r="AK58" s="292" t="str">
        <f t="shared" si="10"/>
        <v>0.947960140793038-0.0439565300440443i</v>
      </c>
      <c r="AL58" s="292" t="str">
        <f t="shared" si="24"/>
        <v>1.18810560329074-0.000036367062181596i</v>
      </c>
      <c r="AM58" s="292" t="str">
        <f t="shared" si="11"/>
        <v>0.019+0.00101687885300348i</v>
      </c>
      <c r="AN58" s="292" t="str">
        <f t="shared" si="25"/>
        <v>8.36629085513303-0.22115414323547i</v>
      </c>
      <c r="AO58" s="292">
        <f t="shared" si="26"/>
        <v>18.453692766036571</v>
      </c>
      <c r="AP58" s="292">
        <f t="shared" si="27"/>
        <v>-1.5142013510439785</v>
      </c>
      <c r="AR58" s="292" t="str">
        <f t="shared" si="12"/>
        <v>1.18810560329074-0.000036367062181596i</v>
      </c>
      <c r="AS58" s="292" t="str">
        <f t="shared" si="28"/>
        <v>8.36629085513303-0.22115414323547i</v>
      </c>
      <c r="AT58" s="292">
        <f t="shared" si="29"/>
        <v>18.453692766036571</v>
      </c>
      <c r="AU58" s="292">
        <f t="shared" si="30"/>
        <v>-1.5142013510439785</v>
      </c>
    </row>
    <row r="59" spans="1:47" x14ac:dyDescent="0.25">
      <c r="A59" s="295" t="s">
        <v>461</v>
      </c>
      <c r="B59" s="297">
        <f>B52/B51</f>
        <v>769230.76923076925</v>
      </c>
      <c r="C59" s="299"/>
      <c r="D59" s="292"/>
      <c r="F59" s="292">
        <v>57</v>
      </c>
      <c r="G59" s="293">
        <f t="shared" si="0"/>
        <v>168.60411120308186</v>
      </c>
      <c r="H59" s="293">
        <f t="shared" si="1"/>
        <v>168.57881372500071</v>
      </c>
      <c r="I59" s="294">
        <f t="shared" si="2"/>
        <v>1</v>
      </c>
      <c r="J59" s="292">
        <f t="shared" si="14"/>
        <v>1</v>
      </c>
      <c r="K59" s="292">
        <f t="shared" si="14"/>
        <v>1</v>
      </c>
      <c r="L59" s="292">
        <f>10^('Small Signal'!F59/30)</f>
        <v>79.432823472428197</v>
      </c>
      <c r="M59" s="292" t="str">
        <f t="shared" si="15"/>
        <v>499.091149349751i</v>
      </c>
      <c r="N59" s="292">
        <f>IF(D$32=1, IF(AND('Small Signal'!$B$63&gt;=1,FCCM=0),U59+0,R59+0), 0)</f>
        <v>0</v>
      </c>
      <c r="O59" s="292">
        <f>IF(D$32=1, IF(AND('Small Signal'!$B$63&gt;=1,FCCM=0),V59,S59), 0)</f>
        <v>0</v>
      </c>
      <c r="P59" s="292">
        <f>IF(AND('Small Signal'!$B$63&gt;=1,FCCM=0),AE59+0,AB59+0)</f>
        <v>55.368906912411823</v>
      </c>
      <c r="Q59" s="292">
        <f>IF(AND('Small Signal'!$B$63&gt;=1,FCCM=0),AF59,AC59)</f>
        <v>101.70343351237109</v>
      </c>
      <c r="R59" s="292">
        <f t="shared" si="16"/>
        <v>18.453219802116688</v>
      </c>
      <c r="S59" s="292">
        <f t="shared" si="16"/>
        <v>-1.6349395458545002</v>
      </c>
      <c r="T59" s="292" t="str">
        <f>IMDIV(IMSUM('Small Signal'!$B$76,IMPRODUCT(M59,'Small Signal'!$B$77)),IMSUM(IMPRODUCT('Small Signal'!$B$80,IMPOWER(M59,2)),IMSUM(IMPRODUCT(M59,'Small Signal'!$B$79),'Small Signal'!$B$78)))</f>
        <v>5.35853596067967-0.129494269059225i</v>
      </c>
      <c r="U59" s="292">
        <f t="shared" si="17"/>
        <v>14.583458507269729</v>
      </c>
      <c r="V59" s="292">
        <f t="shared" si="18"/>
        <v>-1.3843391809835448</v>
      </c>
      <c r="W59" s="292" t="str">
        <f>IMPRODUCT(IMDIV(IMSUM(IMPRODUCT(M59,'Small Signal'!$B$59*'Small Signal'!$B$6*'Small Signal'!$B$51*'Small Signal'!$B$7*'Small Signal'!$B$8),'Small Signal'!$B$59*'Small Signal'!$B$6*'Small Signal'!$B$51),IMSUM(IMSUM(IMPRODUCT(M59,('Small Signal'!$B$5+'Small Signal'!$B$6)*('Small Signal'!$B$58*'Small Signal'!$B$59)+'Small Signal'!$B$5*'Small Signal'!$B$59*('Small Signal'!$B$8+'Small Signal'!$B$9)+'Small Signal'!$B$6*'Small Signal'!$B$59*('Small Signal'!$B$8+'Small Signal'!$B$9)+'Small Signal'!$B$7*'Small Signal'!$B$8*('Small Signal'!$B$5+'Small Signal'!$B$6)),'Small Signal'!$B$6+'Small Signal'!$B$5),IMPRODUCT(IMPOWER(M59,2),'Small Signal'!$B$58*'Small Signal'!$B$59*'Small Signal'!$B$8*'Small Signal'!$B$7*('Small Signal'!$B$5+'Small Signal'!$B$6)+('Small Signal'!$B$5+'Small Signal'!$B$6)*('Small Signal'!$B$9*'Small Signal'!$B$8*'Small Signal'!$B$59*'Small Signal'!$B$7)))),-1)</f>
        <v>-16.1471584801144+68.2259416743199i</v>
      </c>
      <c r="X59" s="292">
        <f t="shared" si="3"/>
        <v>0</v>
      </c>
      <c r="Y59" s="292">
        <f t="shared" si="4"/>
        <v>0</v>
      </c>
      <c r="Z59" s="292" t="str">
        <f t="shared" si="5"/>
        <v>1.00000008099873+0.00040282211809163i</v>
      </c>
      <c r="AA59" s="292" t="str">
        <f t="shared" si="19"/>
        <v>-119.017751792397+574.541596455503i</v>
      </c>
      <c r="AB59" s="289">
        <f t="shared" si="20"/>
        <v>55.368906912411823</v>
      </c>
      <c r="AC59" s="292">
        <f t="shared" si="21"/>
        <v>101.70343351237109</v>
      </c>
      <c r="AD59" s="292" t="str">
        <f t="shared" si="22"/>
        <v>-77.6902609304933+367.682126397843i</v>
      </c>
      <c r="AE59" s="289">
        <f t="shared" si="23"/>
        <v>51.499144209308234</v>
      </c>
      <c r="AF59" s="292">
        <f t="shared" si="6"/>
        <v>101.93095387309869</v>
      </c>
      <c r="AH59" s="292" t="str">
        <f t="shared" si="7"/>
        <v>0.00075-18.9738827908183i</v>
      </c>
      <c r="AI59" s="292">
        <f t="shared" si="8"/>
        <v>0.95</v>
      </c>
      <c r="AJ59" s="292" t="str">
        <f t="shared" si="9"/>
        <v>1000-2003642022.71041i</v>
      </c>
      <c r="AK59" s="292" t="str">
        <f t="shared" si="10"/>
        <v>0.947622546422039-0.0474462530658946i</v>
      </c>
      <c r="AL59" s="292" t="str">
        <f t="shared" si="24"/>
        <v>1.18810560310605-0.0000392682504644103i</v>
      </c>
      <c r="AM59" s="292" t="str">
        <f t="shared" si="11"/>
        <v>0.019+0.00109800052856945i</v>
      </c>
      <c r="AN59" s="292" t="str">
        <f t="shared" si="25"/>
        <v>8.3653507238739-0.238770746559112i</v>
      </c>
      <c r="AO59" s="292">
        <f t="shared" si="26"/>
        <v>18.453219802116688</v>
      </c>
      <c r="AP59" s="292">
        <f t="shared" si="27"/>
        <v>-1.6349395458545002</v>
      </c>
      <c r="AR59" s="292" t="str">
        <f t="shared" si="12"/>
        <v>1.18810560310605-0.0000392682504644103i</v>
      </c>
      <c r="AS59" s="292" t="str">
        <f t="shared" si="28"/>
        <v>8.3653507238739-0.238770746559112i</v>
      </c>
      <c r="AT59" s="292">
        <f t="shared" si="29"/>
        <v>18.453219802116688</v>
      </c>
      <c r="AU59" s="292">
        <f t="shared" si="30"/>
        <v>-1.6349395458545002</v>
      </c>
    </row>
    <row r="60" spans="1:47" x14ac:dyDescent="0.25">
      <c r="A60" s="295" t="s">
        <v>462</v>
      </c>
      <c r="B60" s="297">
        <f>((1/(B14*B12))^0.5)*(1/(2*3.14159))</f>
        <v>10441.843960412521</v>
      </c>
      <c r="C60" s="292"/>
      <c r="D60" s="292"/>
      <c r="F60" s="292">
        <v>58</v>
      </c>
      <c r="G60" s="293">
        <f t="shared" si="0"/>
        <v>168.60612931301102</v>
      </c>
      <c r="H60" s="293">
        <f t="shared" si="1"/>
        <v>168.57881372500071</v>
      </c>
      <c r="I60" s="294">
        <f t="shared" si="2"/>
        <v>1</v>
      </c>
      <c r="J60" s="292">
        <f t="shared" si="14"/>
        <v>1</v>
      </c>
      <c r="K60" s="292">
        <f t="shared" si="14"/>
        <v>1</v>
      </c>
      <c r="L60" s="292">
        <f>10^('Small Signal'!F60/30)</f>
        <v>85.769589859089479</v>
      </c>
      <c r="M60" s="292" t="str">
        <f t="shared" si="15"/>
        <v>538.90622680545i</v>
      </c>
      <c r="N60" s="292">
        <f>IF(D$32=1, IF(AND('Small Signal'!$B$63&gt;=1,FCCM=0),U60+0,R60+0), 0)</f>
        <v>0</v>
      </c>
      <c r="O60" s="292">
        <f>IF(D$32=1, IF(AND('Small Signal'!$B$63&gt;=1,FCCM=0),V60,S60), 0)</f>
        <v>0</v>
      </c>
      <c r="P60" s="292">
        <f>IF(AND('Small Signal'!$B$63&gt;=1,FCCM=0),AE60+0,AB60+0)</f>
        <v>54.729464416265536</v>
      </c>
      <c r="Q60" s="292">
        <f>IF(AND('Small Signal'!$B$63&gt;=1,FCCM=0),AF60,AC60)</f>
        <v>100.79364915581492</v>
      </c>
      <c r="R60" s="292">
        <f t="shared" si="16"/>
        <v>18.452668431565002</v>
      </c>
      <c r="S60" s="292">
        <f t="shared" si="16"/>
        <v>-1.7652947811524875</v>
      </c>
      <c r="T60" s="292" t="str">
        <f>IMDIV(IMSUM('Small Signal'!$B$76,IMPRODUCT(M60,'Small Signal'!$B$77)),IMSUM(IMPRODUCT('Small Signal'!$B$80,IMPOWER(M60,2)),IMSUM(IMPRODUCT(M60,'Small Signal'!$B$79),'Small Signal'!$B$78)))</f>
        <v>5.35805042234812-0.139812897736677i</v>
      </c>
      <c r="U60" s="292">
        <f t="shared" si="17"/>
        <v>14.583092013210452</v>
      </c>
      <c r="V60" s="292">
        <f t="shared" si="18"/>
        <v>-1.4947361304626801</v>
      </c>
      <c r="W60" s="292" t="str">
        <f>IMPRODUCT(IMDIV(IMSUM(IMPRODUCT(M60,'Small Signal'!$B$59*'Small Signal'!$B$6*'Small Signal'!$B$51*'Small Signal'!$B$7*'Small Signal'!$B$8),'Small Signal'!$B$59*'Small Signal'!$B$6*'Small Signal'!$B$51),IMSUM(IMSUM(IMPRODUCT(M60,('Small Signal'!$B$5+'Small Signal'!$B$6)*('Small Signal'!$B$58*'Small Signal'!$B$59)+'Small Signal'!$B$5*'Small Signal'!$B$59*('Small Signal'!$B$8+'Small Signal'!$B$9)+'Small Signal'!$B$6*'Small Signal'!$B$59*('Small Signal'!$B$8+'Small Signal'!$B$9)+'Small Signal'!$B$7*'Small Signal'!$B$8*('Small Signal'!$B$5+'Small Signal'!$B$6)),'Small Signal'!$B$6+'Small Signal'!$B$5),IMPRODUCT(IMPOWER(M60,2),'Small Signal'!$B$58*'Small Signal'!$B$59*'Small Signal'!$B$8*'Small Signal'!$B$7*('Small Signal'!$B$5+'Small Signal'!$B$6)+('Small Signal'!$B$5+'Small Signal'!$B$6)*('Small Signal'!$B$9*'Small Signal'!$B$8*'Small Signal'!$B$59*'Small Signal'!$B$7)))),-1)</f>
        <v>-14.1363761534137+63.586361913688i</v>
      </c>
      <c r="X60" s="292">
        <f t="shared" si="3"/>
        <v>0</v>
      </c>
      <c r="Y60" s="292">
        <f t="shared" si="4"/>
        <v>0</v>
      </c>
      <c r="Z60" s="292" t="str">
        <f t="shared" si="5"/>
        <v>1.00000009443758+0.000434957315033747i</v>
      </c>
      <c r="AA60" s="292" t="str">
        <f t="shared" si="19"/>
        <v>-102.081507532037+535.452447806446i</v>
      </c>
      <c r="AB60" s="289">
        <f t="shared" si="20"/>
        <v>54.729464416265536</v>
      </c>
      <c r="AC60" s="292">
        <f t="shared" si="21"/>
        <v>100.79364915581492</v>
      </c>
      <c r="AD60" s="292" t="str">
        <f t="shared" si="22"/>
        <v>-66.8532227035844+342.675381020721i</v>
      </c>
      <c r="AE60" s="289">
        <f t="shared" si="23"/>
        <v>50.859886356004402</v>
      </c>
      <c r="AF60" s="292">
        <f t="shared" si="6"/>
        <v>101.03928659201007</v>
      </c>
      <c r="AH60" s="292" t="str">
        <f t="shared" si="7"/>
        <v>0.00075-17.5720681978975i</v>
      </c>
      <c r="AI60" s="292">
        <f t="shared" si="8"/>
        <v>0.95</v>
      </c>
      <c r="AJ60" s="292" t="str">
        <f t="shared" si="9"/>
        <v>1000-1855610401.69797i</v>
      </c>
      <c r="AK60" s="292" t="str">
        <f t="shared" si="10"/>
        <v>0.947229244001667-0.0512100056818436i</v>
      </c>
      <c r="AL60" s="292" t="str">
        <f t="shared" si="24"/>
        <v>1.18810560289071-0.000042400881511849i</v>
      </c>
      <c r="AM60" s="292" t="str">
        <f t="shared" si="11"/>
        <v>0.019+0.00118559369897199i</v>
      </c>
      <c r="AN60" s="292" t="str">
        <f t="shared" si="25"/>
        <v>8.36425486954275-0.25778599179758i</v>
      </c>
      <c r="AO60" s="292">
        <f t="shared" si="26"/>
        <v>18.452668431565002</v>
      </c>
      <c r="AP60" s="292">
        <f t="shared" si="27"/>
        <v>-1.7652947811524875</v>
      </c>
      <c r="AR60" s="292" t="str">
        <f t="shared" si="12"/>
        <v>1.18810560289071-0.000042400881511849i</v>
      </c>
      <c r="AS60" s="292" t="str">
        <f t="shared" si="28"/>
        <v>8.36425486954275-0.25778599179758i</v>
      </c>
      <c r="AT60" s="292">
        <f t="shared" si="29"/>
        <v>18.452668431565002</v>
      </c>
      <c r="AU60" s="292">
        <f t="shared" si="30"/>
        <v>-1.7652947811524875</v>
      </c>
    </row>
    <row r="61" spans="1:47" x14ac:dyDescent="0.25">
      <c r="A61" s="295" t="s">
        <v>463</v>
      </c>
      <c r="B61" s="297">
        <f>1/(B14*B15*2*3.14159)</f>
        <v>2009533.807126746</v>
      </c>
      <c r="C61" s="292"/>
      <c r="D61" s="292"/>
      <c r="F61" s="292">
        <v>59</v>
      </c>
      <c r="G61" s="293">
        <f t="shared" si="0"/>
        <v>168.60830841786023</v>
      </c>
      <c r="H61" s="293">
        <f t="shared" si="1"/>
        <v>168.57881372500071</v>
      </c>
      <c r="I61" s="294">
        <f t="shared" si="2"/>
        <v>1</v>
      </c>
      <c r="J61" s="292">
        <f t="shared" si="14"/>
        <v>1</v>
      </c>
      <c r="K61" s="292">
        <f t="shared" si="14"/>
        <v>1</v>
      </c>
      <c r="L61" s="292">
        <f>10^('Small Signal'!F61/30)</f>
        <v>92.611872812879369</v>
      </c>
      <c r="M61" s="292" t="str">
        <f t="shared" si="15"/>
        <v>581.897558528268i</v>
      </c>
      <c r="N61" s="292">
        <f>IF(D$32=1, IF(AND('Small Signal'!$B$63&gt;=1,FCCM=0),U61+0,R61+0), 0)</f>
        <v>0</v>
      </c>
      <c r="O61" s="292">
        <f>IF(D$32=1, IF(AND('Small Signal'!$B$63&gt;=1,FCCM=0),V61,S61), 0)</f>
        <v>0</v>
      </c>
      <c r="P61" s="292">
        <f>IF(AND('Small Signal'!$B$63&gt;=1,FCCM=0),AE61+0,AB61+0)</f>
        <v>54.086209336112802</v>
      </c>
      <c r="Q61" s="292">
        <f>IF(AND('Small Signal'!$B$63&gt;=1,FCCM=0),AF61,AC61)</f>
        <v>99.940810241126485</v>
      </c>
      <c r="R61" s="292">
        <f t="shared" si="16"/>
        <v>18.452025668889767</v>
      </c>
      <c r="S61" s="292">
        <f t="shared" si="16"/>
        <v>-1.9060304128247885</v>
      </c>
      <c r="T61" s="292" t="str">
        <f>IMDIV(IMSUM('Small Signal'!$B$76,IMPRODUCT(M61,'Small Signal'!$B$77)),IMSUM(IMPRODUCT('Small Signal'!$B$80,IMPOWER(M61,2)),IMSUM(IMPRODUCT(M61,'Small Signal'!$B$79),'Small Signal'!$B$78)))</f>
        <v>5.35748442911969-0.150951644677396i</v>
      </c>
      <c r="U61" s="292">
        <f t="shared" si="17"/>
        <v>14.58266475110927</v>
      </c>
      <c r="V61" s="292">
        <f t="shared" si="18"/>
        <v>-1.6139299390018789</v>
      </c>
      <c r="W61" s="292" t="str">
        <f>IMPRODUCT(IMDIV(IMSUM(IMPRODUCT(M61,'Small Signal'!$B$59*'Small Signal'!$B$6*'Small Signal'!$B$51*'Small Signal'!$B$7*'Small Signal'!$B$8),'Small Signal'!$B$59*'Small Signal'!$B$6*'Small Signal'!$B$51),IMSUM(IMSUM(IMPRODUCT(M61,('Small Signal'!$B$5+'Small Signal'!$B$6)*('Small Signal'!$B$58*'Small Signal'!$B$59)+'Small Signal'!$B$5*'Small Signal'!$B$59*('Small Signal'!$B$8+'Small Signal'!$B$9)+'Small Signal'!$B$6*'Small Signal'!$B$59*('Small Signal'!$B$8+'Small Signal'!$B$9)+'Small Signal'!$B$7*'Small Signal'!$B$8*('Small Signal'!$B$5+'Small Signal'!$B$6)),'Small Signal'!$B$6+'Small Signal'!$B$5),IMPRODUCT(IMPOWER(M61,2),'Small Signal'!$B$58*'Small Signal'!$B$59*'Small Signal'!$B$8*'Small Signal'!$B$7*('Small Signal'!$B$5+'Small Signal'!$B$6)+('Small Signal'!$B$5+'Small Signal'!$B$6)*('Small Signal'!$B$9*'Small Signal'!$B$8*'Small Signal'!$B$59*'Small Signal'!$B$7)))),-1)</f>
        <v>-12.3912908903244+59.2108585986566i</v>
      </c>
      <c r="X61" s="292">
        <f t="shared" si="3"/>
        <v>0</v>
      </c>
      <c r="Y61" s="292">
        <f t="shared" si="4"/>
        <v>0</v>
      </c>
      <c r="Z61" s="292" t="str">
        <f t="shared" si="5"/>
        <v>1.00000011010614+0.000469656101772854i</v>
      </c>
      <c r="AA61" s="292" t="str">
        <f t="shared" si="19"/>
        <v>-87.3833232825131+498.586822519774i</v>
      </c>
      <c r="AB61" s="289">
        <f t="shared" si="20"/>
        <v>54.086209336112802</v>
      </c>
      <c r="AC61" s="292">
        <f t="shared" si="21"/>
        <v>99.940810241126485</v>
      </c>
      <c r="AD61" s="292" t="str">
        <f t="shared" si="22"/>
        <v>-57.4481715133777+319.091738716681i</v>
      </c>
      <c r="AE61" s="289">
        <f t="shared" si="23"/>
        <v>50.21684650400978</v>
      </c>
      <c r="AF61" s="292">
        <f t="shared" si="6"/>
        <v>100.20600140743666</v>
      </c>
      <c r="AH61" s="292" t="str">
        <f t="shared" si="7"/>
        <v>0.00075-16.2738214500292i</v>
      </c>
      <c r="AI61" s="292">
        <f t="shared" si="8"/>
        <v>0.95</v>
      </c>
      <c r="AJ61" s="292" t="str">
        <f t="shared" si="9"/>
        <v>1000-1718515545.12309i</v>
      </c>
      <c r="AK61" s="292" t="str">
        <f t="shared" si="10"/>
        <v>0.946771099389223-0.0552685264505015i</v>
      </c>
      <c r="AL61" s="292" t="str">
        <f t="shared" si="24"/>
        <v>1.18810560263965-0.0000457834187076202i</v>
      </c>
      <c r="AM61" s="292" t="str">
        <f t="shared" si="11"/>
        <v>0.019+0.00128017462876219i</v>
      </c>
      <c r="AN61" s="292" t="str">
        <f t="shared" si="25"/>
        <v>8.36297754810615-0.278309718043949i</v>
      </c>
      <c r="AO61" s="292">
        <f t="shared" si="26"/>
        <v>18.452025668889767</v>
      </c>
      <c r="AP61" s="292">
        <f t="shared" si="27"/>
        <v>-1.9060304128247885</v>
      </c>
      <c r="AR61" s="292" t="str">
        <f t="shared" si="12"/>
        <v>1.18810560263965-0.0000457834187076202i</v>
      </c>
      <c r="AS61" s="292" t="str">
        <f t="shared" si="28"/>
        <v>8.36297754810615-0.278309718043949i</v>
      </c>
      <c r="AT61" s="292">
        <f t="shared" si="29"/>
        <v>18.452025668889767</v>
      </c>
      <c r="AU61" s="292">
        <f t="shared" si="30"/>
        <v>-1.9060304128247885</v>
      </c>
    </row>
    <row r="62" spans="1:47" x14ac:dyDescent="0.25">
      <c r="A62" s="295"/>
      <c r="B62" s="292"/>
      <c r="C62" s="292"/>
      <c r="D62" s="292"/>
      <c r="F62" s="292">
        <v>60</v>
      </c>
      <c r="G62" s="293">
        <f t="shared" si="0"/>
        <v>168.61066136099237</v>
      </c>
      <c r="H62" s="293">
        <f t="shared" si="1"/>
        <v>168.57881372500071</v>
      </c>
      <c r="I62" s="294">
        <f t="shared" si="2"/>
        <v>1</v>
      </c>
      <c r="J62" s="292">
        <f t="shared" si="14"/>
        <v>1</v>
      </c>
      <c r="K62" s="292">
        <f t="shared" si="14"/>
        <v>1</v>
      </c>
      <c r="L62" s="292">
        <f>10^('Small Signal'!F62/30)</f>
        <v>100</v>
      </c>
      <c r="M62" s="292" t="str">
        <f t="shared" si="15"/>
        <v>628.318530717959i</v>
      </c>
      <c r="N62" s="292">
        <f>IF(D$32=1, IF(AND('Small Signal'!$B$63&gt;=1,FCCM=0),U62+0,R62+0), 0)</f>
        <v>0</v>
      </c>
      <c r="O62" s="292">
        <f>IF(D$32=1, IF(AND('Small Signal'!$B$63&gt;=1,FCCM=0),V62,S62), 0)</f>
        <v>0</v>
      </c>
      <c r="P62" s="292">
        <f>IF(AND('Small Signal'!$B$63&gt;=1,FCCM=0),AE62+0,AB62+0)</f>
        <v>53.439635658412243</v>
      </c>
      <c r="Q62" s="292">
        <f>IF(AND('Small Signal'!$B$63&gt;=1,FCCM=0),AF62,AC62)</f>
        <v>99.141216299668443</v>
      </c>
      <c r="R62" s="292">
        <f t="shared" si="16"/>
        <v>18.451276382477612</v>
      </c>
      <c r="S62" s="292">
        <f t="shared" si="16"/>
        <v>-2.0579697002423645</v>
      </c>
      <c r="T62" s="292" t="str">
        <f>IMDIV(IMSUM('Small Signal'!$B$76,IMPRODUCT(M62,'Small Signal'!$B$77)),IMSUM(IMPRODUCT('Small Signal'!$B$80,IMPOWER(M62,2)),IMSUM(IMPRODUCT(M62,'Small Signal'!$B$79),'Small Signal'!$B$78)))</f>
        <v>5.35682466930643-0.162975145966177i</v>
      </c>
      <c r="U62" s="292">
        <f t="shared" si="17"/>
        <v>14.582166652533887</v>
      </c>
      <c r="V62" s="292">
        <f t="shared" si="18"/>
        <v>-1.7426197711534754</v>
      </c>
      <c r="W62" s="292" t="str">
        <f>IMPRODUCT(IMDIV(IMSUM(IMPRODUCT(M62,'Small Signal'!$B$59*'Small Signal'!$B$6*'Small Signal'!$B$51*'Small Signal'!$B$7*'Small Signal'!$B$8),'Small Signal'!$B$59*'Small Signal'!$B$6*'Small Signal'!$B$51),IMSUM(IMSUM(IMPRODUCT(M62,('Small Signal'!$B$5+'Small Signal'!$B$6)*('Small Signal'!$B$58*'Small Signal'!$B$59)+'Small Signal'!$B$5*'Small Signal'!$B$59*('Small Signal'!$B$8+'Small Signal'!$B$9)+'Small Signal'!$B$6*'Small Signal'!$B$59*('Small Signal'!$B$8+'Small Signal'!$B$9)+'Small Signal'!$B$7*'Small Signal'!$B$8*('Small Signal'!$B$5+'Small Signal'!$B$6)),'Small Signal'!$B$6+'Small Signal'!$B$5),IMPRODUCT(IMPOWER(M62,2),'Small Signal'!$B$58*'Small Signal'!$B$59*'Small Signal'!$B$8*'Small Signal'!$B$7*('Small Signal'!$B$5+'Small Signal'!$B$6)+('Small Signal'!$B$5+'Small Signal'!$B$6)*('Small Signal'!$B$9*'Small Signal'!$B$8*'Small Signal'!$B$59*'Small Signal'!$B$7)))),-1)</f>
        <v>-10.8792477496974+55.0949477243504i</v>
      </c>
      <c r="X62" s="292">
        <f t="shared" si="3"/>
        <v>0</v>
      </c>
      <c r="Y62" s="292">
        <f t="shared" si="4"/>
        <v>0</v>
      </c>
      <c r="Z62" s="292" t="str">
        <f t="shared" si="5"/>
        <v>1.00000012837433+0.00050712298890553i</v>
      </c>
      <c r="AA62" s="292" t="str">
        <f t="shared" si="19"/>
        <v>-74.6481621534298+463.906889803202i</v>
      </c>
      <c r="AB62" s="289">
        <f t="shared" si="20"/>
        <v>53.439635658412243</v>
      </c>
      <c r="AC62" s="292">
        <f t="shared" si="21"/>
        <v>99.141216299668443</v>
      </c>
      <c r="AD62" s="292" t="str">
        <f t="shared" si="22"/>
        <v>-49.2991155817006+296.907022113958i</v>
      </c>
      <c r="AE62" s="289">
        <f t="shared" si="23"/>
        <v>49.570523696532462</v>
      </c>
      <c r="AF62" s="292">
        <f t="shared" si="6"/>
        <v>99.427510228019841</v>
      </c>
      <c r="AH62" s="292" t="str">
        <f t="shared" si="7"/>
        <v>0.00075-15.0714908230961i</v>
      </c>
      <c r="AI62" s="292">
        <f t="shared" si="8"/>
        <v>0.95</v>
      </c>
      <c r="AJ62" s="292" t="str">
        <f t="shared" si="9"/>
        <v>1000-1591549430.91895i</v>
      </c>
      <c r="AK62" s="292" t="str">
        <f t="shared" si="10"/>
        <v>0.946237501689584-0.0596439213476089i</v>
      </c>
      <c r="AL62" s="292" t="str">
        <f t="shared" si="24"/>
        <v>1.18810560234693-0.0000494357983547586i</v>
      </c>
      <c r="AM62" s="292" t="str">
        <f t="shared" si="11"/>
        <v>0.019+0.00138230076757951i</v>
      </c>
      <c r="AN62" s="292" t="str">
        <f t="shared" si="25"/>
        <v>8.3614887774461-0.300460078546754i</v>
      </c>
      <c r="AO62" s="292">
        <f t="shared" si="26"/>
        <v>18.451276382477612</v>
      </c>
      <c r="AP62" s="292">
        <f t="shared" si="27"/>
        <v>-2.0579697002423645</v>
      </c>
      <c r="AR62" s="292" t="str">
        <f t="shared" si="12"/>
        <v>1.18810560234693-0.0000494357983547586i</v>
      </c>
      <c r="AS62" s="292" t="str">
        <f t="shared" si="28"/>
        <v>8.3614887774461-0.300460078546754i</v>
      </c>
      <c r="AT62" s="292">
        <f t="shared" si="29"/>
        <v>18.451276382477612</v>
      </c>
      <c r="AU62" s="292">
        <f t="shared" si="30"/>
        <v>-2.0579697002423645</v>
      </c>
    </row>
    <row r="63" spans="1:47" x14ac:dyDescent="0.25">
      <c r="A63" s="295" t="s">
        <v>464</v>
      </c>
      <c r="B63" s="298">
        <f>(1-(B3/B2))/(2*B12*B11/(B3/B4))</f>
        <v>0.16230823160169283</v>
      </c>
      <c r="C63" s="292"/>
      <c r="D63" s="292"/>
      <c r="F63" s="292">
        <v>61</v>
      </c>
      <c r="G63" s="293">
        <f t="shared" si="0"/>
        <v>168.61320201034329</v>
      </c>
      <c r="H63" s="293">
        <f t="shared" si="1"/>
        <v>168.57881372500071</v>
      </c>
      <c r="I63" s="294">
        <f t="shared" si="2"/>
        <v>1</v>
      </c>
      <c r="J63" s="292">
        <f t="shared" si="14"/>
        <v>1</v>
      </c>
      <c r="K63" s="292">
        <f t="shared" si="14"/>
        <v>1</v>
      </c>
      <c r="L63" s="292">
        <f>10^('Small Signal'!F63/30)</f>
        <v>107.97751623277095</v>
      </c>
      <c r="M63" s="292" t="str">
        <f t="shared" si="15"/>
        <v>678.442743499492i</v>
      </c>
      <c r="N63" s="292">
        <f>IF(D$32=1, IF(AND('Small Signal'!$B$63&gt;=1,FCCM=0),U63+0,R63+0), 0)</f>
        <v>0</v>
      </c>
      <c r="O63" s="292">
        <f>IF(D$32=1, IF(AND('Small Signal'!$B$63&gt;=1,FCCM=0),V63,S63), 0)</f>
        <v>0</v>
      </c>
      <c r="P63" s="292">
        <f>IF(AND('Small Signal'!$B$63&gt;=1,FCCM=0),AE63+0,AB63+0)</f>
        <v>52.79017397684914</v>
      </c>
      <c r="Q63" s="292">
        <f>IF(AND('Small Signal'!$B$63&gt;=1,FCCM=0),AF63,AC63)</f>
        <v>98.391225946655098</v>
      </c>
      <c r="R63" s="292">
        <f t="shared" si="16"/>
        <v>18.450402941518036</v>
      </c>
      <c r="S63" s="292">
        <f t="shared" si="16"/>
        <v>-2.222000328908075</v>
      </c>
      <c r="T63" s="292" t="str">
        <f>IMDIV(IMSUM('Small Signal'!$B$76,IMPRODUCT(M63,'Small Signal'!$B$77)),IMSUM(IMPRODUCT('Small Signal'!$B$80,IMPOWER(M63,2)),IMSUM(IMPRODUCT(M63,'Small Signal'!$B$79),'Small Signal'!$B$78)))</f>
        <v>5.35605563586941-0.175952990343489i</v>
      </c>
      <c r="U63" s="292">
        <f t="shared" si="17"/>
        <v>14.581585983529067</v>
      </c>
      <c r="V63" s="292">
        <f t="shared" si="18"/>
        <v>-1.8815598937632767</v>
      </c>
      <c r="W63" s="292" t="str">
        <f>IMPRODUCT(IMDIV(IMSUM(IMPRODUCT(M63,'Small Signal'!$B$59*'Small Signal'!$B$6*'Small Signal'!$B$51*'Small Signal'!$B$7*'Small Signal'!$B$8),'Small Signal'!$B$59*'Small Signal'!$B$6*'Small Signal'!$B$51),IMSUM(IMSUM(IMPRODUCT(M63,('Small Signal'!$B$5+'Small Signal'!$B$6)*('Small Signal'!$B$58*'Small Signal'!$B$59)+'Small Signal'!$B$5*'Small Signal'!$B$59*('Small Signal'!$B$8+'Small Signal'!$B$9)+'Small Signal'!$B$6*'Small Signal'!$B$59*('Small Signal'!$B$8+'Small Signal'!$B$9)+'Small Signal'!$B$7*'Small Signal'!$B$8*('Small Signal'!$B$5+'Small Signal'!$B$6)),'Small Signal'!$B$6+'Small Signal'!$B$5),IMPRODUCT(IMPOWER(M63,2),'Small Signal'!$B$58*'Small Signal'!$B$59*'Small Signal'!$B$8*'Small Signal'!$B$7*('Small Signal'!$B$5+'Small Signal'!$B$6)+('Small Signal'!$B$5+'Small Signal'!$B$6)*('Small Signal'!$B$9*'Small Signal'!$B$8*'Small Signal'!$B$59*'Small Signal'!$B$7)))),-1)</f>
        <v>-9.57096501800609+51.2317387963397i</v>
      </c>
      <c r="X63" s="292">
        <f t="shared" si="3"/>
        <v>0</v>
      </c>
      <c r="Y63" s="292">
        <f t="shared" si="4"/>
        <v>0</v>
      </c>
      <c r="Z63" s="292" t="str">
        <f t="shared" si="5"/>
        <v>1.00000014967348+0.000547578801843739i</v>
      </c>
      <c r="AA63" s="292" t="str">
        <f t="shared" si="19"/>
        <v>-63.6294025047955+431.354544353939i</v>
      </c>
      <c r="AB63" s="289">
        <f t="shared" si="20"/>
        <v>52.79017397684914</v>
      </c>
      <c r="AC63" s="292">
        <f t="shared" si="21"/>
        <v>98.391225946655098</v>
      </c>
      <c r="AD63" s="292" t="str">
        <f t="shared" si="22"/>
        <v>-42.248243483688+276.084083230916i</v>
      </c>
      <c r="AE63" s="289">
        <f t="shared" si="23"/>
        <v>48.921354416613916</v>
      </c>
      <c r="AF63" s="292">
        <f t="shared" si="6"/>
        <v>98.700292435335001</v>
      </c>
      <c r="AH63" s="292" t="str">
        <f t="shared" si="7"/>
        <v>0.00075-13.9579899120906i</v>
      </c>
      <c r="AI63" s="292">
        <f t="shared" si="8"/>
        <v>0.95</v>
      </c>
      <c r="AJ63" s="292" t="str">
        <f t="shared" si="9"/>
        <v>1000-1473963734.71677i</v>
      </c>
      <c r="AK63" s="292" t="str">
        <f t="shared" si="10"/>
        <v>0.945616131984678-0.0643597001895867i</v>
      </c>
      <c r="AL63" s="292" t="str">
        <f t="shared" si="24"/>
        <v>1.18810560200566-0.0000533795471779763i</v>
      </c>
      <c r="AM63" s="292" t="str">
        <f t="shared" si="11"/>
        <v>0.019+0.00149257403569888i</v>
      </c>
      <c r="AN63" s="292" t="str">
        <f t="shared" si="25"/>
        <v>8.35975364609415-0.324364088688054i</v>
      </c>
      <c r="AO63" s="292">
        <f t="shared" si="26"/>
        <v>18.450402941518036</v>
      </c>
      <c r="AP63" s="292">
        <f t="shared" si="27"/>
        <v>-2.222000328908075</v>
      </c>
      <c r="AR63" s="292" t="str">
        <f t="shared" si="12"/>
        <v>1.18810560200566-0.0000533795471779763i</v>
      </c>
      <c r="AS63" s="292" t="str">
        <f t="shared" si="28"/>
        <v>8.35975364609415-0.324364088688054i</v>
      </c>
      <c r="AT63" s="292">
        <f t="shared" si="29"/>
        <v>18.450402941518036</v>
      </c>
      <c r="AU63" s="292">
        <f t="shared" si="30"/>
        <v>-2.222000328908075</v>
      </c>
    </row>
    <row r="64" spans="1:47" x14ac:dyDescent="0.25">
      <c r="A64" s="295" t="s">
        <v>465</v>
      </c>
      <c r="B64" s="298">
        <f>1*B11/(B65+B56)</f>
        <v>1.2213350299678587</v>
      </c>
      <c r="C64" s="292" t="s">
        <v>466</v>
      </c>
      <c r="D64" s="292"/>
      <c r="F64" s="292">
        <v>62</v>
      </c>
      <c r="G64" s="293">
        <f t="shared" si="0"/>
        <v>168.61594534015478</v>
      </c>
      <c r="H64" s="293">
        <f t="shared" si="1"/>
        <v>168.57881372500071</v>
      </c>
      <c r="I64" s="294">
        <f t="shared" si="2"/>
        <v>1</v>
      </c>
      <c r="J64" s="292">
        <f t="shared" si="14"/>
        <v>1</v>
      </c>
      <c r="K64" s="292">
        <f t="shared" si="14"/>
        <v>1</v>
      </c>
      <c r="L64" s="292">
        <f>10^('Small Signal'!F64/30)</f>
        <v>116.59144011798328</v>
      </c>
      <c r="M64" s="292" t="str">
        <f t="shared" si="15"/>
        <v>732.565623492221i</v>
      </c>
      <c r="N64" s="292">
        <f>IF(D$32=1, IF(AND('Small Signal'!$B$63&gt;=1,FCCM=0),U64+0,R64+0), 0)</f>
        <v>0</v>
      </c>
      <c r="O64" s="292">
        <f>IF(D$32=1, IF(AND('Small Signal'!$B$63&gt;=1,FCCM=0),V64,S64), 0)</f>
        <v>0</v>
      </c>
      <c r="P64" s="292">
        <f>IF(AND('Small Signal'!$B$63&gt;=1,FCCM=0),AE64+0,AB64+0)</f>
        <v>52.138197923613603</v>
      </c>
      <c r="Q64" s="292">
        <f>IF(AND('Small Signal'!$B$63&gt;=1,FCCM=0),AF64,AC64)</f>
        <v>97.687283288166554</v>
      </c>
      <c r="R64" s="292">
        <f t="shared" si="16"/>
        <v>18.449384805418301</v>
      </c>
      <c r="S64" s="292">
        <f t="shared" si="16"/>
        <v>-2.399079228058655</v>
      </c>
      <c r="T64" s="292" t="str">
        <f>IMDIV(IMSUM('Small Signal'!$B$76,IMPRODUCT(M64,'Small Signal'!$B$77)),IMSUM(IMPRODUCT('Small Signal'!$B$80,IMPOWER(M64,2)),IMSUM(IMPRODUCT(M64,'Small Signal'!$B$79),'Small Signal'!$B$78)))</f>
        <v>5.35515926692565-0.189960061836718i</v>
      </c>
      <c r="U64" s="292">
        <f t="shared" si="17"/>
        <v>14.580909070066635</v>
      </c>
      <c r="V64" s="292">
        <f t="shared" si="18"/>
        <v>-2.0315638978792538</v>
      </c>
      <c r="W64" s="292" t="str">
        <f>IMPRODUCT(IMDIV(IMSUM(IMPRODUCT(M64,'Small Signal'!$B$59*'Small Signal'!$B$6*'Small Signal'!$B$51*'Small Signal'!$B$7*'Small Signal'!$B$8),'Small Signal'!$B$59*'Small Signal'!$B$6*'Small Signal'!$B$51),IMSUM(IMSUM(IMPRODUCT(M64,('Small Signal'!$B$5+'Small Signal'!$B$6)*('Small Signal'!$B$58*'Small Signal'!$B$59)+'Small Signal'!$B$5*'Small Signal'!$B$59*('Small Signal'!$B$8+'Small Signal'!$B$9)+'Small Signal'!$B$6*'Small Signal'!$B$59*('Small Signal'!$B$8+'Small Signal'!$B$9)+'Small Signal'!$B$7*'Small Signal'!$B$8*('Small Signal'!$B$5+'Small Signal'!$B$6)),'Small Signal'!$B$6+'Small Signal'!$B$5),IMPRODUCT(IMPOWER(M64,2),'Small Signal'!$B$58*'Small Signal'!$B$59*'Small Signal'!$B$8*'Small Signal'!$B$7*('Small Signal'!$B$5+'Small Signal'!$B$6)+('Small Signal'!$B$5+'Small Signal'!$B$6)*('Small Signal'!$B$9*'Small Signal'!$B$8*'Small Signal'!$B$59*'Small Signal'!$B$7)))),-1)</f>
        <v>-8.44035950723932+47.6125702302707i</v>
      </c>
      <c r="X64" s="292">
        <f t="shared" si="3"/>
        <v>0</v>
      </c>
      <c r="Y64" s="292">
        <f t="shared" si="4"/>
        <v>0</v>
      </c>
      <c r="Z64" s="292" t="str">
        <f t="shared" si="5"/>
        <v>1.00000017450646+0.000591261982318771i</v>
      </c>
      <c r="AA64" s="292" t="str">
        <f t="shared" si="19"/>
        <v>-54.1073668485241+400.856758031874i</v>
      </c>
      <c r="AB64" s="289">
        <f t="shared" si="20"/>
        <v>52.138197923613603</v>
      </c>
      <c r="AC64" s="292">
        <f t="shared" si="21"/>
        <v>97.687283288166554</v>
      </c>
      <c r="AD64" s="292" t="str">
        <f t="shared" si="22"/>
        <v>-36.1549826462294+256.576227904702i</v>
      </c>
      <c r="AE64" s="289">
        <f t="shared" si="23"/>
        <v>48.269719154265758</v>
      </c>
      <c r="AF64" s="292">
        <f t="shared" si="6"/>
        <v>98.020921812031943</v>
      </c>
      <c r="AH64" s="292" t="str">
        <f t="shared" si="7"/>
        <v>0.00075-12.9267558646199i</v>
      </c>
      <c r="AI64" s="292">
        <f t="shared" si="8"/>
        <v>0.95</v>
      </c>
      <c r="AJ64" s="292" t="str">
        <f t="shared" si="9"/>
        <v>1000-1365065419.30386i</v>
      </c>
      <c r="AK64" s="292" t="str">
        <f t="shared" si="10"/>
        <v>0.944892698529425-0.0694407979100284i</v>
      </c>
      <c r="AL64" s="292" t="str">
        <f t="shared" si="24"/>
        <v>1.18810560160775-0.0000576379091997755i</v>
      </c>
      <c r="AM64" s="292" t="str">
        <f t="shared" si="11"/>
        <v>0.019+0.00161164437168289i</v>
      </c>
      <c r="AN64" s="292" t="str">
        <f t="shared" si="25"/>
        <v>8.35773151152006-0.350158188191909i</v>
      </c>
      <c r="AO64" s="292">
        <f t="shared" si="26"/>
        <v>18.449384805418301</v>
      </c>
      <c r="AP64" s="292">
        <f t="shared" si="27"/>
        <v>-2.399079228058655</v>
      </c>
      <c r="AR64" s="292" t="str">
        <f t="shared" si="12"/>
        <v>1.18810560160775-0.0000576379091997755i</v>
      </c>
      <c r="AS64" s="292" t="str">
        <f t="shared" si="28"/>
        <v>8.35773151152006-0.350158188191909i</v>
      </c>
      <c r="AT64" s="292">
        <f t="shared" si="29"/>
        <v>18.449384805418301</v>
      </c>
      <c r="AU64" s="292">
        <f t="shared" si="30"/>
        <v>-2.399079228058655</v>
      </c>
    </row>
    <row r="65" spans="1:47" x14ac:dyDescent="0.25">
      <c r="A65" s="295" t="s">
        <v>467</v>
      </c>
      <c r="B65" s="297">
        <f>Ri*((Vi_ss-Vo_ss)/Lo_ss)</f>
        <v>232954.54545454541</v>
      </c>
      <c r="C65" s="297">
        <f>Ri*((Vin_max-Vo_ss)/Lo_ss)</f>
        <v>232954.54545454541</v>
      </c>
      <c r="D65" s="292"/>
      <c r="F65" s="292">
        <v>63</v>
      </c>
      <c r="G65" s="293">
        <f t="shared" si="0"/>
        <v>168.61890751922783</v>
      </c>
      <c r="H65" s="293">
        <f t="shared" si="1"/>
        <v>168.57881372500071</v>
      </c>
      <c r="I65" s="294">
        <f t="shared" si="2"/>
        <v>1</v>
      </c>
      <c r="J65" s="292">
        <f t="shared" si="14"/>
        <v>1</v>
      </c>
      <c r="K65" s="292">
        <f t="shared" si="14"/>
        <v>1</v>
      </c>
      <c r="L65" s="292">
        <f>10^('Small Signal'!F65/30)</f>
        <v>125.89254117941677</v>
      </c>
      <c r="M65" s="292" t="str">
        <f t="shared" si="15"/>
        <v>791.006165022012i</v>
      </c>
      <c r="N65" s="292">
        <f>IF(D$32=1, IF(AND('Small Signal'!$B$63&gt;=1,FCCM=0),U65+0,R65+0), 0)</f>
        <v>0</v>
      </c>
      <c r="O65" s="292">
        <f>IF(D$32=1, IF(AND('Small Signal'!$B$63&gt;=1,FCCM=0),V65,S65), 0)</f>
        <v>0</v>
      </c>
      <c r="P65" s="292">
        <f>IF(AND('Small Signal'!$B$63&gt;=1,FCCM=0),AE65+0,AB65+0)</f>
        <v>51.484030170254726</v>
      </c>
      <c r="Q65" s="292">
        <f>IF(AND('Small Signal'!$B$63&gt;=1,FCCM=0),AF65,AC65)</f>
        <v>97.02593659898595</v>
      </c>
      <c r="R65" s="292">
        <f t="shared" si="16"/>
        <v>18.448198046552317</v>
      </c>
      <c r="S65" s="292">
        <f t="shared" si="16"/>
        <v>-2.5902376899294679</v>
      </c>
      <c r="T65" s="292" t="str">
        <f>IMDIV(IMSUM('Small Signal'!$B$76,IMPRODUCT(M65,'Small Signal'!$B$77)),IMSUM(IMPRODUCT('Small Signal'!$B$80,IMPOWER(M65,2)),IMSUM(IMPRODUCT(M65,'Small Signal'!$B$79),'Small Signal'!$B$78)))</f>
        <v>5.35411452830781-0.205076896267899i</v>
      </c>
      <c r="U65" s="292">
        <f t="shared" si="17"/>
        <v>14.580119978582985</v>
      </c>
      <c r="V65" s="292">
        <f t="shared" si="18"/>
        <v>-2.1935092126945355</v>
      </c>
      <c r="W65" s="292" t="str">
        <f>IMPRODUCT(IMDIV(IMSUM(IMPRODUCT(M65,'Small Signal'!$B$59*'Small Signal'!$B$6*'Small Signal'!$B$51*'Small Signal'!$B$7*'Small Signal'!$B$8),'Small Signal'!$B$59*'Small Signal'!$B$6*'Small Signal'!$B$51),IMSUM(IMSUM(IMPRODUCT(M65,('Small Signal'!$B$5+'Small Signal'!$B$6)*('Small Signal'!$B$58*'Small Signal'!$B$59)+'Small Signal'!$B$5*'Small Signal'!$B$59*('Small Signal'!$B$8+'Small Signal'!$B$9)+'Small Signal'!$B$6*'Small Signal'!$B$59*('Small Signal'!$B$8+'Small Signal'!$B$9)+'Small Signal'!$B$7*'Small Signal'!$B$8*('Small Signal'!$B$5+'Small Signal'!$B$6)),'Small Signal'!$B$6+'Small Signal'!$B$5),IMPRODUCT(IMPOWER(M65,2),'Small Signal'!$B$58*'Small Signal'!$B$59*'Small Signal'!$B$8*'Small Signal'!$B$7*('Small Signal'!$B$5+'Small Signal'!$B$6)+('Small Signal'!$B$5+'Small Signal'!$B$6)*('Small Signal'!$B$9*'Small Signal'!$B$8*'Small Signal'!$B$59*'Small Signal'!$B$7)))),-1)</f>
        <v>-7.4643269370202+44.2275345532635i</v>
      </c>
      <c r="X65" s="292">
        <f t="shared" si="3"/>
        <v>0</v>
      </c>
      <c r="Y65" s="292">
        <f t="shared" si="4"/>
        <v>0</v>
      </c>
      <c r="Z65" s="292" t="str">
        <f t="shared" si="5"/>
        <v>1.0000002034596+0.000638429993709454i</v>
      </c>
      <c r="AA65" s="292" t="str">
        <f t="shared" si="19"/>
        <v>-45.8874724906847+372.330003329033i</v>
      </c>
      <c r="AB65" s="289">
        <f t="shared" si="20"/>
        <v>51.484030170254726</v>
      </c>
      <c r="AC65" s="292">
        <f t="shared" si="21"/>
        <v>97.02593659898595</v>
      </c>
      <c r="AD65" s="292" t="str">
        <f t="shared" si="22"/>
        <v>-30.8948157817746+238.330046303837i</v>
      </c>
      <c r="AE65" s="289">
        <f t="shared" si="23"/>
        <v>47.61594856490575</v>
      </c>
      <c r="AF65" s="292">
        <f t="shared" si="6"/>
        <v>97.386085744479004</v>
      </c>
      <c r="AH65" s="292" t="str">
        <f t="shared" si="7"/>
        <v>0.00075-11.9717107001732i</v>
      </c>
      <c r="AI65" s="292">
        <f t="shared" si="8"/>
        <v>0.95</v>
      </c>
      <c r="AJ65" s="292" t="str">
        <f t="shared" si="9"/>
        <v>1000-1264212649.93829i</v>
      </c>
      <c r="AK65" s="292" t="str">
        <f t="shared" si="10"/>
        <v>0.944050634530356-0.0749135751551096i</v>
      </c>
      <c r="AL65" s="292" t="str">
        <f t="shared" si="24"/>
        <v>1.18810560114383-0.0000622359827381161i</v>
      </c>
      <c r="AM65" s="292" t="str">
        <f t="shared" si="11"/>
        <v>0.019+0.00174021356304843i</v>
      </c>
      <c r="AN65" s="292" t="str">
        <f t="shared" si="25"/>
        <v>8.35537507116357-0.377988811234229i</v>
      </c>
      <c r="AO65" s="292">
        <f t="shared" si="26"/>
        <v>18.448198046552317</v>
      </c>
      <c r="AP65" s="292">
        <f t="shared" si="27"/>
        <v>-2.5902376899294679</v>
      </c>
      <c r="AR65" s="292" t="str">
        <f t="shared" si="12"/>
        <v>1.18810560114383-0.0000622359827381161i</v>
      </c>
      <c r="AS65" s="292" t="str">
        <f t="shared" si="28"/>
        <v>8.35537507116357-0.377988811234229i</v>
      </c>
      <c r="AT65" s="292">
        <f t="shared" si="29"/>
        <v>18.448198046552317</v>
      </c>
      <c r="AU65" s="292">
        <f t="shared" si="30"/>
        <v>-2.5902376899294679</v>
      </c>
    </row>
    <row r="66" spans="1:47" x14ac:dyDescent="0.25">
      <c r="A66" s="295" t="s">
        <v>468</v>
      </c>
      <c r="B66" s="297">
        <f>Ri*((Vo_ss)/Lo_ss)</f>
        <v>107954.54545454544</v>
      </c>
      <c r="C66" s="292"/>
      <c r="D66" s="292"/>
      <c r="F66" s="292">
        <v>64</v>
      </c>
      <c r="G66" s="293">
        <f t="shared" ref="G66:G129" si="32">DEGREES((ATAN(10)+ATAN(L66/(fsw_ss/6))-ATAN(L66/(fsw_ss/6*Vo_ss/Vref))-ATAN(MAX(1/10,L66/(fsw_ss/2)))))+90</f>
        <v>168.62210600621506</v>
      </c>
      <c r="H66" s="293">
        <f t="shared" ref="H66:H129" si="33">DEGREES((ATAN(10)-ATAN(MAX(1/10,L66/(fsw_ss/2)))))+90</f>
        <v>168.57881372500071</v>
      </c>
      <c r="I66" s="294">
        <f t="shared" ref="I66:I129" si="34">IF(fz_cff&gt;fsw_ss/4,IF(AU66+H66&gt;65,1,0),IF(AU66+G66&gt;65,1,0))</f>
        <v>1</v>
      </c>
      <c r="J66" s="292">
        <f t="shared" si="14"/>
        <v>1</v>
      </c>
      <c r="K66" s="292">
        <f t="shared" si="14"/>
        <v>1</v>
      </c>
      <c r="L66" s="292">
        <f>10^('Small Signal'!F66/30)</f>
        <v>135.93563908785265</v>
      </c>
      <c r="M66" s="292" t="str">
        <f t="shared" si="15"/>
        <v>854.108810238863i</v>
      </c>
      <c r="N66" s="292">
        <f>IF(D$32=1, IF(AND('Small Signal'!$B$63&gt;=1,FCCM=0),U66+0,R66+0), 0)</f>
        <v>0</v>
      </c>
      <c r="O66" s="292">
        <f>IF(D$32=1, IF(AND('Small Signal'!$B$63&gt;=1,FCCM=0),V66,S66), 0)</f>
        <v>0</v>
      </c>
      <c r="P66" s="292">
        <f>IF(AND('Small Signal'!$B$63&gt;=1,FCCM=0),AE66+0,AB66+0)</f>
        <v>50.827947925427573</v>
      </c>
      <c r="Q66" s="292">
        <f>IF(AND('Small Signal'!$B$63&gt;=1,FCCM=0),AF66,AC66)</f>
        <v>96.4038506611451</v>
      </c>
      <c r="R66" s="292">
        <f t="shared" si="16"/>
        <v>18.446814795799519</v>
      </c>
      <c r="S66" s="292">
        <f t="shared" si="16"/>
        <v>-2.7965867936756066</v>
      </c>
      <c r="T66" s="292" t="str">
        <f>IMDIV(IMSUM('Small Signal'!$B$76,IMPRODUCT(M66,'Small Signal'!$B$77)),IMSUM(IMPRODUCT('Small Signal'!$B$80,IMPOWER(M66,2)),IMSUM(IMPRODUCT(M66,'Small Signal'!$B$79),'Small Signal'!$B$78)))</f>
        <v>5.35289692916724-0.221390049320281i</v>
      </c>
      <c r="U66" s="292">
        <f t="shared" ref="U66:U129" si="35">20*LOG(IMABS(T66))</f>
        <v>14.579200144380271</v>
      </c>
      <c r="V66" s="292">
        <f t="shared" ref="V66:V129" si="36">(180/PI())*IMARGUMENT(T66)</f>
        <v>-2.3683419233487011</v>
      </c>
      <c r="W66" s="292" t="str">
        <f>IMPRODUCT(IMDIV(IMSUM(IMPRODUCT(M66,'Small Signal'!$B$59*'Small Signal'!$B$6*'Small Signal'!$B$51*'Small Signal'!$B$7*'Small Signal'!$B$8),'Small Signal'!$B$59*'Small Signal'!$B$6*'Small Signal'!$B$51),IMSUM(IMSUM(IMPRODUCT(M66,('Small Signal'!$B$5+'Small Signal'!$B$6)*('Small Signal'!$B$58*'Small Signal'!$B$59)+'Small Signal'!$B$5*'Small Signal'!$B$59*('Small Signal'!$B$8+'Small Signal'!$B$9)+'Small Signal'!$B$6*'Small Signal'!$B$59*('Small Signal'!$B$8+'Small Signal'!$B$9)+'Small Signal'!$B$7*'Small Signal'!$B$8*('Small Signal'!$B$5+'Small Signal'!$B$6)),'Small Signal'!$B$6+'Small Signal'!$B$5),IMPRODUCT(IMPOWER(M66,2),'Small Signal'!$B$58*'Small Signal'!$B$59*'Small Signal'!$B$8*'Small Signal'!$B$7*('Small Signal'!$B$5+'Small Signal'!$B$6)+('Small Signal'!$B$5+'Small Signal'!$B$6)*('Small Signal'!$B$9*'Small Signal'!$B$8*'Small Signal'!$B$59*'Small Signal'!$B$7)))),-1)</f>
        <v>-6.62249848737064+41.0659058083308i</v>
      </c>
      <c r="X66" s="292">
        <f t="shared" ref="X66:X129" si="37">IF(D$33=1, 20*LOG(IMABS(Z66))+20*LOG(IMABS(W66)), 0)</f>
        <v>0</v>
      </c>
      <c r="Y66" s="292">
        <f t="shared" ref="Y66:Y129" si="38">IF(D$33=1, (180/PI())*IMARGUMENT(Z66)+(180/PI())*IMARGUMENT(W66), 0)</f>
        <v>0</v>
      </c>
      <c r="Z66" s="292" t="str">
        <f t="shared" ref="Z66:Z129" si="39">IMDIV(COMPLEX(1,IMABS(M66)/(2*PI()*fz_cff)),COMPLEX(1,IMABS(M66)/(2*PI()*fp_cff)))</f>
        <v>1.00000023721647+0.000689360838476398i</v>
      </c>
      <c r="AA66" s="292" t="str">
        <f t="shared" ref="AA66:AA129" si="40">IMPRODUCT(AN66,W66,Z66)</f>
        <v>-38.7981815352443+345.683853095359i</v>
      </c>
      <c r="AB66" s="289">
        <f t="shared" si="20"/>
        <v>50.827947925427573</v>
      </c>
      <c r="AC66" s="292">
        <f t="shared" si="21"/>
        <v>96.4038506611451</v>
      </c>
      <c r="AD66" s="292" t="str">
        <f t="shared" ref="AD66:AD129" si="41">IMPRODUCT(T66,W66)</f>
        <v>-26.3579689041726+221.287716361628i</v>
      </c>
      <c r="AE66" s="289">
        <f t="shared" ref="AE66:AE129" si="42">20*LOG(IMABS(AD66))</f>
        <v>46.960329149726832</v>
      </c>
      <c r="AF66" s="292">
        <f t="shared" ref="AF66:AF129" si="43">(180/PI())*IMARGUMENT(AD66)</f>
        <v>96.792598080491771</v>
      </c>
      <c r="AH66" s="292" t="str">
        <f t="shared" ref="AH66:AH129" si="44">IMSUM(ESR_ss,IMDIV(1,IMPRODUCT(Co_ss,M66)))</f>
        <v>0.00075-11.0872254871702i</v>
      </c>
      <c r="AI66" s="292">
        <f t="shared" ref="AI66:AI129" si="45">Ro</f>
        <v>0.95</v>
      </c>
      <c r="AJ66" s="292" t="str">
        <f t="shared" ref="AJ66:AJ129" si="46">IMSUM(ESR2_ss,IMDIV(1,IMPRODUCT(Co2_ss,M66)))</f>
        <v>1000-1170811011.44518i</v>
      </c>
      <c r="AK66" s="292" t="str">
        <f t="shared" ref="AK66:AK129" si="47">IMDIV(1,(IMSUM(IMDIV(1,AH66),IMDIV(1,AI66),IMDIV(1,AJ66))))</f>
        <v>0.943070754549365-0.0808057912602788i</v>
      </c>
      <c r="AL66" s="292" t="str">
        <f t="shared" ref="AL66:AL129" si="48">IMDIV(IMPRODUCT(Re,IMDIV(1,IMPRODUCT(Ce,M66))),IMSUM(Re,IMDIV(1,IMPRODUCT(Ce,M66))))</f>
        <v>1.18810560060294-0.0000672008683330801i</v>
      </c>
      <c r="AM66" s="292" t="str">
        <f t="shared" ref="AM66:AM129" si="49">IMSUM(Rdc_ss,IMPRODUCT(Lo_ss,M66))</f>
        <v>0.019+0.0018790393825255i</v>
      </c>
      <c r="AN66" s="292" t="str">
        <f t="shared" ref="AN66:AN129" si="50">IMDIV(IMPRODUCT(AK66,AL66),IMPRODUCT(Ri,IMSUM(AL66,AK66,AM66)))</f>
        <v>8.35262928713818-0.408012955765947i</v>
      </c>
      <c r="AO66" s="292">
        <f t="shared" si="26"/>
        <v>18.446814795799519</v>
      </c>
      <c r="AP66" s="292">
        <f t="shared" si="27"/>
        <v>-2.7965867936756066</v>
      </c>
      <c r="AR66" s="292" t="str">
        <f t="shared" ref="AR66:AR129" si="51">IMDIV(IMPRODUCT(Re_vimax,IMDIV(1,IMPRODUCT(Ce,M66))),IMSUM(Re_vimax,IMDIV(1,IMPRODUCT(Ce,M66))))</f>
        <v>1.18810560060294-0.0000672008683330801i</v>
      </c>
      <c r="AS66" s="292" t="str">
        <f t="shared" ref="AS66:AS129" si="52">IMDIV(IMPRODUCT(AK66,AR66),IMPRODUCT(Ri,IMSUM(AR66,AK66,AM66)))</f>
        <v>8.35262928713818-0.408012955765947i</v>
      </c>
      <c r="AT66" s="292">
        <f t="shared" si="29"/>
        <v>18.446814795799519</v>
      </c>
      <c r="AU66" s="292">
        <f t="shared" si="30"/>
        <v>-2.7965867936756066</v>
      </c>
    </row>
    <row r="67" spans="1:47" x14ac:dyDescent="0.25">
      <c r="A67" s="295" t="s">
        <v>469</v>
      </c>
      <c r="B67" s="299">
        <f>B56/B66</f>
        <v>4.7363586702523239</v>
      </c>
      <c r="C67" s="292"/>
      <c r="D67" s="292"/>
      <c r="F67" s="292">
        <v>65</v>
      </c>
      <c r="G67" s="293">
        <f t="shared" si="32"/>
        <v>168.62555965251457</v>
      </c>
      <c r="H67" s="293">
        <f t="shared" si="33"/>
        <v>168.57881372500071</v>
      </c>
      <c r="I67" s="294">
        <f t="shared" si="34"/>
        <v>1</v>
      </c>
      <c r="J67" s="292">
        <f t="shared" ref="J67:K130" si="53">IF(P67&gt;0,1,0)</f>
        <v>1</v>
      </c>
      <c r="K67" s="292">
        <f t="shared" si="53"/>
        <v>1</v>
      </c>
      <c r="L67" s="292">
        <f>10^('Small Signal'!F67/30)</f>
        <v>146.77992676220697</v>
      </c>
      <c r="M67" s="292" t="str">
        <f t="shared" ref="M67:M130" si="54">COMPLEX(0,L67*2*PI())</f>
        <v>922.245479221195i</v>
      </c>
      <c r="N67" s="292">
        <f>IF(D$32=1, IF(AND('Small Signal'!$B$63&gt;=1,FCCM=0),U67+0,R67+0), 0)</f>
        <v>0</v>
      </c>
      <c r="O67" s="292">
        <f>IF(D$32=1, IF(AND('Small Signal'!$B$63&gt;=1,FCCM=0),V67,S67), 0)</f>
        <v>0</v>
      </c>
      <c r="P67" s="292">
        <f>IF(AND('Small Signal'!$B$63&gt;=1,FCCM=0),AE67+0,AB67+0)</f>
        <v>50.170187892787936</v>
      </c>
      <c r="Q67" s="292">
        <f>IF(AND('Small Signal'!$B$63&gt;=1,FCCM=0),AF67,AC67)</f>
        <v>95.817813987302998</v>
      </c>
      <c r="R67" s="292">
        <f t="shared" ref="R67:S130" si="55">AO67</f>
        <v>18.445202598767022</v>
      </c>
      <c r="S67" s="292">
        <f t="shared" si="55"/>
        <v>-3.0193231318793927</v>
      </c>
      <c r="T67" s="292" t="str">
        <f>IMDIV(IMSUM('Small Signal'!$B$76,IMPRODUCT(M67,'Small Signal'!$B$77)),IMSUM(IMPRODUCT('Small Signal'!$B$80,IMPOWER(M67,2)),IMSUM(IMPRODUCT(M67,'Small Signal'!$B$79),'Small Signal'!$B$78)))</f>
        <v>5.35147796033211-0.238992472802181i</v>
      </c>
      <c r="U67" s="292">
        <f t="shared" si="35"/>
        <v>14.578127939552205</v>
      </c>
      <c r="V67" s="292">
        <f t="shared" si="36"/>
        <v>-2.5570819024388327</v>
      </c>
      <c r="W67" s="292" t="str">
        <f>IMPRODUCT(IMDIV(IMSUM(IMPRODUCT(M67,'Small Signal'!$B$59*'Small Signal'!$B$6*'Small Signal'!$B$51*'Small Signal'!$B$7*'Small Signal'!$B$8),'Small Signal'!$B$59*'Small Signal'!$B$6*'Small Signal'!$B$51),IMSUM(IMSUM(IMPRODUCT(M67,('Small Signal'!$B$5+'Small Signal'!$B$6)*('Small Signal'!$B$58*'Small Signal'!$B$59)+'Small Signal'!$B$5*'Small Signal'!$B$59*('Small Signal'!$B$8+'Small Signal'!$B$9)+'Small Signal'!$B$6*'Small Signal'!$B$59*('Small Signal'!$B$8+'Small Signal'!$B$9)+'Small Signal'!$B$7*'Small Signal'!$B$8*('Small Signal'!$B$5+'Small Signal'!$B$6)),'Small Signal'!$B$6+'Small Signal'!$B$5),IMPRODUCT(IMPOWER(M67,2),'Small Signal'!$B$58*'Small Signal'!$B$59*'Small Signal'!$B$8*'Small Signal'!$B$7*('Small Signal'!$B$5+'Small Signal'!$B$6)+('Small Signal'!$B$5+'Small Signal'!$B$6)*('Small Signal'!$B$9*'Small Signal'!$B$8*'Small Signal'!$B$59*'Small Signal'!$B$7)))),-1)</f>
        <v>-5.89698898283073+38.1164821363864i</v>
      </c>
      <c r="X67" s="292">
        <f t="shared" si="37"/>
        <v>0</v>
      </c>
      <c r="Y67" s="292">
        <f t="shared" si="38"/>
        <v>0</v>
      </c>
      <c r="Z67" s="292" t="str">
        <f t="shared" si="39"/>
        <v>1.00000027657409+0.000744354696644422i</v>
      </c>
      <c r="AA67" s="292" t="str">
        <f t="shared" si="40"/>
        <v>-32.6888804860191+320.823865811737i</v>
      </c>
      <c r="AB67" s="289">
        <f t="shared" ref="AB67:AB130" si="56">20*LOG(IMABS(AA67))</f>
        <v>50.170187892787936</v>
      </c>
      <c r="AC67" s="292">
        <f t="shared" ref="AC67:AC130" si="57">(180/PI())*IMARGUMENT(AA67)</f>
        <v>95.817813987302998</v>
      </c>
      <c r="AD67" s="292" t="str">
        <f t="shared" si="41"/>
        <v>-22.4480542536448+205.388850057358i</v>
      </c>
      <c r="AE67" s="289">
        <f t="shared" si="42"/>
        <v>46.303108425014386</v>
      </c>
      <c r="AF67" s="292">
        <f t="shared" si="43"/>
        <v>96.237406853837186</v>
      </c>
      <c r="AH67" s="292" t="str">
        <f t="shared" si="44"/>
        <v>0.00075-10.2680871666552i</v>
      </c>
      <c r="AI67" s="292">
        <f t="shared" si="45"/>
        <v>0.95</v>
      </c>
      <c r="AJ67" s="292" t="str">
        <f t="shared" si="46"/>
        <v>1000-1084310004.79879i</v>
      </c>
      <c r="AK67" s="292" t="str">
        <f t="shared" si="47"/>
        <v>0.94193086567425-0.0871465409759616i</v>
      </c>
      <c r="AL67" s="292" t="str">
        <f t="shared" si="48"/>
        <v>1.1881055999723-0.0000725618284743991i</v>
      </c>
      <c r="AM67" s="292" t="str">
        <f t="shared" si="49"/>
        <v>0.019+0.00202894005428663i</v>
      </c>
      <c r="AN67" s="292" t="str">
        <f t="shared" si="50"/>
        <v>8.34943014309456-0.440398740370687i</v>
      </c>
      <c r="AO67" s="292">
        <f t="shared" ref="AO67:AO130" si="58">20*LOG(IMABS(AN67))</f>
        <v>18.445202598767022</v>
      </c>
      <c r="AP67" s="292">
        <f t="shared" ref="AP67:AP130" si="59">(180/PI())*IMARGUMENT(AN67)</f>
        <v>-3.0193231318793927</v>
      </c>
      <c r="AR67" s="292" t="str">
        <f t="shared" si="51"/>
        <v>1.1881055999723-0.0000725618284743991i</v>
      </c>
      <c r="AS67" s="292" t="str">
        <f t="shared" si="52"/>
        <v>8.34943014309456-0.440398740370687i</v>
      </c>
      <c r="AT67" s="292">
        <f t="shared" ref="AT67:AT130" si="60">20*LOG(IMABS(AS67))</f>
        <v>18.445202598767022</v>
      </c>
      <c r="AU67" s="292">
        <f t="shared" ref="AU67:AU130" si="61">(180/PI())*IMARGUMENT(AS67)</f>
        <v>-3.0193231318793927</v>
      </c>
    </row>
    <row r="68" spans="1:47" x14ac:dyDescent="0.25">
      <c r="A68" s="295"/>
      <c r="B68" s="292"/>
      <c r="C68" s="292"/>
      <c r="D68" s="292"/>
      <c r="F68" s="292">
        <v>66</v>
      </c>
      <c r="G68" s="293">
        <f t="shared" si="32"/>
        <v>168.62928881337081</v>
      </c>
      <c r="H68" s="293">
        <f t="shared" si="33"/>
        <v>168.57881372500071</v>
      </c>
      <c r="I68" s="294">
        <f t="shared" si="34"/>
        <v>1</v>
      </c>
      <c r="J68" s="292">
        <f t="shared" si="53"/>
        <v>1</v>
      </c>
      <c r="K68" s="292">
        <f t="shared" si="53"/>
        <v>1</v>
      </c>
      <c r="L68" s="292">
        <f>10^('Small Signal'!F68/30)</f>
        <v>158.48931924611153</v>
      </c>
      <c r="M68" s="292" t="str">
        <f t="shared" si="54"/>
        <v>995.817762032063i</v>
      </c>
      <c r="N68" s="292">
        <f>IF(D$32=1, IF(AND('Small Signal'!$B$63&gt;=1,FCCM=0),U68+0,R68+0), 0)</f>
        <v>0</v>
      </c>
      <c r="O68" s="292">
        <f>IF(D$32=1, IF(AND('Small Signal'!$B$63&gt;=1,FCCM=0),V68,S68), 0)</f>
        <v>0</v>
      </c>
      <c r="P68" s="292">
        <f>IF(AND('Small Signal'!$B$63&gt;=1,FCCM=0),AE68+0,AB68+0)</f>
        <v>49.510950677938403</v>
      </c>
      <c r="Q68" s="292">
        <f>IF(AND('Small Signal'!$B$63&gt;=1,FCCM=0),AF68,AC68)</f>
        <v>95.264741987498496</v>
      </c>
      <c r="R68" s="292">
        <f t="shared" si="55"/>
        <v>18.443323668827734</v>
      </c>
      <c r="S68" s="292">
        <f t="shared" si="55"/>
        <v>-3.2597348308053578</v>
      </c>
      <c r="T68" s="292" t="str">
        <f>IMDIV(IMSUM('Small Signal'!$B$76,IMPRODUCT(M68,'Small Signal'!$B$77)),IMSUM(IMPRODUCT('Small Signal'!$B$80,IMPOWER(M68,2)),IMSUM(IMPRODUCT(M68,'Small Signal'!$B$79),'Small Signal'!$B$78)))</f>
        <v>5.34982444371383-0.257983894409729i</v>
      </c>
      <c r="U68" s="292">
        <f t="shared" si="35"/>
        <v>14.576878170819256</v>
      </c>
      <c r="V68" s="292">
        <f t="shared" si="36"/>
        <v>-2.7608282622328493</v>
      </c>
      <c r="W68" s="292" t="str">
        <f>IMPRODUCT(IMDIV(IMSUM(IMPRODUCT(M68,'Small Signal'!$B$59*'Small Signal'!$B$6*'Small Signal'!$B$51*'Small Signal'!$B$7*'Small Signal'!$B$8),'Small Signal'!$B$59*'Small Signal'!$B$6*'Small Signal'!$B$51),IMSUM(IMSUM(IMPRODUCT(M68,('Small Signal'!$B$5+'Small Signal'!$B$6)*('Small Signal'!$B$58*'Small Signal'!$B$59)+'Small Signal'!$B$5*'Small Signal'!$B$59*('Small Signal'!$B$8+'Small Signal'!$B$9)+'Small Signal'!$B$6*'Small Signal'!$B$59*('Small Signal'!$B$8+'Small Signal'!$B$9)+'Small Signal'!$B$7*'Small Signal'!$B$8*('Small Signal'!$B$5+'Small Signal'!$B$6)),'Small Signal'!$B$6+'Small Signal'!$B$5),IMPRODUCT(IMPOWER(M68,2),'Small Signal'!$B$58*'Small Signal'!$B$59*'Small Signal'!$B$8*'Small Signal'!$B$7*('Small Signal'!$B$5+'Small Signal'!$B$6)+('Small Signal'!$B$5+'Small Signal'!$B$6)*('Small Signal'!$B$9*'Small Signal'!$B$8*'Small Signal'!$B$59*'Small Signal'!$B$7)))),-1)</f>
        <v>-5.27214762664425+35.3678561433309i</v>
      </c>
      <c r="X68" s="292">
        <f t="shared" si="37"/>
        <v>0</v>
      </c>
      <c r="Y68" s="292">
        <f t="shared" si="38"/>
        <v>0</v>
      </c>
      <c r="Z68" s="292" t="str">
        <f t="shared" si="39"/>
        <v>1.00000032246171+0.000803735694988343i</v>
      </c>
      <c r="AA68" s="292" t="str">
        <f t="shared" si="40"/>
        <v>-27.4277814276398+297.653862611029i</v>
      </c>
      <c r="AB68" s="289">
        <f t="shared" si="56"/>
        <v>49.510950677938403</v>
      </c>
      <c r="AC68" s="292">
        <f t="shared" si="57"/>
        <v>95.264741987498496</v>
      </c>
      <c r="AD68" s="292" t="str">
        <f t="shared" si="41"/>
        <v>-19.0807269791097+190.571950493971i</v>
      </c>
      <c r="AE68" s="289">
        <f t="shared" si="42"/>
        <v>45.644499573562705</v>
      </c>
      <c r="AF68" s="292">
        <f t="shared" si="43"/>
        <v>95.717597917669835</v>
      </c>
      <c r="AH68" s="292" t="str">
        <f t="shared" si="44"/>
        <v>0.00075-9.50946782709832i</v>
      </c>
      <c r="AI68" s="292">
        <f t="shared" si="45"/>
        <v>0.95</v>
      </c>
      <c r="AJ68" s="292" t="str">
        <f t="shared" si="46"/>
        <v>1000-1004199802.54158i</v>
      </c>
      <c r="AK68" s="292" t="str">
        <f t="shared" si="47"/>
        <v>0.940605329956595-0.093966144285368i</v>
      </c>
      <c r="AL68" s="292" t="str">
        <f t="shared" si="48"/>
        <v>1.18810559923703-0.0000783504600712522i</v>
      </c>
      <c r="AM68" s="292" t="str">
        <f t="shared" si="49"/>
        <v>0.019+0.00219079907647054i</v>
      </c>
      <c r="AN68" s="292" t="str">
        <f t="shared" si="50"/>
        <v>8.34570320913247-0.475325933206583i</v>
      </c>
      <c r="AO68" s="292">
        <f t="shared" si="58"/>
        <v>18.443323668827734</v>
      </c>
      <c r="AP68" s="292">
        <f t="shared" si="59"/>
        <v>-3.2597348308053578</v>
      </c>
      <c r="AR68" s="292" t="str">
        <f t="shared" si="51"/>
        <v>1.18810559923703-0.0000783504600712522i</v>
      </c>
      <c r="AS68" s="292" t="str">
        <f t="shared" si="52"/>
        <v>8.34570320913247-0.475325933206583i</v>
      </c>
      <c r="AT68" s="292">
        <f t="shared" si="60"/>
        <v>18.443323668827734</v>
      </c>
      <c r="AU68" s="292">
        <f t="shared" si="61"/>
        <v>-3.2597348308053578</v>
      </c>
    </row>
    <row r="69" spans="1:47" x14ac:dyDescent="0.25">
      <c r="A69" s="295" t="s">
        <v>470</v>
      </c>
      <c r="B69" s="292">
        <f>B3/B4</f>
        <v>0.95</v>
      </c>
      <c r="C69" s="292"/>
      <c r="D69" s="292"/>
      <c r="F69" s="292">
        <v>67</v>
      </c>
      <c r="G69" s="293">
        <f t="shared" si="32"/>
        <v>168.63331546783721</v>
      </c>
      <c r="H69" s="293">
        <f t="shared" si="33"/>
        <v>168.57881372500071</v>
      </c>
      <c r="I69" s="294">
        <f t="shared" si="34"/>
        <v>1</v>
      </c>
      <c r="J69" s="292">
        <f t="shared" si="53"/>
        <v>1</v>
      </c>
      <c r="K69" s="292">
        <f t="shared" si="53"/>
        <v>1</v>
      </c>
      <c r="L69" s="292">
        <f>10^('Small Signal'!F69/30)</f>
        <v>171.13283041617817</v>
      </c>
      <c r="M69" s="292" t="str">
        <f t="shared" si="54"/>
        <v>1075.25928564699i</v>
      </c>
      <c r="N69" s="292">
        <f>IF(D$32=1, IF(AND('Small Signal'!$B$63&gt;=1,FCCM=0),U69+0,R69+0), 0)</f>
        <v>0</v>
      </c>
      <c r="O69" s="292">
        <f>IF(D$32=1, IF(AND('Small Signal'!$B$63&gt;=1,FCCM=0),V69,S69), 0)</f>
        <v>0</v>
      </c>
      <c r="P69" s="292">
        <f>IF(AND('Small Signal'!$B$63&gt;=1,FCCM=0),AE69+0,AB69+0)</f>
        <v>48.850404650814355</v>
      </c>
      <c r="Q69" s="292">
        <f>IF(AND('Small Signal'!$B$63&gt;=1,FCCM=0),AF69,AC69)</f>
        <v>94.741676982487022</v>
      </c>
      <c r="R69" s="292">
        <f t="shared" si="55"/>
        <v>18.441134021141195</v>
      </c>
      <c r="S69" s="292">
        <f t="shared" si="55"/>
        <v>-3.5192078466484493</v>
      </c>
      <c r="T69" s="292" t="str">
        <f>IMDIV(IMSUM('Small Signal'!$B$76,IMPRODUCT(M69,'Small Signal'!$B$77)),IMSUM(IMPRODUCT('Small Signal'!$B$80,IMPOWER(M69,2)),IMSUM(IMPRODUCT(M69,'Small Signal'!$B$79),'Small Signal'!$B$78)))</f>
        <v>5.34789777950683-0.278471194588792i</v>
      </c>
      <c r="U69" s="292">
        <f t="shared" si="35"/>
        <v>14.575421496215302</v>
      </c>
      <c r="V69" s="292">
        <f t="shared" si="36"/>
        <v>-2.9807651305846119</v>
      </c>
      <c r="W69" s="292" t="str">
        <f>IMPRODUCT(IMDIV(IMSUM(IMPRODUCT(M69,'Small Signal'!$B$59*'Small Signal'!$B$6*'Small Signal'!$B$51*'Small Signal'!$B$7*'Small Signal'!$B$8),'Small Signal'!$B$59*'Small Signal'!$B$6*'Small Signal'!$B$51),IMSUM(IMSUM(IMPRODUCT(M69,('Small Signal'!$B$5+'Small Signal'!$B$6)*('Small Signal'!$B$58*'Small Signal'!$B$59)+'Small Signal'!$B$5*'Small Signal'!$B$59*('Small Signal'!$B$8+'Small Signal'!$B$9)+'Small Signal'!$B$6*'Small Signal'!$B$59*('Small Signal'!$B$8+'Small Signal'!$B$9)+'Small Signal'!$B$7*'Small Signal'!$B$8*('Small Signal'!$B$5+'Small Signal'!$B$6)),'Small Signal'!$B$6+'Small Signal'!$B$5),IMPRODUCT(IMPOWER(M69,2),'Small Signal'!$B$58*'Small Signal'!$B$59*'Small Signal'!$B$8*'Small Signal'!$B$7*('Small Signal'!$B$5+'Small Signal'!$B$6)+('Small Signal'!$B$5+'Small Signal'!$B$6)*('Small Signal'!$B$9*'Small Signal'!$B$8*'Small Signal'!$B$59*'Small Signal'!$B$7)))),-1)</f>
        <v>-4.73431864480367+32.8086247340152i</v>
      </c>
      <c r="X69" s="292">
        <f t="shared" si="37"/>
        <v>0</v>
      </c>
      <c r="Y69" s="292">
        <f t="shared" si="38"/>
        <v>0</v>
      </c>
      <c r="Z69" s="292" t="str">
        <f t="shared" si="39"/>
        <v>1.00000037596274+0.000867853817347444i</v>
      </c>
      <c r="AA69" s="292" t="str">
        <f t="shared" si="40"/>
        <v>-22.8999067909898+276.077694453381i</v>
      </c>
      <c r="AB69" s="289">
        <f t="shared" si="56"/>
        <v>48.850404650814355</v>
      </c>
      <c r="AC69" s="292">
        <f t="shared" si="57"/>
        <v>94.741676982487022</v>
      </c>
      <c r="AD69" s="292" t="str">
        <f t="shared" si="41"/>
        <v>-16.1823952455267+176.775542732295i</v>
      </c>
      <c r="AE69" s="289">
        <f t="shared" si="42"/>
        <v>44.984685589345048</v>
      </c>
      <c r="AF69" s="292">
        <f t="shared" si="43"/>
        <v>95.230395368760654</v>
      </c>
      <c r="AH69" s="292" t="str">
        <f t="shared" si="44"/>
        <v>0.00075-8.80689624921398i</v>
      </c>
      <c r="AI69" s="292">
        <f t="shared" si="45"/>
        <v>0.95</v>
      </c>
      <c r="AJ69" s="292" t="str">
        <f t="shared" si="46"/>
        <v>1000-930008243.916995i</v>
      </c>
      <c r="AK69" s="292" t="str">
        <f t="shared" si="47"/>
        <v>0.93906457534837-0.101295976268617i</v>
      </c>
      <c r="AL69" s="292" t="str">
        <f t="shared" si="48"/>
        <v>1.18810559837977-0.0000846008806808452i</v>
      </c>
      <c r="AM69" s="292" t="str">
        <f t="shared" si="49"/>
        <v>0.019+0.00236557042842338i</v>
      </c>
      <c r="AN69" s="292" t="str">
        <f t="shared" si="50"/>
        <v>8.34136198795559-0.512986432851085i</v>
      </c>
      <c r="AO69" s="292">
        <f t="shared" si="58"/>
        <v>18.441134021141195</v>
      </c>
      <c r="AP69" s="292">
        <f t="shared" si="59"/>
        <v>-3.5192078466484493</v>
      </c>
      <c r="AR69" s="292" t="str">
        <f t="shared" si="51"/>
        <v>1.18810559837977-0.0000846008806808452i</v>
      </c>
      <c r="AS69" s="292" t="str">
        <f t="shared" si="52"/>
        <v>8.34136198795559-0.512986432851085i</v>
      </c>
      <c r="AT69" s="292">
        <f t="shared" si="60"/>
        <v>18.441134021141195</v>
      </c>
      <c r="AU69" s="292">
        <f t="shared" si="61"/>
        <v>-3.5192078466484493</v>
      </c>
    </row>
    <row r="70" spans="1:47" x14ac:dyDescent="0.25">
      <c r="A70" s="295" t="s">
        <v>471</v>
      </c>
      <c r="B70" s="292">
        <f>(B3*B4*B12*2*B11/(B2*(B2-B3)))^0.5</f>
        <v>0.78601725065280215</v>
      </c>
      <c r="C70" s="292"/>
      <c r="D70" s="292"/>
      <c r="F70" s="292">
        <v>68</v>
      </c>
      <c r="G70" s="293">
        <f t="shared" si="32"/>
        <v>168.637663348307</v>
      </c>
      <c r="H70" s="293">
        <f t="shared" si="33"/>
        <v>168.57881372500071</v>
      </c>
      <c r="I70" s="294">
        <f t="shared" si="34"/>
        <v>1</v>
      </c>
      <c r="J70" s="292">
        <f t="shared" si="53"/>
        <v>1</v>
      </c>
      <c r="K70" s="292">
        <f t="shared" si="53"/>
        <v>1</v>
      </c>
      <c r="L70" s="292">
        <f>10^('Small Signal'!F70/30)</f>
        <v>184.7849797422291</v>
      </c>
      <c r="M70" s="292" t="str">
        <f t="shared" si="54"/>
        <v>1161.03826970385i</v>
      </c>
      <c r="N70" s="292">
        <f>IF(D$32=1, IF(AND('Small Signal'!$B$63&gt;=1,FCCM=0),U70+0,R70+0), 0)</f>
        <v>0</v>
      </c>
      <c r="O70" s="292">
        <f>IF(D$32=1, IF(AND('Small Signal'!$B$63&gt;=1,FCCM=0),V70,S70), 0)</f>
        <v>0</v>
      </c>
      <c r="P70" s="292">
        <f>IF(AND('Small Signal'!$B$63&gt;=1,FCCM=0),AE70+0,AB70+0)</f>
        <v>48.188689281048227</v>
      </c>
      <c r="Q70" s="292">
        <f>IF(AND('Small Signal'!$B$63&gt;=1,FCCM=0),AF70,AC70)</f>
        <v>94.245785827586985</v>
      </c>
      <c r="R70" s="292">
        <f t="shared" si="55"/>
        <v>18.438582469651344</v>
      </c>
      <c r="S70" s="292">
        <f t="shared" si="55"/>
        <v>-3.79923250842032</v>
      </c>
      <c r="T70" s="292" t="str">
        <f>IMDIV(IMSUM('Small Signal'!$B$76,IMPRODUCT(M70,'Small Signal'!$B$77)),IMSUM(IMPRODUCT('Small Signal'!$B$80,IMPOWER(M70,2)),IMSUM(IMPRODUCT(M70,'Small Signal'!$B$79),'Small Signal'!$B$78)))</f>
        <v>5.34565307625412-0.300568771942837i</v>
      </c>
      <c r="U70" s="292">
        <f t="shared" si="35"/>
        <v>14.573723747931382</v>
      </c>
      <c r="V70" s="292">
        <f t="shared" si="36"/>
        <v>-3.2181677481139062</v>
      </c>
      <c r="W70" s="292" t="str">
        <f>IMPRODUCT(IMDIV(IMSUM(IMPRODUCT(M70,'Small Signal'!$B$59*'Small Signal'!$B$6*'Small Signal'!$B$51*'Small Signal'!$B$7*'Small Signal'!$B$8),'Small Signal'!$B$59*'Small Signal'!$B$6*'Small Signal'!$B$51),IMSUM(IMSUM(IMPRODUCT(M70,('Small Signal'!$B$5+'Small Signal'!$B$6)*('Small Signal'!$B$58*'Small Signal'!$B$59)+'Small Signal'!$B$5*'Small Signal'!$B$59*('Small Signal'!$B$8+'Small Signal'!$B$9)+'Small Signal'!$B$6*'Small Signal'!$B$59*('Small Signal'!$B$8+'Small Signal'!$B$9)+'Small Signal'!$B$7*'Small Signal'!$B$8*('Small Signal'!$B$5+'Small Signal'!$B$6)),'Small Signal'!$B$6+'Small Signal'!$B$5),IMPRODUCT(IMPOWER(M70,2),'Small Signal'!$B$58*'Small Signal'!$B$59*'Small Signal'!$B$8*'Small Signal'!$B$7*('Small Signal'!$B$5+'Small Signal'!$B$6)+('Small Signal'!$B$5+'Small Signal'!$B$6)*('Small Signal'!$B$9*'Small Signal'!$B$8*'Small Signal'!$B$59*'Small Signal'!$B$7)))),-1)</f>
        <v>-4.27161648580068+30.4275488814794i</v>
      </c>
      <c r="X70" s="292">
        <f t="shared" si="37"/>
        <v>0</v>
      </c>
      <c r="Y70" s="292">
        <f t="shared" si="38"/>
        <v>0</v>
      </c>
      <c r="Z70" s="292" t="str">
        <f t="shared" si="39"/>
        <v>1.00000043834036+0.000937086967324729i</v>
      </c>
      <c r="AA70" s="292" t="str">
        <f t="shared" si="40"/>
        <v>-19.0051968504059+256.000587644628i</v>
      </c>
      <c r="AB70" s="289">
        <f t="shared" si="56"/>
        <v>48.188689281048227</v>
      </c>
      <c r="AC70" s="292">
        <f t="shared" si="57"/>
        <v>94.245785827586985</v>
      </c>
      <c r="AD70" s="292" t="str">
        <f t="shared" si="41"/>
        <v>-13.6890088073613+163.939034802501i</v>
      </c>
      <c r="AE70" s="289">
        <f t="shared" si="42"/>
        <v>44.323822938279363</v>
      </c>
      <c r="AF70" s="292">
        <f t="shared" si="43"/>
        <v>94.773159498879892</v>
      </c>
      <c r="AH70" s="292" t="str">
        <f t="shared" si="44"/>
        <v>0.00075-8.15623155308429i</v>
      </c>
      <c r="AI70" s="292">
        <f t="shared" si="45"/>
        <v>0.95</v>
      </c>
      <c r="AJ70" s="292" t="str">
        <f t="shared" si="46"/>
        <v>1000-861298052.005705i</v>
      </c>
      <c r="AK70" s="292" t="str">
        <f t="shared" si="47"/>
        <v>0.937274553621369-0.109168221192889i</v>
      </c>
      <c r="AL70" s="292" t="str">
        <f t="shared" si="48"/>
        <v>1.18810559738028-0.0000913499295933782i</v>
      </c>
      <c r="AM70" s="292" t="str">
        <f t="shared" si="49"/>
        <v>0.019+0.00255428419334847i</v>
      </c>
      <c r="AN70" s="292" t="str">
        <f t="shared" si="50"/>
        <v>8.33630601277344-0.553584674965535i</v>
      </c>
      <c r="AO70" s="292">
        <f t="shared" si="58"/>
        <v>18.438582469651344</v>
      </c>
      <c r="AP70" s="292">
        <f t="shared" si="59"/>
        <v>-3.79923250842032</v>
      </c>
      <c r="AR70" s="292" t="str">
        <f t="shared" si="51"/>
        <v>1.18810559738028-0.0000913499295933782i</v>
      </c>
      <c r="AS70" s="292" t="str">
        <f t="shared" si="52"/>
        <v>8.33630601277344-0.553584674965535i</v>
      </c>
      <c r="AT70" s="292">
        <f t="shared" si="60"/>
        <v>18.438582469651344</v>
      </c>
      <c r="AU70" s="292">
        <f t="shared" si="61"/>
        <v>-3.79923250842032</v>
      </c>
    </row>
    <row r="71" spans="1:47" x14ac:dyDescent="0.25">
      <c r="A71" s="295" t="s">
        <v>472</v>
      </c>
      <c r="B71" s="298">
        <f>(2*B4/B70)*B69*B69*(1-(B3/B2))/(B69*(1-(B3/B2))+B69+B13)</f>
        <v>3.8789526267120431</v>
      </c>
      <c r="C71" s="292"/>
      <c r="D71" s="292"/>
      <c r="F71" s="292">
        <v>69</v>
      </c>
      <c r="G71" s="293">
        <f t="shared" si="32"/>
        <v>168.64235808037517</v>
      </c>
      <c r="H71" s="293">
        <f t="shared" si="33"/>
        <v>168.57881372500071</v>
      </c>
      <c r="I71" s="294">
        <f t="shared" si="34"/>
        <v>1</v>
      </c>
      <c r="J71" s="292">
        <f t="shared" si="53"/>
        <v>1</v>
      </c>
      <c r="K71" s="292">
        <f t="shared" si="53"/>
        <v>1</v>
      </c>
      <c r="L71" s="292">
        <f>10^('Small Signal'!F71/30)</f>
        <v>199.52623149688802</v>
      </c>
      <c r="M71" s="292" t="str">
        <f t="shared" si="54"/>
        <v>1253.66028613816i</v>
      </c>
      <c r="N71" s="292">
        <f>IF(D$32=1, IF(AND('Small Signal'!$B$63&gt;=1,FCCM=0),U71+0,R71+0), 0)</f>
        <v>0</v>
      </c>
      <c r="O71" s="292">
        <f>IF(D$32=1, IF(AND('Small Signal'!$B$63&gt;=1,FCCM=0),V71,S71), 0)</f>
        <v>0</v>
      </c>
      <c r="P71" s="292">
        <f>IF(AND('Small Signal'!$B$63&gt;=1,FCCM=0),AE71+0,AB71+0)</f>
        <v>47.525917970251676</v>
      </c>
      <c r="Q71" s="292">
        <f>IF(AND('Small Signal'!$B$63&gt;=1,FCCM=0),AF71,AC71)</f>
        <v>93.774355790624895</v>
      </c>
      <c r="R71" s="292">
        <f t="shared" si="55"/>
        <v>18.435609466677388</v>
      </c>
      <c r="S71" s="292">
        <f t="shared" si="55"/>
        <v>-4.10141026317367</v>
      </c>
      <c r="T71" s="292" t="str">
        <f>IMDIV(IMSUM('Small Signal'!$B$76,IMPRODUCT(M71,'Small Signal'!$B$77)),IMSUM(IMPRODUCT('Small Signal'!$B$80,IMPOWER(M71,2)),IMSUM(IMPRODUCT(M71,'Small Signal'!$B$79),'Small Signal'!$B$78)))</f>
        <v>5.34303814708919-0.324398885922919i</v>
      </c>
      <c r="U71" s="292">
        <f t="shared" si="35"/>
        <v>14.571745146792367</v>
      </c>
      <c r="V71" s="292">
        <f t="shared" si="36"/>
        <v>-3.4744088769568844</v>
      </c>
      <c r="W71" s="292" t="str">
        <f>IMPRODUCT(IMDIV(IMSUM(IMPRODUCT(M71,'Small Signal'!$B$59*'Small Signal'!$B$6*'Small Signal'!$B$51*'Small Signal'!$B$7*'Small Signal'!$B$8),'Small Signal'!$B$59*'Small Signal'!$B$6*'Small Signal'!$B$51),IMSUM(IMSUM(IMPRODUCT(M71,('Small Signal'!$B$5+'Small Signal'!$B$6)*('Small Signal'!$B$58*'Small Signal'!$B$59)+'Small Signal'!$B$5*'Small Signal'!$B$59*('Small Signal'!$B$8+'Small Signal'!$B$9)+'Small Signal'!$B$6*'Small Signal'!$B$59*('Small Signal'!$B$8+'Small Signal'!$B$9)+'Small Signal'!$B$7*'Small Signal'!$B$8*('Small Signal'!$B$5+'Small Signal'!$B$6)),'Small Signal'!$B$6+'Small Signal'!$B$5),IMPRODUCT(IMPOWER(M71,2),'Small Signal'!$B$58*'Small Signal'!$B$59*'Small Signal'!$B$8*'Small Signal'!$B$7*('Small Signal'!$B$5+'Small Signal'!$B$6)+('Small Signal'!$B$5+'Small Signal'!$B$6)*('Small Signal'!$B$9*'Small Signal'!$B$8*'Small Signal'!$B$59*'Small Signal'!$B$7)))),-1)</f>
        <v>-3.87371820627285+28.2136724821897i</v>
      </c>
      <c r="X71" s="292">
        <f t="shared" si="37"/>
        <v>0</v>
      </c>
      <c r="Y71" s="292">
        <f t="shared" si="38"/>
        <v>0</v>
      </c>
      <c r="Z71" s="292" t="str">
        <f t="shared" si="39"/>
        <v>1.00000051106732+0.0010118431955249i</v>
      </c>
      <c r="AA71" s="292" t="str">
        <f t="shared" si="40"/>
        <v>-15.6567621233897+237.330144791605i</v>
      </c>
      <c r="AB71" s="289">
        <f t="shared" si="56"/>
        <v>47.525917970251676</v>
      </c>
      <c r="AC71" s="292">
        <f t="shared" si="57"/>
        <v>93.774355790624895</v>
      </c>
      <c r="AD71" s="292" t="str">
        <f t="shared" si="41"/>
        <v>-11.5449402261733+152.003358212314i</v>
      </c>
      <c r="AE71" s="289">
        <f t="shared" si="42"/>
        <v>43.662044764877592</v>
      </c>
      <c r="AF71" s="292">
        <f t="shared" si="43"/>
        <v>94.343382881623043</v>
      </c>
      <c r="AH71" s="292" t="str">
        <f t="shared" si="44"/>
        <v>0.00075-7.55363879226636i</v>
      </c>
      <c r="AI71" s="292">
        <f t="shared" si="45"/>
        <v>0.95</v>
      </c>
      <c r="AJ71" s="292" t="str">
        <f t="shared" si="46"/>
        <v>1000-797664256.463329i</v>
      </c>
      <c r="AK71" s="292" t="str">
        <f t="shared" si="47"/>
        <v>0.935196145720085-0.117615531850199i</v>
      </c>
      <c r="AL71" s="292" t="str">
        <f t="shared" si="48"/>
        <v>1.18810559621496-0.0000986373849585692i</v>
      </c>
      <c r="AM71" s="292" t="str">
        <f t="shared" si="49"/>
        <v>0.019+0.00275805262950395i</v>
      </c>
      <c r="AN71" s="292" t="str">
        <f t="shared" si="50"/>
        <v>8.33041866491476-0.597337931373931i</v>
      </c>
      <c r="AO71" s="292">
        <f t="shared" si="58"/>
        <v>18.435609466677388</v>
      </c>
      <c r="AP71" s="292">
        <f t="shared" si="59"/>
        <v>-4.10141026317367</v>
      </c>
      <c r="AR71" s="292" t="str">
        <f t="shared" si="51"/>
        <v>1.18810559621496-0.0000986373849585692i</v>
      </c>
      <c r="AS71" s="292" t="str">
        <f t="shared" si="52"/>
        <v>8.33041866491476-0.597337931373931i</v>
      </c>
      <c r="AT71" s="292">
        <f t="shared" si="60"/>
        <v>18.435609466677388</v>
      </c>
      <c r="AU71" s="292">
        <f t="shared" si="61"/>
        <v>-4.10141026317367</v>
      </c>
    </row>
    <row r="72" spans="1:47" x14ac:dyDescent="0.25">
      <c r="A72" s="295" t="s">
        <v>473</v>
      </c>
      <c r="B72" s="297">
        <f>B12/(B69*(1-(B3/B2))+B69+B13)+B14*(B15+1/((1/(B13+B69*(1-(B3/B2))))+1/B69))</f>
        <v>4.286248149139972E-5</v>
      </c>
      <c r="C72" s="292"/>
      <c r="D72" s="292"/>
      <c r="F72" s="292">
        <v>70</v>
      </c>
      <c r="G72" s="293">
        <f t="shared" si="32"/>
        <v>168.64742733385498</v>
      </c>
      <c r="H72" s="293">
        <f t="shared" si="33"/>
        <v>168.57881372500071</v>
      </c>
      <c r="I72" s="294">
        <f t="shared" si="34"/>
        <v>1</v>
      </c>
      <c r="J72" s="292">
        <f t="shared" si="53"/>
        <v>1</v>
      </c>
      <c r="K72" s="292">
        <f t="shared" si="53"/>
        <v>1</v>
      </c>
      <c r="L72" s="292">
        <f>10^('Small Signal'!F72/30)</f>
        <v>215.44346900318848</v>
      </c>
      <c r="M72" s="292" t="str">
        <f t="shared" si="54"/>
        <v>1353.67123896863i</v>
      </c>
      <c r="N72" s="292">
        <f>IF(D$32=1, IF(AND('Small Signal'!$B$63&gt;=1,FCCM=0),U72+0,R72+0), 0)</f>
        <v>0</v>
      </c>
      <c r="O72" s="292">
        <f>IF(D$32=1, IF(AND('Small Signal'!$B$63&gt;=1,FCCM=0),V72,S72), 0)</f>
        <v>0</v>
      </c>
      <c r="P72" s="292">
        <f>IF(AND('Small Signal'!$B$63&gt;=1,FCCM=0),AE72+0,AB72+0)</f>
        <v>46.862180408100933</v>
      </c>
      <c r="Q72" s="292">
        <f>IF(AND('Small Signal'!$B$63&gt;=1,FCCM=0),AF72,AC72)</f>
        <v>93.32478922713598</v>
      </c>
      <c r="R72" s="292">
        <f t="shared" si="55"/>
        <v>18.432145762154807</v>
      </c>
      <c r="S72" s="292">
        <f t="shared" si="55"/>
        <v>-4.4274605601879244</v>
      </c>
      <c r="T72" s="292" t="str">
        <f>IMDIV(IMSUM('Small Signal'!$B$76,IMPRODUCT(M72,'Small Signal'!$B$77)),IMSUM(IMPRODUCT('Small Signal'!$B$80,IMPOWER(M72,2)),IMSUM(IMPRODUCT(M72,'Small Signal'!$B$79),'Small Signal'!$B$78)))</f>
        <v>5.33999235365218-0.350091962141228i</v>
      </c>
      <c r="U72" s="292">
        <f t="shared" si="35"/>
        <v>14.569439391797324</v>
      </c>
      <c r="V72" s="292">
        <f t="shared" si="36"/>
        <v>-3.7509655018399561</v>
      </c>
      <c r="W72" s="292" t="str">
        <f>IMPRODUCT(IMDIV(IMSUM(IMPRODUCT(M72,'Small Signal'!$B$59*'Small Signal'!$B$6*'Small Signal'!$B$51*'Small Signal'!$B$7*'Small Signal'!$B$8),'Small Signal'!$B$59*'Small Signal'!$B$6*'Small Signal'!$B$51),IMSUM(IMSUM(IMPRODUCT(M72,('Small Signal'!$B$5+'Small Signal'!$B$6)*('Small Signal'!$B$58*'Small Signal'!$B$59)+'Small Signal'!$B$5*'Small Signal'!$B$59*('Small Signal'!$B$8+'Small Signal'!$B$9)+'Small Signal'!$B$6*'Small Signal'!$B$59*('Small Signal'!$B$8+'Small Signal'!$B$9)+'Small Signal'!$B$7*'Small Signal'!$B$8*('Small Signal'!$B$5+'Small Signal'!$B$6)),'Small Signal'!$B$6+'Small Signal'!$B$5),IMPRODUCT(IMPOWER(M72,2),'Small Signal'!$B$58*'Small Signal'!$B$59*'Small Signal'!$B$8*'Small Signal'!$B$7*('Small Signal'!$B$5+'Small Signal'!$B$6)+('Small Signal'!$B$5+'Small Signal'!$B$6)*('Small Signal'!$B$9*'Small Signal'!$B$8*'Small Signal'!$B$59*'Small Signal'!$B$7)))),-1)</f>
        <v>-3.53167421657306+26.1564081433656i</v>
      </c>
      <c r="X72" s="292">
        <f t="shared" si="37"/>
        <v>0</v>
      </c>
      <c r="Y72" s="292">
        <f t="shared" si="38"/>
        <v>0</v>
      </c>
      <c r="Z72" s="292" t="str">
        <f t="shared" si="39"/>
        <v>1.00000059586072+0.00109256310445357i</v>
      </c>
      <c r="AA72" s="292" t="str">
        <f t="shared" si="40"/>
        <v>-12.7792905794321+219.977067304058i</v>
      </c>
      <c r="AB72" s="289">
        <f t="shared" si="56"/>
        <v>46.862180408100933</v>
      </c>
      <c r="AC72" s="292">
        <f t="shared" si="57"/>
        <v>93.32478922713598</v>
      </c>
      <c r="AD72" s="292" t="str">
        <f t="shared" si="41"/>
        <v>-9.70196506261304+140.911430240702i</v>
      </c>
      <c r="AE72" s="289">
        <f t="shared" si="42"/>
        <v>42.999463678026075</v>
      </c>
      <c r="AF72" s="292">
        <f t="shared" si="43"/>
        <v>93.938685092955495</v>
      </c>
      <c r="AH72" s="292" t="str">
        <f t="shared" si="44"/>
        <v>0.00075-6.99556635103809i</v>
      </c>
      <c r="AI72" s="292">
        <f t="shared" si="45"/>
        <v>0.95</v>
      </c>
      <c r="AJ72" s="292" t="str">
        <f t="shared" si="46"/>
        <v>1000-738731806.669621i</v>
      </c>
      <c r="AK72" s="292" t="str">
        <f t="shared" si="47"/>
        <v>0.932784517920964-0.126670571664795i</v>
      </c>
      <c r="AL72" s="292" t="str">
        <f t="shared" si="48"/>
        <v>1.18810559485629-0.000106506198233423i</v>
      </c>
      <c r="AM72" s="292" t="str">
        <f t="shared" si="49"/>
        <v>0.019+0.00297807672573099i</v>
      </c>
      <c r="AN72" s="292" t="str">
        <f t="shared" si="50"/>
        <v>8.32356467695371-0.644476459122176i</v>
      </c>
      <c r="AO72" s="292">
        <f t="shared" si="58"/>
        <v>18.432145762154807</v>
      </c>
      <c r="AP72" s="292">
        <f t="shared" si="59"/>
        <v>-4.4274605601879244</v>
      </c>
      <c r="AR72" s="292" t="str">
        <f t="shared" si="51"/>
        <v>1.18810559485629-0.000106506198233423i</v>
      </c>
      <c r="AS72" s="292" t="str">
        <f t="shared" si="52"/>
        <v>8.32356467695371-0.644476459122176i</v>
      </c>
      <c r="AT72" s="292">
        <f t="shared" si="60"/>
        <v>18.432145762154807</v>
      </c>
      <c r="AU72" s="292">
        <f t="shared" si="61"/>
        <v>-4.4274605601879244</v>
      </c>
    </row>
    <row r="73" spans="1:47" x14ac:dyDescent="0.25">
      <c r="A73" s="295" t="s">
        <v>474</v>
      </c>
      <c r="B73" s="297">
        <f>(B12*B14*(B39+B15))/(B69*(1-(B3/B2))+B69+B13)</f>
        <v>1.364990668451952E-10</v>
      </c>
      <c r="C73" s="292"/>
      <c r="D73" s="292"/>
      <c r="F73" s="292">
        <v>71</v>
      </c>
      <c r="G73" s="293">
        <f t="shared" si="32"/>
        <v>168.65290098583824</v>
      </c>
      <c r="H73" s="293">
        <f t="shared" si="33"/>
        <v>168.57881372500071</v>
      </c>
      <c r="I73" s="294">
        <f t="shared" si="34"/>
        <v>1</v>
      </c>
      <c r="J73" s="292">
        <f t="shared" si="53"/>
        <v>1</v>
      </c>
      <c r="K73" s="292">
        <f t="shared" si="53"/>
        <v>1</v>
      </c>
      <c r="L73" s="292">
        <f>10^('Small Signal'!F73/30)</f>
        <v>232.6305067153628</v>
      </c>
      <c r="M73" s="292" t="str">
        <f t="shared" si="54"/>
        <v>1461.66058179571i</v>
      </c>
      <c r="N73" s="292">
        <f>IF(D$32=1, IF(AND('Small Signal'!$B$63&gt;=1,FCCM=0),U73+0,R73+0), 0)</f>
        <v>0</v>
      </c>
      <c r="O73" s="292">
        <f>IF(D$32=1, IF(AND('Small Signal'!$B$63&gt;=1,FCCM=0),V73,S73), 0)</f>
        <v>0</v>
      </c>
      <c r="P73" s="292">
        <f>IF(AND('Small Signal'!$B$63&gt;=1,FCCM=0),AE73+0,AB73+0)</f>
        <v>46.197544479639618</v>
      </c>
      <c r="Q73" s="292">
        <f>IF(AND('Small Signal'!$B$63&gt;=1,FCCM=0),AF73,AC73)</f>
        <v>92.89459751529786</v>
      </c>
      <c r="R73" s="292">
        <f t="shared" si="55"/>
        <v>18.42811085687698</v>
      </c>
      <c r="S73" s="292">
        <f t="shared" si="55"/>
        <v>-4.7792277865755688</v>
      </c>
      <c r="T73" s="292" t="str">
        <f>IMDIV(IMSUM('Small Signal'!$B$76,IMPRODUCT(M73,'Small Signal'!$B$77)),IMSUM(IMPRODUCT('Small Signal'!$B$80,IMPOWER(M73,2)),IMSUM(IMPRODUCT(M73,'Small Signal'!$B$79),'Small Signal'!$B$78)))</f>
        <v>5.33644527739766-0.377786841422365i</v>
      </c>
      <c r="U73" s="292">
        <f t="shared" si="35"/>
        <v>14.566752605904988</v>
      </c>
      <c r="V73" s="292">
        <f t="shared" si="36"/>
        <v>-4.0494257918167325</v>
      </c>
      <c r="W73" s="292" t="str">
        <f>IMPRODUCT(IMDIV(IMSUM(IMPRODUCT(M73,'Small Signal'!$B$59*'Small Signal'!$B$6*'Small Signal'!$B$51*'Small Signal'!$B$7*'Small Signal'!$B$8),'Small Signal'!$B$59*'Small Signal'!$B$6*'Small Signal'!$B$51),IMSUM(IMSUM(IMPRODUCT(M73,('Small Signal'!$B$5+'Small Signal'!$B$6)*('Small Signal'!$B$58*'Small Signal'!$B$59)+'Small Signal'!$B$5*'Small Signal'!$B$59*('Small Signal'!$B$8+'Small Signal'!$B$9)+'Small Signal'!$B$6*'Small Signal'!$B$59*('Small Signal'!$B$8+'Small Signal'!$B$9)+'Small Signal'!$B$7*'Small Signal'!$B$8*('Small Signal'!$B$5+'Small Signal'!$B$6)),'Small Signal'!$B$6+'Small Signal'!$B$5),IMPRODUCT(IMPOWER(M73,2),'Small Signal'!$B$58*'Small Signal'!$B$59*'Small Signal'!$B$8*'Small Signal'!$B$7*('Small Signal'!$B$5+'Small Signal'!$B$6)+('Small Signal'!$B$5+'Small Signal'!$B$6)*('Small Signal'!$B$9*'Small Signal'!$B$8*'Small Signal'!$B$59*'Small Signal'!$B$7)))),-1)</f>
        <v>-3.23773754100429+24.2455965266124i</v>
      </c>
      <c r="X73" s="292">
        <f t="shared" si="37"/>
        <v>0</v>
      </c>
      <c r="Y73" s="292">
        <f t="shared" si="38"/>
        <v>0</v>
      </c>
      <c r="Z73" s="292" t="str">
        <f t="shared" si="39"/>
        <v>1.00000069472256+0.00117972244524623i</v>
      </c>
      <c r="AA73" s="292" t="str">
        <f t="shared" si="40"/>
        <v>-10.3076109799022+203.855655266613i</v>
      </c>
      <c r="AB73" s="289">
        <f t="shared" si="56"/>
        <v>46.197544479639618</v>
      </c>
      <c r="AC73" s="292">
        <f t="shared" si="57"/>
        <v>92.89459751529786</v>
      </c>
      <c r="AD73" s="292" t="str">
        <f t="shared" si="41"/>
        <v>-8.11834187995549+130.6084737211i</v>
      </c>
      <c r="AE73" s="289">
        <f t="shared" si="42"/>
        <v>42.336174150126865</v>
      </c>
      <c r="AF73" s="292">
        <f t="shared" si="43"/>
        <v>93.556806471263059</v>
      </c>
      <c r="AH73" s="292" t="str">
        <f t="shared" si="44"/>
        <v>0.00075-6.47872501156394i</v>
      </c>
      <c r="AI73" s="292">
        <f t="shared" si="45"/>
        <v>0.95</v>
      </c>
      <c r="AJ73" s="292" t="str">
        <f t="shared" si="46"/>
        <v>1000-684153361.221152i</v>
      </c>
      <c r="AK73" s="292" t="str">
        <f t="shared" si="47"/>
        <v>0.92998843634472-0.136365413355921i</v>
      </c>
      <c r="AL73" s="292" t="str">
        <f t="shared" si="48"/>
        <v>1.18810559327221-0.000115002747333072i</v>
      </c>
      <c r="AM73" s="292" t="str">
        <f t="shared" si="49"/>
        <v>0.019+0.00321565327995056i</v>
      </c>
      <c r="AN73" s="292" t="str">
        <f t="shared" si="50"/>
        <v>8.31558728567689-0.69524344602635i</v>
      </c>
      <c r="AO73" s="292">
        <f t="shared" si="58"/>
        <v>18.42811085687698</v>
      </c>
      <c r="AP73" s="292">
        <f t="shared" si="59"/>
        <v>-4.7792277865755688</v>
      </c>
      <c r="AR73" s="292" t="str">
        <f t="shared" si="51"/>
        <v>1.18810559327221-0.000115002747333072i</v>
      </c>
      <c r="AS73" s="292" t="str">
        <f t="shared" si="52"/>
        <v>8.31558728567689-0.69524344602635i</v>
      </c>
      <c r="AT73" s="292">
        <f t="shared" si="60"/>
        <v>18.42811085687698</v>
      </c>
      <c r="AU73" s="292">
        <f t="shared" si="61"/>
        <v>-4.7792277865755688</v>
      </c>
    </row>
    <row r="74" spans="1:47" x14ac:dyDescent="0.25">
      <c r="A74" s="295" t="s">
        <v>475</v>
      </c>
      <c r="B74" s="297">
        <f>1/(B14*B15)</f>
        <v>12626262.626262628</v>
      </c>
      <c r="C74" s="292"/>
      <c r="D74" s="292"/>
      <c r="F74" s="292">
        <v>72</v>
      </c>
      <c r="G74" s="293">
        <f t="shared" si="32"/>
        <v>168.65881129675927</v>
      </c>
      <c r="H74" s="293">
        <f t="shared" si="33"/>
        <v>168.57881372500071</v>
      </c>
      <c r="I74" s="294">
        <f t="shared" si="34"/>
        <v>1</v>
      </c>
      <c r="J74" s="292">
        <f t="shared" si="53"/>
        <v>1</v>
      </c>
      <c r="K74" s="292">
        <f t="shared" si="53"/>
        <v>1</v>
      </c>
      <c r="L74" s="292">
        <f>10^('Small Signal'!F74/30)</f>
        <v>251.18864315095806</v>
      </c>
      <c r="M74" s="292" t="str">
        <f t="shared" si="54"/>
        <v>1578.26479197648i</v>
      </c>
      <c r="N74" s="292">
        <f>IF(D$32=1, IF(AND('Small Signal'!$B$63&gt;=1,FCCM=0),U74+0,R74+0), 0)</f>
        <v>0</v>
      </c>
      <c r="O74" s="292">
        <f>IF(D$32=1, IF(AND('Small Signal'!$B$63&gt;=1,FCCM=0),V74,S74), 0)</f>
        <v>0</v>
      </c>
      <c r="P74" s="292">
        <f>IF(AND('Small Signal'!$B$63&gt;=1,FCCM=0),AE74+0,AB74+0)</f>
        <v>45.532057750190873</v>
      </c>
      <c r="Q74" s="292">
        <f>IF(AND('Small Signal'!$B$63&gt;=1,FCCM=0),AF74,AC74)</f>
        <v>92.48139465133859</v>
      </c>
      <c r="R74" s="292">
        <f t="shared" si="55"/>
        <v>18.423411221313909</v>
      </c>
      <c r="S74" s="292">
        <f t="shared" si="55"/>
        <v>-5.1586881364040682</v>
      </c>
      <c r="T74" s="292" t="str">
        <f>IMDIV(IMSUM('Small Signal'!$B$76,IMPRODUCT(M74,'Small Signal'!$B$77)),IMSUM(IMPRODUCT('Small Signal'!$B$80,IMPOWER(M74,2)),IMSUM(IMPRODUCT(M74,'Small Signal'!$B$79),'Small Signal'!$B$78)))</f>
        <v>5.33231519636986-0.407630948471317i</v>
      </c>
      <c r="U74" s="292">
        <f t="shared" si="35"/>
        <v>14.563622116789848</v>
      </c>
      <c r="V74" s="292">
        <f t="shared" si="36"/>
        <v>-4.3714962750290836</v>
      </c>
      <c r="W74" s="292" t="str">
        <f>IMPRODUCT(IMDIV(IMSUM(IMPRODUCT(M74,'Small Signal'!$B$59*'Small Signal'!$B$6*'Small Signal'!$B$51*'Small Signal'!$B$7*'Small Signal'!$B$8),'Small Signal'!$B$59*'Small Signal'!$B$6*'Small Signal'!$B$51),IMSUM(IMSUM(IMPRODUCT(M74,('Small Signal'!$B$5+'Small Signal'!$B$6)*('Small Signal'!$B$58*'Small Signal'!$B$59)+'Small Signal'!$B$5*'Small Signal'!$B$59*('Small Signal'!$B$8+'Small Signal'!$B$9)+'Small Signal'!$B$6*'Small Signal'!$B$59*('Small Signal'!$B$8+'Small Signal'!$B$9)+'Small Signal'!$B$7*'Small Signal'!$B$8*('Small Signal'!$B$5+'Small Signal'!$B$6)),'Small Signal'!$B$6+'Small Signal'!$B$5),IMPRODUCT(IMPOWER(M74,2),'Small Signal'!$B$58*'Small Signal'!$B$59*'Small Signal'!$B$8*'Small Signal'!$B$7*('Small Signal'!$B$5+'Small Signal'!$B$6)+('Small Signal'!$B$5+'Small Signal'!$B$6)*('Small Signal'!$B$9*'Small Signal'!$B$8*'Small Signal'!$B$59*'Small Signal'!$B$7)))),-1)</f>
        <v>-2.98521106159793+22.4715447695785i</v>
      </c>
      <c r="X74" s="292">
        <f t="shared" si="37"/>
        <v>0</v>
      </c>
      <c r="Y74" s="292">
        <f t="shared" si="38"/>
        <v>0</v>
      </c>
      <c r="Z74" s="292" t="str">
        <f t="shared" si="39"/>
        <v>1.00000080998699+0.00127383492152478i</v>
      </c>
      <c r="AA74" s="292" t="str">
        <f t="shared" si="40"/>
        <v>-8.18540789408737+188.884131225036i</v>
      </c>
      <c r="AB74" s="289">
        <f t="shared" si="56"/>
        <v>45.532057750190873</v>
      </c>
      <c r="AC74" s="292">
        <f t="shared" si="57"/>
        <v>92.48139465133859</v>
      </c>
      <c r="AD74" s="292" t="str">
        <f t="shared" si="41"/>
        <v>-6.7579892000911+121.042224077155i</v>
      </c>
      <c r="AE74" s="289">
        <f t="shared" si="42"/>
        <v>41.672254563126252</v>
      </c>
      <c r="AF74" s="292">
        <f t="shared" si="43"/>
        <v>93.19560124650755</v>
      </c>
      <c r="AH74" s="292" t="str">
        <f t="shared" si="44"/>
        <v>0.00075-6.0000685676058i</v>
      </c>
      <c r="AI74" s="292">
        <f t="shared" si="45"/>
        <v>0.95</v>
      </c>
      <c r="AJ74" s="292" t="str">
        <f t="shared" si="46"/>
        <v>1000-633607240.739172i</v>
      </c>
      <c r="AK74" s="292" t="str">
        <f t="shared" si="47"/>
        <v>0.926749553145814-0.146730764168932i</v>
      </c>
      <c r="AL74" s="292" t="str">
        <f t="shared" si="48"/>
        <v>1.1881055914253-0.000124177109976666i</v>
      </c>
      <c r="AM74" s="292" t="str">
        <f t="shared" si="49"/>
        <v>0.019+0.00347218254234826i</v>
      </c>
      <c r="AN74" s="292" t="str">
        <f t="shared" si="50"/>
        <v>8.30630499889485-0.749894685781568i</v>
      </c>
      <c r="AO74" s="292">
        <f t="shared" si="58"/>
        <v>18.423411221313909</v>
      </c>
      <c r="AP74" s="292">
        <f t="shared" si="59"/>
        <v>-5.1586881364040682</v>
      </c>
      <c r="AR74" s="292" t="str">
        <f t="shared" si="51"/>
        <v>1.1881055914253-0.000124177109976666i</v>
      </c>
      <c r="AS74" s="292" t="str">
        <f t="shared" si="52"/>
        <v>8.30630499889485-0.749894685781568i</v>
      </c>
      <c r="AT74" s="292">
        <f t="shared" si="60"/>
        <v>18.423411221313909</v>
      </c>
      <c r="AU74" s="292">
        <f t="shared" si="61"/>
        <v>-5.1586881364040682</v>
      </c>
    </row>
    <row r="75" spans="1:47" x14ac:dyDescent="0.25">
      <c r="A75" s="295"/>
      <c r="B75" s="292"/>
      <c r="C75" s="292"/>
      <c r="D75" s="292"/>
      <c r="F75" s="292">
        <v>73</v>
      </c>
      <c r="G75" s="293">
        <f t="shared" si="32"/>
        <v>168.66519310049864</v>
      </c>
      <c r="H75" s="293">
        <f t="shared" si="33"/>
        <v>168.57881372500071</v>
      </c>
      <c r="I75" s="294">
        <f t="shared" si="34"/>
        <v>1</v>
      </c>
      <c r="J75" s="292">
        <f t="shared" si="53"/>
        <v>1</v>
      </c>
      <c r="K75" s="292">
        <f t="shared" si="53"/>
        <v>1</v>
      </c>
      <c r="L75" s="292">
        <f>10^('Small Signal'!F75/30)</f>
        <v>271.22725793320296</v>
      </c>
      <c r="M75" s="292" t="str">
        <f t="shared" si="54"/>
        <v>1704.17112195251i</v>
      </c>
      <c r="N75" s="292">
        <f>IF(D$32=1, IF(AND('Small Signal'!$B$63&gt;=1,FCCM=0),U75+0,R75+0), 0)</f>
        <v>0</v>
      </c>
      <c r="O75" s="292">
        <f>IF(D$32=1, IF(AND('Small Signal'!$B$63&gt;=1,FCCM=0),V75,S75), 0)</f>
        <v>0</v>
      </c>
      <c r="P75" s="292">
        <f>IF(AND('Small Signal'!$B$63&gt;=1,FCCM=0),AE75+0,AB75+0)</f>
        <v>44.86574855235957</v>
      </c>
      <c r="Q75" s="292">
        <f>IF(AND('Small Signal'!$B$63&gt;=1,FCCM=0),AF75,AC75)</f>
        <v>92.082890862315836</v>
      </c>
      <c r="R75" s="292">
        <f t="shared" si="55"/>
        <v>18.417938248840279</v>
      </c>
      <c r="S75" s="292">
        <f t="shared" si="55"/>
        <v>-5.5679562575650312</v>
      </c>
      <c r="T75" s="292" t="str">
        <f>IMDIV(IMSUM('Small Signal'!$B$76,IMPRODUCT(M75,'Small Signal'!$B$77)),IMSUM(IMPRODUCT('Small Signal'!$B$80,IMPOWER(M75,2)),IMSUM(IMPRODUCT(M75,'Small Signal'!$B$79),'Small Signal'!$B$78)))</f>
        <v>5.32750734419063-0.439780349595537i</v>
      </c>
      <c r="U75" s="292">
        <f t="shared" si="35"/>
        <v>14.559975048665134</v>
      </c>
      <c r="V75" s="292">
        <f t="shared" si="36"/>
        <v>-4.7190091584801541</v>
      </c>
      <c r="W75" s="292" t="str">
        <f>IMPRODUCT(IMDIV(IMSUM(IMPRODUCT(M75,'Small Signal'!$B$59*'Small Signal'!$B$6*'Small Signal'!$B$51*'Small Signal'!$B$7*'Small Signal'!$B$8),'Small Signal'!$B$59*'Small Signal'!$B$6*'Small Signal'!$B$51),IMSUM(IMSUM(IMPRODUCT(M75,('Small Signal'!$B$5+'Small Signal'!$B$6)*('Small Signal'!$B$58*'Small Signal'!$B$59)+'Small Signal'!$B$5*'Small Signal'!$B$59*('Small Signal'!$B$8+'Small Signal'!$B$9)+'Small Signal'!$B$6*'Small Signal'!$B$59*('Small Signal'!$B$8+'Small Signal'!$B$9)+'Small Signal'!$B$7*'Small Signal'!$B$8*('Small Signal'!$B$5+'Small Signal'!$B$6)),'Small Signal'!$B$6+'Small Signal'!$B$5),IMPRODUCT(IMPOWER(M75,2),'Small Signal'!$B$58*'Small Signal'!$B$59*'Small Signal'!$B$8*'Small Signal'!$B$7*('Small Signal'!$B$5+'Small Signal'!$B$6)+('Small Signal'!$B$5+'Small Signal'!$B$6)*('Small Signal'!$B$9*'Small Signal'!$B$8*'Small Signal'!$B$59*'Small Signal'!$B$7)))),-1)</f>
        <v>-2.7683117774836+20.8250485388267i</v>
      </c>
      <c r="X75" s="292">
        <f t="shared" si="37"/>
        <v>0</v>
      </c>
      <c r="Y75" s="292">
        <f t="shared" si="38"/>
        <v>0</v>
      </c>
      <c r="Z75" s="292" t="str">
        <f t="shared" si="39"/>
        <v>1.00000094437544+0.0013754552168982i</v>
      </c>
      <c r="AA75" s="292" t="str">
        <f t="shared" si="40"/>
        <v>-6.36408025629098+174.984826281409i</v>
      </c>
      <c r="AB75" s="289">
        <f t="shared" si="56"/>
        <v>44.86574855235957</v>
      </c>
      <c r="AC75" s="292">
        <f t="shared" si="57"/>
        <v>92.082890862315836</v>
      </c>
      <c r="AD75" s="292" t="str">
        <f t="shared" si="41"/>
        <v>-5.58975419880406+112.163048155017i</v>
      </c>
      <c r="AE75" s="289">
        <f t="shared" si="42"/>
        <v>41.007768933153102</v>
      </c>
      <c r="AF75" s="292">
        <f t="shared" si="43"/>
        <v>92.853030306685255</v>
      </c>
      <c r="AH75" s="292" t="str">
        <f t="shared" si="44"/>
        <v>0.00075-5.55677587051664i</v>
      </c>
      <c r="AI75" s="292">
        <f t="shared" si="45"/>
        <v>0.95</v>
      </c>
      <c r="AJ75" s="292" t="str">
        <f t="shared" si="46"/>
        <v>1000-586795531.926557i</v>
      </c>
      <c r="AK75" s="292" t="str">
        <f t="shared" si="47"/>
        <v>0.923001685481504-0.157794984215141i</v>
      </c>
      <c r="AL75" s="292" t="str">
        <f t="shared" si="48"/>
        <v>1.18810558927196-0.000134083358839426i</v>
      </c>
      <c r="AM75" s="292" t="str">
        <f t="shared" si="49"/>
        <v>0.019+0.00374917646829552i</v>
      </c>
      <c r="AN75" s="292" t="str">
        <f t="shared" si="50"/>
        <v>8.29550794153087-0.808697899521755i</v>
      </c>
      <c r="AO75" s="292">
        <f t="shared" si="58"/>
        <v>18.417938248840279</v>
      </c>
      <c r="AP75" s="292">
        <f t="shared" si="59"/>
        <v>-5.5679562575650312</v>
      </c>
      <c r="AR75" s="292" t="str">
        <f t="shared" si="51"/>
        <v>1.18810558927196-0.000134083358839426i</v>
      </c>
      <c r="AS75" s="292" t="str">
        <f t="shared" si="52"/>
        <v>8.29550794153087-0.808697899521755i</v>
      </c>
      <c r="AT75" s="292">
        <f t="shared" si="60"/>
        <v>18.417938248840279</v>
      </c>
      <c r="AU75" s="292">
        <f t="shared" si="61"/>
        <v>-5.5679562575650312</v>
      </c>
    </row>
    <row r="76" spans="1:47" x14ac:dyDescent="0.25">
      <c r="A76" s="295" t="s">
        <v>476</v>
      </c>
      <c r="B76" s="297">
        <f>B64*B71*B12*B11*B74</f>
        <v>119621646.97881125</v>
      </c>
      <c r="C76" s="292"/>
      <c r="D76" s="292"/>
      <c r="F76" s="292">
        <v>74</v>
      </c>
      <c r="G76" s="293">
        <f t="shared" si="32"/>
        <v>168.67208400964523</v>
      </c>
      <c r="H76" s="293">
        <f t="shared" si="33"/>
        <v>168.57881372500071</v>
      </c>
      <c r="I76" s="294">
        <f t="shared" si="34"/>
        <v>1</v>
      </c>
      <c r="J76" s="292">
        <f t="shared" si="53"/>
        <v>1</v>
      </c>
      <c r="K76" s="292">
        <f t="shared" si="53"/>
        <v>1</v>
      </c>
      <c r="L76" s="292">
        <f>10^('Small Signal'!F76/30)</f>
        <v>292.86445646252383</v>
      </c>
      <c r="M76" s="292" t="str">
        <f t="shared" si="54"/>
        <v>1840.12164984047i</v>
      </c>
      <c r="N76" s="292">
        <f>IF(D$32=1, IF(AND('Small Signal'!$B$63&gt;=1,FCCM=0),U76+0,R76+0), 0)</f>
        <v>0</v>
      </c>
      <c r="O76" s="292">
        <f>IF(D$32=1, IF(AND('Small Signal'!$B$63&gt;=1,FCCM=0),V76,S76), 0)</f>
        <v>0</v>
      </c>
      <c r="P76" s="292">
        <f>IF(AND('Small Signal'!$B$63&gt;=1,FCCM=0),AE76+0,AB76+0)</f>
        <v>44.198626697404379</v>
      </c>
      <c r="Q76" s="292">
        <f>IF(AND('Small Signal'!$B$63&gt;=1,FCCM=0),AF76,AC76)</f>
        <v>91.696886566120568</v>
      </c>
      <c r="R76" s="292">
        <f t="shared" si="55"/>
        <v>18.411565909671694</v>
      </c>
      <c r="S76" s="292">
        <f t="shared" si="55"/>
        <v>-6.009291473759057</v>
      </c>
      <c r="T76" s="292" t="str">
        <f>IMDIV(IMSUM('Small Signal'!$B$76,IMPRODUCT(M76,'Small Signal'!$B$77)),IMSUM(IMPRODUCT('Small Signal'!$B$80,IMPOWER(M76,2)),IMSUM(IMPRODUCT(M76,'Small Signal'!$B$79),'Small Signal'!$B$78)))</f>
        <v>5.32191192722046-0.474399661047206i</v>
      </c>
      <c r="U76" s="292">
        <f t="shared" si="35"/>
        <v>14.555726698508721</v>
      </c>
      <c r="V76" s="292">
        <f t="shared" si="36"/>
        <v>-5.093929699033704</v>
      </c>
      <c r="W76" s="292" t="str">
        <f>IMPRODUCT(IMDIV(IMSUM(IMPRODUCT(M76,'Small Signal'!$B$59*'Small Signal'!$B$6*'Small Signal'!$B$51*'Small Signal'!$B$7*'Small Signal'!$B$8),'Small Signal'!$B$59*'Small Signal'!$B$6*'Small Signal'!$B$51),IMSUM(IMSUM(IMPRODUCT(M76,('Small Signal'!$B$5+'Small Signal'!$B$6)*('Small Signal'!$B$58*'Small Signal'!$B$59)+'Small Signal'!$B$5*'Small Signal'!$B$59*('Small Signal'!$B$8+'Small Signal'!$B$9)+'Small Signal'!$B$6*'Small Signal'!$B$59*('Small Signal'!$B$8+'Small Signal'!$B$9)+'Small Signal'!$B$7*'Small Signal'!$B$8*('Small Signal'!$B$5+'Small Signal'!$B$6)),'Small Signal'!$B$6+'Small Signal'!$B$5),IMPRODUCT(IMPOWER(M76,2),'Small Signal'!$B$58*'Small Signal'!$B$59*'Small Signal'!$B$8*'Small Signal'!$B$7*('Small Signal'!$B$5+'Small Signal'!$B$6)+('Small Signal'!$B$5+'Small Signal'!$B$6)*('Small Signal'!$B$9*'Small Signal'!$B$8*'Small Signal'!$B$59*'Small Signal'!$B$7)))),-1)</f>
        <v>-2.5820508570889+19.2974014332616i</v>
      </c>
      <c r="X76" s="292">
        <f t="shared" si="37"/>
        <v>0</v>
      </c>
      <c r="Y76" s="292">
        <f t="shared" si="38"/>
        <v>0</v>
      </c>
      <c r="Z76" s="292" t="str">
        <f t="shared" si="39"/>
        <v>1.00000110106084+0.00148518226393982i</v>
      </c>
      <c r="AA76" s="292" t="str">
        <f t="shared" si="40"/>
        <v>-4.80173318056691+162.084259879452i</v>
      </c>
      <c r="AB76" s="289">
        <f t="shared" si="56"/>
        <v>44.198626697404379</v>
      </c>
      <c r="AC76" s="292">
        <f t="shared" si="57"/>
        <v>91.696886566120568</v>
      </c>
      <c r="AD76" s="292" t="str">
        <f t="shared" si="41"/>
        <v>-4.58676655400006+103.923994903446i</v>
      </c>
      <c r="AE76" s="289">
        <f t="shared" si="42"/>
        <v>40.342768343063831</v>
      </c>
      <c r="AF76" s="292">
        <f t="shared" si="43"/>
        <v>92.527153821574828</v>
      </c>
      <c r="AH76" s="292" t="str">
        <f t="shared" si="44"/>
        <v>0.00075-5.14623420169962i</v>
      </c>
      <c r="AI76" s="292">
        <f t="shared" si="45"/>
        <v>0.95</v>
      </c>
      <c r="AJ76" s="292" t="str">
        <f t="shared" si="46"/>
        <v>1000-543442331.699481i</v>
      </c>
      <c r="AK76" s="292" t="str">
        <f t="shared" si="47"/>
        <v>0.918670118561558-0.169582861813584i</v>
      </c>
      <c r="AL76" s="292" t="str">
        <f t="shared" si="48"/>
        <v>1.18810558676136-0.00014477988025035i</v>
      </c>
      <c r="AM76" s="292" t="str">
        <f t="shared" si="49"/>
        <v>0.019+0.00404826762964903i</v>
      </c>
      <c r="AN76" s="292" t="str">
        <f t="shared" si="50"/>
        <v>8.28295375045494-0.871931601444152i</v>
      </c>
      <c r="AO76" s="292">
        <f t="shared" si="58"/>
        <v>18.411565909671694</v>
      </c>
      <c r="AP76" s="292">
        <f t="shared" si="59"/>
        <v>-6.009291473759057</v>
      </c>
      <c r="AR76" s="292" t="str">
        <f t="shared" si="51"/>
        <v>1.18810558676136-0.00014477988025035i</v>
      </c>
      <c r="AS76" s="292" t="str">
        <f t="shared" si="52"/>
        <v>8.28295375045494-0.871931601444152i</v>
      </c>
      <c r="AT76" s="292">
        <f t="shared" si="60"/>
        <v>18.411565909671694</v>
      </c>
      <c r="AU76" s="292">
        <f t="shared" si="61"/>
        <v>-6.009291473759057</v>
      </c>
    </row>
    <row r="77" spans="1:47" x14ac:dyDescent="0.25">
      <c r="A77" s="295" t="s">
        <v>477</v>
      </c>
      <c r="B77" s="297">
        <f>B64*B71*B12*B11</f>
        <v>9.4740344407218497</v>
      </c>
      <c r="C77" s="292"/>
      <c r="D77" s="292"/>
      <c r="F77" s="292">
        <v>75</v>
      </c>
      <c r="G77" s="293">
        <f t="shared" si="32"/>
        <v>168.67952463712425</v>
      </c>
      <c r="H77" s="293">
        <f t="shared" si="33"/>
        <v>168.57881372500071</v>
      </c>
      <c r="I77" s="294">
        <f t="shared" si="34"/>
        <v>1</v>
      </c>
      <c r="J77" s="292">
        <f t="shared" si="53"/>
        <v>1</v>
      </c>
      <c r="K77" s="292">
        <f t="shared" si="53"/>
        <v>1</v>
      </c>
      <c r="L77" s="292">
        <f>10^('Small Signal'!F77/30)</f>
        <v>316.22776601683825</v>
      </c>
      <c r="M77" s="292" t="str">
        <f t="shared" si="54"/>
        <v>1986.91765315922i</v>
      </c>
      <c r="N77" s="292">
        <f>IF(D$32=1, IF(AND('Small Signal'!$B$63&gt;=1,FCCM=0),U77+0,R77+0), 0)</f>
        <v>0</v>
      </c>
      <c r="O77" s="292">
        <f>IF(D$32=1, IF(AND('Small Signal'!$B$63&gt;=1,FCCM=0),V77,S77), 0)</f>
        <v>0</v>
      </c>
      <c r="P77" s="292">
        <f>IF(AND('Small Signal'!$B$63&gt;=1,FCCM=0),AE77+0,AB77+0)</f>
        <v>43.530683831267211</v>
      </c>
      <c r="Q77" s="292">
        <f>IF(AND('Small Signal'!$B$63&gt;=1,FCCM=0),AF77,AC77)</f>
        <v>91.321266997250476</v>
      </c>
      <c r="R77" s="292">
        <f t="shared" si="55"/>
        <v>18.404148069711329</v>
      </c>
      <c r="S77" s="292">
        <f t="shared" si="55"/>
        <v>-6.4851033214732965</v>
      </c>
      <c r="T77" s="292" t="str">
        <f>IMDIV(IMSUM('Small Signal'!$B$76,IMPRODUCT(M77,'Small Signal'!$B$77)),IMSUM(IMPRODUCT('Small Signal'!$B$80,IMPOWER(M77,2)),IMSUM(IMPRODUCT(M77,'Small Signal'!$B$79),'Small Signal'!$B$78)))</f>
        <v>5.31540187594898-0.511661760012067i</v>
      </c>
      <c r="U77" s="292">
        <f t="shared" si="35"/>
        <v>14.550778667221751</v>
      </c>
      <c r="V77" s="292">
        <f t="shared" si="36"/>
        <v>-5.4983634995127018</v>
      </c>
      <c r="W77" s="292" t="str">
        <f>IMPRODUCT(IMDIV(IMSUM(IMPRODUCT(M77,'Small Signal'!$B$59*'Small Signal'!$B$6*'Small Signal'!$B$51*'Small Signal'!$B$7*'Small Signal'!$B$8),'Small Signal'!$B$59*'Small Signal'!$B$6*'Small Signal'!$B$51),IMSUM(IMSUM(IMPRODUCT(M77,('Small Signal'!$B$5+'Small Signal'!$B$6)*('Small Signal'!$B$58*'Small Signal'!$B$59)+'Small Signal'!$B$5*'Small Signal'!$B$59*('Small Signal'!$B$8+'Small Signal'!$B$9)+'Small Signal'!$B$6*'Small Signal'!$B$59*('Small Signal'!$B$8+'Small Signal'!$B$9)+'Small Signal'!$B$7*'Small Signal'!$B$8*('Small Signal'!$B$5+'Small Signal'!$B$6)),'Small Signal'!$B$6+'Small Signal'!$B$5),IMPRODUCT(IMPOWER(M77,2),'Small Signal'!$B$58*'Small Signal'!$B$59*'Small Signal'!$B$8*'Small Signal'!$B$7*('Small Signal'!$B$5+'Small Signal'!$B$6)+('Small Signal'!$B$5+'Small Signal'!$B$6)*('Small Signal'!$B$9*'Small Signal'!$B$8*'Small Signal'!$B$59*'Small Signal'!$B$7)))),-1)</f>
        <v>-2.42212813555328+17.8803947507496i</v>
      </c>
      <c r="X77" s="292">
        <f t="shared" si="37"/>
        <v>0</v>
      </c>
      <c r="Y77" s="292">
        <f t="shared" si="38"/>
        <v>0</v>
      </c>
      <c r="Z77" s="292" t="str">
        <f t="shared" si="39"/>
        <v>1.00000128374257+0.00160366277389392i</v>
      </c>
      <c r="AA77" s="292" t="str">
        <f t="shared" si="40"/>
        <v>-3.46229169397155+150.113138720345i</v>
      </c>
      <c r="AB77" s="289">
        <f t="shared" si="56"/>
        <v>43.530683831267211</v>
      </c>
      <c r="AC77" s="292">
        <f t="shared" si="57"/>
        <v>91.321266997250476</v>
      </c>
      <c r="AD77" s="292" t="str">
        <f t="shared" si="41"/>
        <v>-3.72587018762965+96.2807941456546i</v>
      </c>
      <c r="AE77" s="289">
        <f t="shared" si="42"/>
        <v>39.6772921094814</v>
      </c>
      <c r="AF77" s="292">
        <f t="shared" si="43"/>
        <v>92.216123907224713</v>
      </c>
      <c r="AH77" s="292" t="str">
        <f t="shared" si="44"/>
        <v>0.00075-4.76602387353096i</v>
      </c>
      <c r="AI77" s="292">
        <f t="shared" si="45"/>
        <v>0.95</v>
      </c>
      <c r="AJ77" s="292" t="str">
        <f t="shared" si="46"/>
        <v>1000-503292121.04487i</v>
      </c>
      <c r="AK77" s="292" t="str">
        <f t="shared" si="47"/>
        <v>0.91367097709485-0.182114108683581i</v>
      </c>
      <c r="AL77" s="292" t="str">
        <f t="shared" si="48"/>
        <v>1.1881055838342-0.000156329718313955i</v>
      </c>
      <c r="AM77" s="292" t="str">
        <f t="shared" si="49"/>
        <v>0.019+0.00437121883695028i</v>
      </c>
      <c r="AN77" s="292" t="str">
        <f t="shared" si="50"/>
        <v>8.26836299526911-0.939883383454435i</v>
      </c>
      <c r="AO77" s="292">
        <f t="shared" si="58"/>
        <v>18.404148069711329</v>
      </c>
      <c r="AP77" s="292">
        <f t="shared" si="59"/>
        <v>-6.4851033214732965</v>
      </c>
      <c r="AR77" s="292" t="str">
        <f t="shared" si="51"/>
        <v>1.1881055838342-0.000156329718313955i</v>
      </c>
      <c r="AS77" s="292" t="str">
        <f t="shared" si="52"/>
        <v>8.26836299526911-0.939883383454435i</v>
      </c>
      <c r="AT77" s="292">
        <f t="shared" si="60"/>
        <v>18.404148069711329</v>
      </c>
      <c r="AU77" s="292">
        <f t="shared" si="61"/>
        <v>-6.4851033214732965</v>
      </c>
    </row>
    <row r="78" spans="1:47" x14ac:dyDescent="0.25">
      <c r="A78" s="295" t="s">
        <v>478</v>
      </c>
      <c r="B78" s="297">
        <f>B12*B74*B11-B64*B71*B74*B54*B70</f>
        <v>22311376.921552666</v>
      </c>
      <c r="C78" s="292"/>
      <c r="D78" s="292"/>
      <c r="F78" s="292">
        <v>76</v>
      </c>
      <c r="G78" s="293">
        <f t="shared" si="32"/>
        <v>168.68755883549375</v>
      </c>
      <c r="H78" s="293">
        <f t="shared" si="33"/>
        <v>168.57881372500071</v>
      </c>
      <c r="I78" s="294">
        <f t="shared" si="34"/>
        <v>1</v>
      </c>
      <c r="J78" s="292">
        <f t="shared" si="53"/>
        <v>1</v>
      </c>
      <c r="K78" s="292">
        <f t="shared" si="53"/>
        <v>1</v>
      </c>
      <c r="L78" s="292">
        <f>10^('Small Signal'!F78/30)</f>
        <v>341.4548873833603</v>
      </c>
      <c r="M78" s="292" t="str">
        <f t="shared" si="54"/>
        <v>2145.42433147179i</v>
      </c>
      <c r="N78" s="292">
        <f>IF(D$32=1, IF(AND('Small Signal'!$B$63&gt;=1,FCCM=0),U78+0,R78+0), 0)</f>
        <v>0</v>
      </c>
      <c r="O78" s="292">
        <f>IF(D$32=1, IF(AND('Small Signal'!$B$63&gt;=1,FCCM=0),V78,S78), 0)</f>
        <v>0</v>
      </c>
      <c r="P78" s="292">
        <f>IF(AND('Small Signal'!$B$63&gt;=1,FCCM=0),AE78+0,AB78+0)</f>
        <v>42.861893454254918</v>
      </c>
      <c r="Q78" s="292">
        <f>IF(AND('Small Signal'!$B$63&gt;=1,FCCM=0),AF78,AC78)</f>
        <v>90.953997820380607</v>
      </c>
      <c r="R78" s="292">
        <f t="shared" si="55"/>
        <v>18.395515437202931</v>
      </c>
      <c r="S78" s="292">
        <f t="shared" si="55"/>
        <v>-6.9979560719270957</v>
      </c>
      <c r="T78" s="292" t="str">
        <f>IMDIV(IMSUM('Small Signal'!$B$76,IMPRODUCT(M78,'Small Signal'!$B$77)),IMSUM(IMPRODUCT('Small Signal'!$B$80,IMPOWER(M78,2)),IMSUM(IMPRODUCT(M78,'Small Signal'!$B$79),'Small Signal'!$B$78)))</f>
        <v>5.30783030809942-0.551747238818681i</v>
      </c>
      <c r="U78" s="292">
        <f t="shared" si="35"/>
        <v>14.545016713515874</v>
      </c>
      <c r="V78" s="292">
        <f t="shared" si="36"/>
        <v>-5.9345635634968428</v>
      </c>
      <c r="W78" s="292" t="str">
        <f>IMPRODUCT(IMDIV(IMSUM(IMPRODUCT(M78,'Small Signal'!$B$59*'Small Signal'!$B$6*'Small Signal'!$B$51*'Small Signal'!$B$7*'Small Signal'!$B$8),'Small Signal'!$B$59*'Small Signal'!$B$6*'Small Signal'!$B$51),IMSUM(IMSUM(IMPRODUCT(M78,('Small Signal'!$B$5+'Small Signal'!$B$6)*('Small Signal'!$B$58*'Small Signal'!$B$59)+'Small Signal'!$B$5*'Small Signal'!$B$59*('Small Signal'!$B$8+'Small Signal'!$B$9)+'Small Signal'!$B$6*'Small Signal'!$B$59*('Small Signal'!$B$8+'Small Signal'!$B$9)+'Small Signal'!$B$7*'Small Signal'!$B$8*('Small Signal'!$B$5+'Small Signal'!$B$6)),'Small Signal'!$B$6+'Small Signal'!$B$5),IMPRODUCT(IMPOWER(M78,2),'Small Signal'!$B$58*'Small Signal'!$B$59*'Small Signal'!$B$8*'Small Signal'!$B$7*('Small Signal'!$B$5+'Small Signal'!$B$6)+('Small Signal'!$B$5+'Small Signal'!$B$6)*('Small Signal'!$B$9*'Small Signal'!$B$8*'Small Signal'!$B$59*'Small Signal'!$B$7)))),-1)</f>
        <v>-2.28483967516922+16.566310039099i</v>
      </c>
      <c r="X78" s="292">
        <f t="shared" si="37"/>
        <v>0</v>
      </c>
      <c r="Y78" s="292">
        <f t="shared" si="38"/>
        <v>0</v>
      </c>
      <c r="Z78" s="292" t="str">
        <f t="shared" si="39"/>
        <v>1.00000149673379+0.00173159504789761i</v>
      </c>
      <c r="AA78" s="292" t="str">
        <f t="shared" si="40"/>
        <v>-2.31472475133053+139.006295281133i</v>
      </c>
      <c r="AB78" s="289">
        <f t="shared" si="56"/>
        <v>42.861893454254918</v>
      </c>
      <c r="AC78" s="292">
        <f t="shared" si="57"/>
        <v>90.953997820380607</v>
      </c>
      <c r="AD78" s="292" t="str">
        <f t="shared" si="41"/>
        <v>-2.98712545552415+89.1918165008193i</v>
      </c>
      <c r="AE78" s="289">
        <f t="shared" si="42"/>
        <v>39.011368708192876</v>
      </c>
      <c r="AF78" s="292">
        <f t="shared" si="43"/>
        <v>91.918177488396196</v>
      </c>
      <c r="AH78" s="292" t="str">
        <f t="shared" si="44"/>
        <v>0.00075-4.41390396798597i</v>
      </c>
      <c r="AI78" s="292">
        <f t="shared" si="45"/>
        <v>0.95</v>
      </c>
      <c r="AJ78" s="292" t="str">
        <f t="shared" si="46"/>
        <v>1000-466108259.019318i</v>
      </c>
      <c r="AK78" s="292" t="str">
        <f t="shared" si="47"/>
        <v>0.907910725567829-0.195401539489135i</v>
      </c>
      <c r="AL78" s="292" t="str">
        <f t="shared" si="48"/>
        <v>1.18810558042139-0.000168800946484218i</v>
      </c>
      <c r="AM78" s="292" t="str">
        <f t="shared" si="49"/>
        <v>0.019+0.00471993352923794i</v>
      </c>
      <c r="AN78" s="292" t="str">
        <f t="shared" si="50"/>
        <v>8.25141411515997-1.0128474675958i</v>
      </c>
      <c r="AO78" s="292">
        <f t="shared" si="58"/>
        <v>18.395515437202931</v>
      </c>
      <c r="AP78" s="292">
        <f t="shared" si="59"/>
        <v>-6.9979560719270957</v>
      </c>
      <c r="AR78" s="292" t="str">
        <f t="shared" si="51"/>
        <v>1.18810558042139-0.000168800946484218i</v>
      </c>
      <c r="AS78" s="292" t="str">
        <f t="shared" si="52"/>
        <v>8.25141411515997-1.0128474675958i</v>
      </c>
      <c r="AT78" s="292">
        <f t="shared" si="60"/>
        <v>18.395515437202931</v>
      </c>
      <c r="AU78" s="292">
        <f t="shared" si="61"/>
        <v>-6.9979560719270957</v>
      </c>
    </row>
    <row r="79" spans="1:47" x14ac:dyDescent="0.25">
      <c r="A79" s="295" t="s">
        <v>479</v>
      </c>
      <c r="B79" s="297">
        <f>B12*B74*B11*B72-B70*B64*B71*B54</f>
        <v>1082.0426947331914</v>
      </c>
      <c r="C79" s="292"/>
      <c r="D79" s="292"/>
      <c r="F79" s="292">
        <v>77</v>
      </c>
      <c r="G79" s="293">
        <f t="shared" si="32"/>
        <v>168.69623395531738</v>
      </c>
      <c r="H79" s="293">
        <f t="shared" si="33"/>
        <v>168.57881372500071</v>
      </c>
      <c r="I79" s="294">
        <f t="shared" si="34"/>
        <v>1</v>
      </c>
      <c r="J79" s="292">
        <f t="shared" si="53"/>
        <v>1</v>
      </c>
      <c r="K79" s="292">
        <f t="shared" si="53"/>
        <v>1</v>
      </c>
      <c r="L79" s="292">
        <f>10^('Small Signal'!F79/30)</f>
        <v>368.69450645195781</v>
      </c>
      <c r="M79" s="292" t="str">
        <f t="shared" si="54"/>
        <v>2316.57590577677i</v>
      </c>
      <c r="N79" s="292">
        <f>IF(D$32=1, IF(AND('Small Signal'!$B$63&gt;=1,FCCM=0),U79+0,R79+0), 0)</f>
        <v>0</v>
      </c>
      <c r="O79" s="292">
        <f>IF(D$32=1, IF(AND('Small Signal'!$B$63&gt;=1,FCCM=0),V79,S79), 0)</f>
        <v>0</v>
      </c>
      <c r="P79" s="292">
        <f>IF(AND('Small Signal'!$B$63&gt;=1,FCCM=0),AE79+0,AB79+0)</f>
        <v>42.192210623290798</v>
      </c>
      <c r="Q79" s="292">
        <f>IF(AND('Small Signal'!$B$63&gt;=1,FCCM=0),AF79,AC79)</f>
        <v>90.593122071059966</v>
      </c>
      <c r="R79" s="292">
        <f t="shared" si="55"/>
        <v>18.385472100026448</v>
      </c>
      <c r="S79" s="292">
        <f t="shared" si="55"/>
        <v>-7.5505718238699524</v>
      </c>
      <c r="T79" s="292" t="str">
        <f>IMDIV(IMSUM('Small Signal'!$B$76,IMPRODUCT(M79,'Small Signal'!$B$77)),IMSUM(IMPRODUCT('Small Signal'!$B$80,IMPOWER(M79,2)),IMSUM(IMPRODUCT(M79,'Small Signal'!$B$79),'Small Signal'!$B$78)))</f>
        <v>5.29902768431123-0.594843529351671i</v>
      </c>
      <c r="U79" s="292">
        <f t="shared" si="35"/>
        <v>14.538308295860155</v>
      </c>
      <c r="V79" s="292">
        <f t="shared" si="36"/>
        <v>-6.4049368926778829</v>
      </c>
      <c r="W79" s="292" t="str">
        <f>IMPRODUCT(IMDIV(IMSUM(IMPRODUCT(M79,'Small Signal'!$B$59*'Small Signal'!$B$6*'Small Signal'!$B$51*'Small Signal'!$B$7*'Small Signal'!$B$8),'Small Signal'!$B$59*'Small Signal'!$B$6*'Small Signal'!$B$51),IMSUM(IMSUM(IMPRODUCT(M79,('Small Signal'!$B$5+'Small Signal'!$B$6)*('Small Signal'!$B$58*'Small Signal'!$B$59)+'Small Signal'!$B$5*'Small Signal'!$B$59*('Small Signal'!$B$8+'Small Signal'!$B$9)+'Small Signal'!$B$6*'Small Signal'!$B$59*('Small Signal'!$B$8+'Small Signal'!$B$9)+'Small Signal'!$B$7*'Small Signal'!$B$8*('Small Signal'!$B$5+'Small Signal'!$B$6)),'Small Signal'!$B$6+'Small Signal'!$B$5),IMPRODUCT(IMPOWER(M79,2),'Small Signal'!$B$58*'Small Signal'!$B$59*'Small Signal'!$B$8*'Small Signal'!$B$7*('Small Signal'!$B$5+'Small Signal'!$B$6)+('Small Signal'!$B$5+'Small Signal'!$B$6)*('Small Signal'!$B$9*'Small Signal'!$B$8*'Small Signal'!$B$59*'Small Signal'!$B$7)))),-1)</f>
        <v>-2.16699703268409+15.3479063626772i</v>
      </c>
      <c r="X79" s="292">
        <f t="shared" si="37"/>
        <v>0</v>
      </c>
      <c r="Y79" s="292">
        <f t="shared" si="38"/>
        <v>0</v>
      </c>
      <c r="Z79" s="292" t="str">
        <f t="shared" si="39"/>
        <v>1.00000174506326+0.00186973309215811i</v>
      </c>
      <c r="AA79" s="292" t="str">
        <f t="shared" si="40"/>
        <v>-1.33236810331393+128.70258229683i</v>
      </c>
      <c r="AB79" s="289">
        <f t="shared" si="56"/>
        <v>42.192210623290798</v>
      </c>
      <c r="AC79" s="292">
        <f t="shared" si="57"/>
        <v>90.593122071059966</v>
      </c>
      <c r="AD79" s="292" t="str">
        <f t="shared" si="41"/>
        <v>-2.35337447907941+82.6180048750594i</v>
      </c>
      <c r="AE79" s="289">
        <f t="shared" si="42"/>
        <v>38.345016479281604</v>
      </c>
      <c r="AF79" s="292">
        <f t="shared" si="43"/>
        <v>91.631629499035114</v>
      </c>
      <c r="AH79" s="292" t="str">
        <f t="shared" si="44"/>
        <v>0.00075-4.0877991289138i</v>
      </c>
      <c r="AI79" s="292">
        <f t="shared" si="45"/>
        <v>0.95</v>
      </c>
      <c r="AJ79" s="292" t="str">
        <f t="shared" si="46"/>
        <v>1000-431671588.013297i</v>
      </c>
      <c r="AK79" s="292" t="str">
        <f t="shared" si="47"/>
        <v>0.901285877061259-0.209448906055223i</v>
      </c>
      <c r="AL79" s="292" t="str">
        <f t="shared" si="48"/>
        <v>1.18810557644235-0.000182267068780644i</v>
      </c>
      <c r="AM79" s="292" t="str">
        <f t="shared" si="49"/>
        <v>0.019+0.00509646699270889i</v>
      </c>
      <c r="AN79" s="292" t="str">
        <f t="shared" si="50"/>
        <v>8.23173788186526-1.0911213453946i</v>
      </c>
      <c r="AO79" s="292">
        <f t="shared" si="58"/>
        <v>18.385472100026448</v>
      </c>
      <c r="AP79" s="292">
        <f t="shared" si="59"/>
        <v>-7.5505718238699524</v>
      </c>
      <c r="AR79" s="292" t="str">
        <f t="shared" si="51"/>
        <v>1.18810557644235-0.000182267068780644i</v>
      </c>
      <c r="AS79" s="292" t="str">
        <f t="shared" si="52"/>
        <v>8.23173788186526-1.0911213453946i</v>
      </c>
      <c r="AT79" s="292">
        <f t="shared" si="60"/>
        <v>18.385472100026448</v>
      </c>
      <c r="AU79" s="292">
        <f t="shared" si="61"/>
        <v>-7.5505718238699524</v>
      </c>
    </row>
    <row r="80" spans="1:47" x14ac:dyDescent="0.25">
      <c r="A80" s="295" t="s">
        <v>480</v>
      </c>
      <c r="B80" s="297">
        <f>B12*B74*B11*B73</f>
        <v>3.4465943422946812E-3</v>
      </c>
      <c r="C80" s="292"/>
      <c r="D80" s="292"/>
      <c r="F80" s="292">
        <v>78</v>
      </c>
      <c r="G80" s="293">
        <f t="shared" si="32"/>
        <v>168.70560112413045</v>
      </c>
      <c r="H80" s="293">
        <f t="shared" si="33"/>
        <v>168.57881372500071</v>
      </c>
      <c r="I80" s="294">
        <f t="shared" si="34"/>
        <v>1</v>
      </c>
      <c r="J80" s="292">
        <f t="shared" si="53"/>
        <v>1</v>
      </c>
      <c r="K80" s="292">
        <f t="shared" si="53"/>
        <v>1</v>
      </c>
      <c r="L80" s="292">
        <f>10^('Small Signal'!F80/30)</f>
        <v>398.10717055349761</v>
      </c>
      <c r="M80" s="292" t="str">
        <f t="shared" si="54"/>
        <v>2501.38112470457i</v>
      </c>
      <c r="N80" s="292">
        <f>IF(D$32=1, IF(AND('Small Signal'!$B$63&gt;=1,FCCM=0),U80+0,R80+0), 0)</f>
        <v>0</v>
      </c>
      <c r="O80" s="292">
        <f>IF(D$32=1, IF(AND('Small Signal'!$B$63&gt;=1,FCCM=0),V80,S80), 0)</f>
        <v>0</v>
      </c>
      <c r="P80" s="292">
        <f>IF(AND('Small Signal'!$B$63&gt;=1,FCCM=0),AE80+0,AB80+0)</f>
        <v>41.521571357332654</v>
      </c>
      <c r="Q80" s="292">
        <f>IF(AND('Small Signal'!$B$63&gt;=1,FCCM=0),AF80,AC80)</f>
        <v>90.23675879288642</v>
      </c>
      <c r="R80" s="292">
        <f t="shared" si="55"/>
        <v>18.373791618292273</v>
      </c>
      <c r="S80" s="292">
        <f t="shared" si="55"/>
        <v>-8.1458316531980888</v>
      </c>
      <c r="T80" s="292" t="str">
        <f>IMDIV(IMSUM('Small Signal'!$B$76,IMPRODUCT(M80,'Small Signal'!$B$77)),IMSUM(IMPRODUCT('Small Signal'!$B$80,IMPOWER(M80,2)),IMSUM(IMPRODUCT(M80,'Small Signal'!$B$79),'Small Signal'!$B$78)))</f>
        <v>5.2887986433995-0.641143608752582i</v>
      </c>
      <c r="U80" s="292">
        <f t="shared" si="35"/>
        <v>14.530499765877916</v>
      </c>
      <c r="V80" s="292">
        <f t="shared" si="36"/>
        <v>-6.9120503497307357</v>
      </c>
      <c r="W80" s="292" t="str">
        <f>IMPRODUCT(IMDIV(IMSUM(IMPRODUCT(M80,'Small Signal'!$B$59*'Small Signal'!$B$6*'Small Signal'!$B$51*'Small Signal'!$B$7*'Small Signal'!$B$8),'Small Signal'!$B$59*'Small Signal'!$B$6*'Small Signal'!$B$51),IMSUM(IMSUM(IMPRODUCT(M80,('Small Signal'!$B$5+'Small Signal'!$B$6)*('Small Signal'!$B$58*'Small Signal'!$B$59)+'Small Signal'!$B$5*'Small Signal'!$B$59*('Small Signal'!$B$8+'Small Signal'!$B$9)+'Small Signal'!$B$6*'Small Signal'!$B$59*('Small Signal'!$B$8+'Small Signal'!$B$9)+'Small Signal'!$B$7*'Small Signal'!$B$8*('Small Signal'!$B$5+'Small Signal'!$B$6)),'Small Signal'!$B$6+'Small Signal'!$B$5),IMPRODUCT(IMPOWER(M80,2),'Small Signal'!$B$58*'Small Signal'!$B$59*'Small Signal'!$B$8*'Small Signal'!$B$7*('Small Signal'!$B$5+'Small Signal'!$B$6)+('Small Signal'!$B$5+'Small Signal'!$B$6)*('Small Signal'!$B$9*'Small Signal'!$B$8*'Small Signal'!$B$59*'Small Signal'!$B$7)))),-1)</f>
        <v>-2.06585694206292+14.2184038136582i</v>
      </c>
      <c r="X80" s="292">
        <f t="shared" si="37"/>
        <v>0</v>
      </c>
      <c r="Y80" s="292">
        <f t="shared" si="38"/>
        <v>0</v>
      </c>
      <c r="Z80" s="292" t="str">
        <f t="shared" si="39"/>
        <v>1.0000020345941+0.00201889106131169i</v>
      </c>
      <c r="AA80" s="292" t="str">
        <f t="shared" si="40"/>
        <v>-0.492335119922853+119.144736195823i</v>
      </c>
      <c r="AB80" s="289">
        <f t="shared" si="56"/>
        <v>41.521571357332654</v>
      </c>
      <c r="AC80" s="292">
        <f t="shared" si="57"/>
        <v>90.23675879288642</v>
      </c>
      <c r="AD80" s="292" t="str">
        <f t="shared" si="41"/>
        <v>-1.80986266084952+76.5227857759826i</v>
      </c>
      <c r="AE80" s="289">
        <f t="shared" si="42"/>
        <v>37.678244131284075</v>
      </c>
      <c r="AF80" s="292">
        <f t="shared" si="43"/>
        <v>91.354866551750888</v>
      </c>
      <c r="AH80" s="292" t="str">
        <f t="shared" si="44"/>
        <v>0.00075-3.78578733011563i</v>
      </c>
      <c r="AI80" s="292">
        <f t="shared" si="45"/>
        <v>0.95</v>
      </c>
      <c r="AJ80" s="292" t="str">
        <f t="shared" si="46"/>
        <v>1000-399779142.060212i</v>
      </c>
      <c r="AK80" s="292" t="str">
        <f t="shared" si="47"/>
        <v>0.893683012351822-0.224248368438519i</v>
      </c>
      <c r="AL80" s="292" t="str">
        <f t="shared" si="48"/>
        <v>1.18810557180312-0.000196807453011136i</v>
      </c>
      <c r="AM80" s="292" t="str">
        <f t="shared" si="49"/>
        <v>0.019+0.00550303847435005i</v>
      </c>
      <c r="AN80" s="292" t="str">
        <f t="shared" si="50"/>
        <v>8.20891142808727-1.17500129069465i</v>
      </c>
      <c r="AO80" s="292">
        <f t="shared" si="58"/>
        <v>18.373791618292273</v>
      </c>
      <c r="AP80" s="292">
        <f t="shared" si="59"/>
        <v>-8.1458316531980888</v>
      </c>
      <c r="AR80" s="292" t="str">
        <f t="shared" si="51"/>
        <v>1.18810557180312-0.000196807453011136i</v>
      </c>
      <c r="AS80" s="292" t="str">
        <f t="shared" si="52"/>
        <v>8.20891142808727-1.17500129069465i</v>
      </c>
      <c r="AT80" s="292">
        <f t="shared" si="60"/>
        <v>18.373791618292273</v>
      </c>
      <c r="AU80" s="292">
        <f t="shared" si="61"/>
        <v>-8.1458316531980888</v>
      </c>
    </row>
    <row r="81" spans="1:47" x14ac:dyDescent="0.25">
      <c r="A81" s="295"/>
      <c r="B81" s="292"/>
      <c r="C81" s="292"/>
      <c r="D81" s="292"/>
      <c r="F81" s="292">
        <v>79</v>
      </c>
      <c r="G81" s="293">
        <f t="shared" si="32"/>
        <v>168.71571554763756</v>
      </c>
      <c r="H81" s="293">
        <f t="shared" si="33"/>
        <v>168.57881372500071</v>
      </c>
      <c r="I81" s="294">
        <f t="shared" si="34"/>
        <v>1</v>
      </c>
      <c r="J81" s="292">
        <f t="shared" si="53"/>
        <v>1</v>
      </c>
      <c r="K81" s="292">
        <f t="shared" si="53"/>
        <v>1</v>
      </c>
      <c r="L81" s="292">
        <f>10^('Small Signal'!F81/30)</f>
        <v>429.86623470822781</v>
      </c>
      <c r="M81" s="292" t="str">
        <f t="shared" si="54"/>
        <v>2700.92920997135i</v>
      </c>
      <c r="N81" s="292">
        <f>IF(D$32=1, IF(AND('Small Signal'!$B$63&gt;=1,FCCM=0),U81+0,R81+0), 0)</f>
        <v>0</v>
      </c>
      <c r="O81" s="292">
        <f>IF(D$32=1, IF(AND('Small Signal'!$B$63&gt;=1,FCCM=0),V81,S81), 0)</f>
        <v>0</v>
      </c>
      <c r="P81" s="292">
        <f>IF(AND('Small Signal'!$B$63&gt;=1,FCCM=0),AE81+0,AB81+0)</f>
        <v>40.84989177065615</v>
      </c>
      <c r="Q81" s="292">
        <f>IF(AND('Small Signal'!$B$63&gt;=1,FCCM=0),AF81,AC81)</f>
        <v>89.883103781761392</v>
      </c>
      <c r="R81" s="292">
        <f t="shared" si="55"/>
        <v>18.360212641415036</v>
      </c>
      <c r="S81" s="292">
        <f t="shared" si="55"/>
        <v>-8.7867741883762776</v>
      </c>
      <c r="T81" s="292" t="str">
        <f>IMDIV(IMSUM('Small Signal'!$B$76,IMPRODUCT(M81,'Small Signal'!$B$77)),IMSUM(IMPRODUCT('Small Signal'!$B$80,IMPOWER(M81,2)),IMSUM(IMPRODUCT(M81,'Small Signal'!$B$79),'Small Signal'!$B$78)))</f>
        <v>5.27691851413854-0.690844179222693i</v>
      </c>
      <c r="U81" s="292">
        <f t="shared" si="35"/>
        <v>14.5214131755527</v>
      </c>
      <c r="V81" s="292">
        <f t="shared" si="36"/>
        <v>-7.4586354358107858</v>
      </c>
      <c r="W81" s="292" t="str">
        <f>IMPRODUCT(IMDIV(IMSUM(IMPRODUCT(M81,'Small Signal'!$B$59*'Small Signal'!$B$6*'Small Signal'!$B$51*'Small Signal'!$B$7*'Small Signal'!$B$8),'Small Signal'!$B$59*'Small Signal'!$B$6*'Small Signal'!$B$51),IMSUM(IMSUM(IMPRODUCT(M81,('Small Signal'!$B$5+'Small Signal'!$B$6)*('Small Signal'!$B$58*'Small Signal'!$B$59)+'Small Signal'!$B$5*'Small Signal'!$B$59*('Small Signal'!$B$8+'Small Signal'!$B$9)+'Small Signal'!$B$6*'Small Signal'!$B$59*('Small Signal'!$B$8+'Small Signal'!$B$9)+'Small Signal'!$B$7*'Small Signal'!$B$8*('Small Signal'!$B$5+'Small Signal'!$B$6)),'Small Signal'!$B$6+'Small Signal'!$B$5),IMPRODUCT(IMPOWER(M81,2),'Small Signal'!$B$58*'Small Signal'!$B$59*'Small Signal'!$B$8*'Small Signal'!$B$7*('Small Signal'!$B$5+'Small Signal'!$B$6)+('Small Signal'!$B$5+'Small Signal'!$B$6)*('Small Signal'!$B$9*'Small Signal'!$B$8*'Small Signal'!$B$59*'Small Signal'!$B$7)))),-1)</f>
        <v>-1.97906020905618+13.1714644690466i</v>
      </c>
      <c r="X81" s="292">
        <f t="shared" si="37"/>
        <v>0</v>
      </c>
      <c r="Y81" s="292">
        <f t="shared" si="38"/>
        <v>0</v>
      </c>
      <c r="Z81" s="292" t="str">
        <f t="shared" si="39"/>
        <v>1.00000237216216+0.0021799480561171i</v>
      </c>
      <c r="AA81" s="292" t="str">
        <f t="shared" si="40"/>
        <v>0.22499461100785+110.279219734579i</v>
      </c>
      <c r="AB81" s="289">
        <f t="shared" si="56"/>
        <v>40.84989177065615</v>
      </c>
      <c r="AC81" s="292">
        <f t="shared" si="57"/>
        <v>89.883103781761392</v>
      </c>
      <c r="AD81" s="292" t="str">
        <f t="shared" si="41"/>
        <v>-1.34390989748408+70.8719669407877i</v>
      </c>
      <c r="AE81" s="289">
        <f t="shared" si="42"/>
        <v>37.011051062199058</v>
      </c>
      <c r="AF81" s="292">
        <f t="shared" si="43"/>
        <v>91.08634120529004</v>
      </c>
      <c r="AH81" s="292" t="str">
        <f t="shared" si="44"/>
        <v>0.00075-3.50608854713279i</v>
      </c>
      <c r="AI81" s="292">
        <f t="shared" si="45"/>
        <v>0.95</v>
      </c>
      <c r="AJ81" s="292" t="str">
        <f t="shared" si="46"/>
        <v>1000-370242950.577223i</v>
      </c>
      <c r="AK81" s="292" t="str">
        <f t="shared" si="47"/>
        <v>0.884979234772088-0.239777605191681i</v>
      </c>
      <c r="AL81" s="292" t="str">
        <f t="shared" si="48"/>
        <v>1.18810556639418-0.000212507798554946i</v>
      </c>
      <c r="AM81" s="292" t="str">
        <f t="shared" si="49"/>
        <v>0.019+0.00594204426193697i</v>
      </c>
      <c r="AN81" s="292" t="str">
        <f t="shared" si="50"/>
        <v>8.18245192215703-1.26477649821055i</v>
      </c>
      <c r="AO81" s="292">
        <f t="shared" si="58"/>
        <v>18.360212641415036</v>
      </c>
      <c r="AP81" s="292">
        <f t="shared" si="59"/>
        <v>-8.7867741883762776</v>
      </c>
      <c r="AR81" s="292" t="str">
        <f t="shared" si="51"/>
        <v>1.18810556639418-0.000212507798554946i</v>
      </c>
      <c r="AS81" s="292" t="str">
        <f t="shared" si="52"/>
        <v>8.18245192215703-1.26477649821055i</v>
      </c>
      <c r="AT81" s="292">
        <f t="shared" si="60"/>
        <v>18.360212641415036</v>
      </c>
      <c r="AU81" s="292">
        <f t="shared" si="61"/>
        <v>-8.7867741883762776</v>
      </c>
    </row>
    <row r="82" spans="1:47" x14ac:dyDescent="0.25">
      <c r="A82" s="295" t="s">
        <v>481</v>
      </c>
      <c r="B82" s="292">
        <f>1+Se_ss/Sn</f>
        <v>3.194897920360833</v>
      </c>
      <c r="C82" s="292"/>
      <c r="D82" s="292"/>
      <c r="F82" s="292">
        <v>80</v>
      </c>
      <c r="G82" s="293">
        <f t="shared" si="32"/>
        <v>168.72663683491004</v>
      </c>
      <c r="H82" s="293">
        <f t="shared" si="33"/>
        <v>168.57881372500071</v>
      </c>
      <c r="I82" s="294">
        <f t="shared" si="34"/>
        <v>1</v>
      </c>
      <c r="J82" s="292">
        <f t="shared" si="53"/>
        <v>1</v>
      </c>
      <c r="K82" s="292">
        <f t="shared" si="53"/>
        <v>1</v>
      </c>
      <c r="L82" s="292">
        <f>10^('Small Signal'!F82/30)</f>
        <v>464.15888336127819</v>
      </c>
      <c r="M82" s="292" t="str">
        <f t="shared" si="54"/>
        <v>2916.39627613247i</v>
      </c>
      <c r="N82" s="292">
        <f>IF(D$32=1, IF(AND('Small Signal'!$B$63&gt;=1,FCCM=0),U82+0,R82+0), 0)</f>
        <v>0</v>
      </c>
      <c r="O82" s="292">
        <f>IF(D$32=1, IF(AND('Small Signal'!$B$63&gt;=1,FCCM=0),V82,S82), 0)</f>
        <v>0</v>
      </c>
      <c r="P82" s="292">
        <f>IF(AND('Small Signal'!$B$63&gt;=1,FCCM=0),AE82+0,AB82+0)</f>
        <v>40.177066965970056</v>
      </c>
      <c r="Q82" s="292">
        <f>IF(AND('Small Signal'!$B$63&gt;=1,FCCM=0),AF82,AC82)</f>
        <v>89.530432898046541</v>
      </c>
      <c r="R82" s="292">
        <f t="shared" si="55"/>
        <v>18.344434027141745</v>
      </c>
      <c r="S82" s="292">
        <f t="shared" si="55"/>
        <v>-9.4765908461944974</v>
      </c>
      <c r="T82" s="292" t="str">
        <f>IMDIV(IMSUM('Small Signal'!$B$76,IMPRODUCT(M82,'Small Signal'!$B$77)),IMSUM(IMPRODUCT('Small Signal'!$B$80,IMPOWER(M82,2)),IMSUM(IMPRODUCT(M82,'Small Signal'!$B$79),'Small Signal'!$B$78)))</f>
        <v>5.26312951561424-0.744143194238712i</v>
      </c>
      <c r="U82" s="292">
        <f t="shared" si="35"/>
        <v>14.510842660984455</v>
      </c>
      <c r="V82" s="292">
        <f t="shared" si="36"/>
        <v>-8.0475915432311353</v>
      </c>
      <c r="W82" s="292" t="str">
        <f>IMPRODUCT(IMDIV(IMSUM(IMPRODUCT(M82,'Small Signal'!$B$59*'Small Signal'!$B$6*'Small Signal'!$B$51*'Small Signal'!$B$7*'Small Signal'!$B$8),'Small Signal'!$B$59*'Small Signal'!$B$6*'Small Signal'!$B$51),IMSUM(IMSUM(IMPRODUCT(M82,('Small Signal'!$B$5+'Small Signal'!$B$6)*('Small Signal'!$B$58*'Small Signal'!$B$59)+'Small Signal'!$B$5*'Small Signal'!$B$59*('Small Signal'!$B$8+'Small Signal'!$B$9)+'Small Signal'!$B$6*'Small Signal'!$B$59*('Small Signal'!$B$8+'Small Signal'!$B$9)+'Small Signal'!$B$7*'Small Signal'!$B$8*('Small Signal'!$B$5+'Small Signal'!$B$6)),'Small Signal'!$B$6+'Small Signal'!$B$5),IMPRODUCT(IMPOWER(M82,2),'Small Signal'!$B$58*'Small Signal'!$B$59*'Small Signal'!$B$8*'Small Signal'!$B$7*('Small Signal'!$B$5+'Small Signal'!$B$6)+('Small Signal'!$B$5+'Small Signal'!$B$6)*('Small Signal'!$B$9*'Small Signal'!$B$8*'Small Signal'!$B$59*'Small Signal'!$B$7)))),-1)</f>
        <v>-1.90457871347194+12.2011717291733i</v>
      </c>
      <c r="X82" s="292">
        <f t="shared" si="37"/>
        <v>0</v>
      </c>
      <c r="Y82" s="292">
        <f t="shared" si="38"/>
        <v>0</v>
      </c>
      <c r="Z82" s="292" t="str">
        <f t="shared" si="39"/>
        <v>1.00000276573748+0.00235385330371555i</v>
      </c>
      <c r="AA82" s="292" t="str">
        <f t="shared" si="40"/>
        <v>0.836418281753676+102.056051859454i</v>
      </c>
      <c r="AB82" s="289">
        <f t="shared" si="56"/>
        <v>40.177066965970056</v>
      </c>
      <c r="AC82" s="292">
        <f t="shared" si="57"/>
        <v>89.530432898046541</v>
      </c>
      <c r="AD82" s="292" t="str">
        <f t="shared" si="41"/>
        <v>-0.944625537682677+65.6336263404121i</v>
      </c>
      <c r="AE82" s="289">
        <f t="shared" si="42"/>
        <v>36.343427514524961</v>
      </c>
      <c r="AF82" s="292">
        <f t="shared" si="43"/>
        <v>90.824566963194101</v>
      </c>
      <c r="AH82" s="292" t="str">
        <f t="shared" si="44"/>
        <v>0.00075-3.24705426597755i</v>
      </c>
      <c r="AI82" s="292">
        <f t="shared" si="45"/>
        <v>0.95</v>
      </c>
      <c r="AJ82" s="292" t="str">
        <f t="shared" si="46"/>
        <v>1000-342888930.487229i</v>
      </c>
      <c r="AK82" s="292" t="str">
        <f t="shared" si="47"/>
        <v>0.875043209600409-0.255996596087049i</v>
      </c>
      <c r="AL82" s="292" t="str">
        <f t="shared" si="48"/>
        <v>1.18810556008782-0.000229460641462614i</v>
      </c>
      <c r="AM82" s="292" t="str">
        <f t="shared" si="49"/>
        <v>0.019+0.00641607180749143i</v>
      </c>
      <c r="AN82" s="292" t="str">
        <f t="shared" si="50"/>
        <v>8.1518100267308-1.3607215660098i</v>
      </c>
      <c r="AO82" s="292">
        <f t="shared" si="58"/>
        <v>18.344434027141745</v>
      </c>
      <c r="AP82" s="292">
        <f t="shared" si="59"/>
        <v>-9.4765908461944974</v>
      </c>
      <c r="AR82" s="292" t="str">
        <f t="shared" si="51"/>
        <v>1.18810556008782-0.000229460641462614i</v>
      </c>
      <c r="AS82" s="292" t="str">
        <f t="shared" si="52"/>
        <v>8.1518100267308-1.3607215660098i</v>
      </c>
      <c r="AT82" s="292">
        <f t="shared" si="60"/>
        <v>18.344434027141745</v>
      </c>
      <c r="AU82" s="292">
        <f t="shared" si="61"/>
        <v>-9.4765908461944974</v>
      </c>
    </row>
    <row r="83" spans="1:47" x14ac:dyDescent="0.25">
      <c r="A83" s="295" t="s">
        <v>482</v>
      </c>
      <c r="B83" s="292">
        <f>1/(Co_ss*Ro)+1/(fsw_ss*Lo_ss*Co_ss)*(mc*(1-Vo_ss/Vi_ss)-0.5)</f>
        <v>17938.518957685956</v>
      </c>
      <c r="C83" s="292"/>
      <c r="D83" s="292"/>
      <c r="F83" s="292">
        <v>81</v>
      </c>
      <c r="G83" s="293">
        <f t="shared" si="32"/>
        <v>168.73842934948996</v>
      </c>
      <c r="H83" s="293">
        <f t="shared" si="33"/>
        <v>168.57881372500071</v>
      </c>
      <c r="I83" s="294">
        <f t="shared" si="34"/>
        <v>1</v>
      </c>
      <c r="J83" s="292">
        <f t="shared" si="53"/>
        <v>1</v>
      </c>
      <c r="K83" s="292">
        <f t="shared" si="53"/>
        <v>1</v>
      </c>
      <c r="L83" s="292">
        <f>10^('Small Signal'!F83/30)</f>
        <v>501.18723362727269</v>
      </c>
      <c r="M83" s="292" t="str">
        <f t="shared" si="54"/>
        <v>3149.05226247286i</v>
      </c>
      <c r="N83" s="292">
        <f>IF(D$32=1, IF(AND('Small Signal'!$B$63&gt;=1,FCCM=0),U83+0,R83+0), 0)</f>
        <v>0</v>
      </c>
      <c r="O83" s="292">
        <f>IF(D$32=1, IF(AND('Small Signal'!$B$63&gt;=1,FCCM=0),V83,S83), 0)</f>
        <v>0</v>
      </c>
      <c r="P83" s="292">
        <f>IF(AND('Small Signal'!$B$63&gt;=1,FCCM=0),AE83+0,AB83+0)</f>
        <v>39.502969730651046</v>
      </c>
      <c r="Q83" s="292">
        <f>IF(AND('Small Signal'!$B$63&gt;=1,FCCM=0),AF83,AC83)</f>
        <v>89.177108463119566</v>
      </c>
      <c r="R83" s="292">
        <f t="shared" si="55"/>
        <v>18.326109453408716</v>
      </c>
      <c r="S83" s="292">
        <f t="shared" si="55"/>
        <v>-10.218616811431783</v>
      </c>
      <c r="T83" s="292" t="str">
        <f>IMDIV(IMSUM('Small Signal'!$B$76,IMPRODUCT(M83,'Small Signal'!$B$77)),IMSUM(IMPRODUCT('Small Signal'!$B$80,IMPOWER(M83,2)),IMSUM(IMPRODUCT(M83,'Small Signal'!$B$79),'Small Signal'!$B$78)))</f>
        <v>5.24713668009936-0.801236581208514i</v>
      </c>
      <c r="U83" s="292">
        <f t="shared" si="35"/>
        <v>14.498550367919492</v>
      </c>
      <c r="V83" s="292">
        <f t="shared" si="36"/>
        <v>-8.6819871390616399</v>
      </c>
      <c r="W83" s="292" t="str">
        <f>IMPRODUCT(IMDIV(IMSUM(IMPRODUCT(M83,'Small Signal'!$B$59*'Small Signal'!$B$6*'Small Signal'!$B$51*'Small Signal'!$B$7*'Small Signal'!$B$8),'Small Signal'!$B$59*'Small Signal'!$B$6*'Small Signal'!$B$51),IMSUM(IMSUM(IMPRODUCT(M83,('Small Signal'!$B$5+'Small Signal'!$B$6)*('Small Signal'!$B$58*'Small Signal'!$B$59)+'Small Signal'!$B$5*'Small Signal'!$B$59*('Small Signal'!$B$8+'Small Signal'!$B$9)+'Small Signal'!$B$6*'Small Signal'!$B$59*('Small Signal'!$B$8+'Small Signal'!$B$9)+'Small Signal'!$B$7*'Small Signal'!$B$8*('Small Signal'!$B$5+'Small Signal'!$B$6)),'Small Signal'!$B$6+'Small Signal'!$B$5),IMPRODUCT(IMPOWER(M83,2),'Small Signal'!$B$58*'Small Signal'!$B$59*'Small Signal'!$B$8*'Small Signal'!$B$7*('Small Signal'!$B$5+'Small Signal'!$B$6)+('Small Signal'!$B$5+'Small Signal'!$B$6)*('Small Signal'!$B$9*'Small Signal'!$B$8*'Small Signal'!$B$59*'Small Signal'!$B$7)))),-1)</f>
        <v>-1.84066951871051+11.3020087597116i</v>
      </c>
      <c r="X83" s="292">
        <f t="shared" si="37"/>
        <v>0</v>
      </c>
      <c r="Y83" s="292">
        <f t="shared" si="38"/>
        <v>0</v>
      </c>
      <c r="Z83" s="292" t="str">
        <f t="shared" si="39"/>
        <v>1.00000322461242+0.00254163175093245i</v>
      </c>
      <c r="AA83" s="292" t="str">
        <f t="shared" si="40"/>
        <v>1.35629299704555+94.4286310395654i</v>
      </c>
      <c r="AB83" s="289">
        <f t="shared" si="56"/>
        <v>39.502969730651046</v>
      </c>
      <c r="AC83" s="292">
        <f t="shared" si="57"/>
        <v>89.177108463119566</v>
      </c>
      <c r="AD83" s="292" t="str">
        <f t="shared" si="41"/>
        <v>-0.602661688146753+60.7779964741933i</v>
      </c>
      <c r="AE83" s="289">
        <f t="shared" si="42"/>
        <v>35.675354581896613</v>
      </c>
      <c r="AF83" s="292">
        <f t="shared" si="43"/>
        <v>90.568114146235942</v>
      </c>
      <c r="AH83" s="292" t="str">
        <f t="shared" si="44"/>
        <v>0.00075-3.0071577669723i</v>
      </c>
      <c r="AI83" s="292">
        <f t="shared" si="45"/>
        <v>0.95</v>
      </c>
      <c r="AJ83" s="292" t="str">
        <f t="shared" si="46"/>
        <v>1000-317555860.192275i</v>
      </c>
      <c r="AK83" s="292" t="str">
        <f t="shared" si="47"/>
        <v>0.863736956098445-0.27284415463431i</v>
      </c>
      <c r="AL83" s="292" t="str">
        <f t="shared" si="48"/>
        <v>1.18810555273515-0.000247765899849797i</v>
      </c>
      <c r="AM83" s="292" t="str">
        <f t="shared" si="49"/>
        <v>0.019+0.00692791497744029i</v>
      </c>
      <c r="AN83" s="292" t="str">
        <f t="shared" si="50"/>
        <v>8.11636335548705-1.46308700989557i</v>
      </c>
      <c r="AO83" s="292">
        <f t="shared" si="58"/>
        <v>18.326109453408716</v>
      </c>
      <c r="AP83" s="292">
        <f t="shared" si="59"/>
        <v>-10.218616811431783</v>
      </c>
      <c r="AR83" s="292" t="str">
        <f t="shared" si="51"/>
        <v>1.18810555273515-0.000247765899849797i</v>
      </c>
      <c r="AS83" s="292" t="str">
        <f t="shared" si="52"/>
        <v>8.11636335548705-1.46308700989557i</v>
      </c>
      <c r="AT83" s="292">
        <f t="shared" si="60"/>
        <v>18.326109453408716</v>
      </c>
      <c r="AU83" s="292">
        <f t="shared" si="61"/>
        <v>-10.218616811431783</v>
      </c>
    </row>
    <row r="84" spans="1:47" x14ac:dyDescent="0.25">
      <c r="A84" s="295" t="s">
        <v>483</v>
      </c>
      <c r="B84" s="292">
        <f>-Ri/(Lo_ss*q_2*w_2)</f>
        <v>-5.2604751436516758E-2</v>
      </c>
      <c r="C84" s="292"/>
      <c r="D84" s="292"/>
      <c r="F84" s="292">
        <v>82</v>
      </c>
      <c r="G84" s="293">
        <f t="shared" si="32"/>
        <v>168.75116258845804</v>
      </c>
      <c r="H84" s="293">
        <f t="shared" si="33"/>
        <v>168.57881372500071</v>
      </c>
      <c r="I84" s="294">
        <f t="shared" si="34"/>
        <v>1</v>
      </c>
      <c r="J84" s="292">
        <f t="shared" si="53"/>
        <v>1</v>
      </c>
      <c r="K84" s="292">
        <f t="shared" si="53"/>
        <v>1</v>
      </c>
      <c r="L84" s="292">
        <f>10^('Small Signal'!F84/30)</f>
        <v>541.16952654646434</v>
      </c>
      <c r="M84" s="292" t="str">
        <f t="shared" si="54"/>
        <v>3400.26841789008i</v>
      </c>
      <c r="N84" s="292">
        <f>IF(D$32=1, IF(AND('Small Signal'!$B$63&gt;=1,FCCM=0),U84+0,R84+0), 0)</f>
        <v>0</v>
      </c>
      <c r="O84" s="292">
        <f>IF(D$32=1, IF(AND('Small Signal'!$B$63&gt;=1,FCCM=0),V84,S84), 0)</f>
        <v>0</v>
      </c>
      <c r="P84" s="292">
        <f>IF(AND('Small Signal'!$B$63&gt;=1,FCCM=0),AE84+0,AB84+0)</f>
        <v>38.827449095764919</v>
      </c>
      <c r="Q84" s="292">
        <f>IF(AND('Small Signal'!$B$63&gt;=1,FCCM=0),AF84,AC84)</f>
        <v>88.821589312501288</v>
      </c>
      <c r="R84" s="292">
        <f t="shared" si="55"/>
        <v>18.304841534031553</v>
      </c>
      <c r="S84" s="292">
        <f t="shared" si="55"/>
        <v>-11.016316679729171</v>
      </c>
      <c r="T84" s="292" t="str">
        <f>IMDIV(IMSUM('Small Signal'!$B$76,IMPRODUCT(M84,'Small Signal'!$B$77)),IMSUM(IMPRODUCT('Small Signal'!$B$80,IMPOWER(M84,2)),IMSUM(IMPRODUCT(M84,'Small Signal'!$B$79),'Small Signal'!$B$78)))</f>
        <v>5.22860356312762-0.862313987469828i</v>
      </c>
      <c r="U84" s="292">
        <f t="shared" si="35"/>
        <v>14.484261889752688</v>
      </c>
      <c r="V84" s="292">
        <f t="shared" si="36"/>
        <v>-9.3650582132852094</v>
      </c>
      <c r="W84" s="292" t="str">
        <f>IMPRODUCT(IMDIV(IMSUM(IMPRODUCT(M84,'Small Signal'!$B$59*'Small Signal'!$B$6*'Small Signal'!$B$51*'Small Signal'!$B$7*'Small Signal'!$B$8),'Small Signal'!$B$59*'Small Signal'!$B$6*'Small Signal'!$B$51),IMSUM(IMSUM(IMPRODUCT(M84,('Small Signal'!$B$5+'Small Signal'!$B$6)*('Small Signal'!$B$58*'Small Signal'!$B$59)+'Small Signal'!$B$5*'Small Signal'!$B$59*('Small Signal'!$B$8+'Small Signal'!$B$9)+'Small Signal'!$B$6*'Small Signal'!$B$59*('Small Signal'!$B$8+'Small Signal'!$B$9)+'Small Signal'!$B$7*'Small Signal'!$B$8*('Small Signal'!$B$5+'Small Signal'!$B$6)),'Small Signal'!$B$6+'Small Signal'!$B$5),IMPRODUCT(IMPOWER(M84,2),'Small Signal'!$B$58*'Small Signal'!$B$59*'Small Signal'!$B$8*'Small Signal'!$B$7*('Small Signal'!$B$5+'Small Signal'!$B$6)+('Small Signal'!$B$5+'Small Signal'!$B$6)*('Small Signal'!$B$9*'Small Signal'!$B$8*'Small Signal'!$B$59*'Small Signal'!$B$7)))),-1)</f>
        <v>-1.78583519071956+10.4688365882695i</v>
      </c>
      <c r="X84" s="292">
        <f t="shared" si="37"/>
        <v>0</v>
      </c>
      <c r="Y84" s="292">
        <f t="shared" si="38"/>
        <v>0</v>
      </c>
      <c r="Z84" s="292" t="str">
        <f t="shared" si="39"/>
        <v>1.00000375962105+0.00274439010351622i</v>
      </c>
      <c r="AA84" s="292" t="str">
        <f t="shared" si="40"/>
        <v>1.7968667661611+87.3535568853952i</v>
      </c>
      <c r="AB84" s="289">
        <f t="shared" si="56"/>
        <v>38.827449095764919</v>
      </c>
      <c r="AC84" s="292">
        <f t="shared" si="57"/>
        <v>88.821589312501288</v>
      </c>
      <c r="AD84" s="292" t="str">
        <f t="shared" si="41"/>
        <v>-0.310000018754282+56.2773469515i</v>
      </c>
      <c r="AE84" s="289">
        <f t="shared" si="42"/>
        <v>35.006804086605271</v>
      </c>
      <c r="AF84" s="292">
        <f t="shared" si="43"/>
        <v>90.315606794603298</v>
      </c>
      <c r="AH84" s="292" t="str">
        <f t="shared" si="44"/>
        <v>0.00075-2.78498512643101i</v>
      </c>
      <c r="AI84" s="292">
        <f t="shared" si="45"/>
        <v>0.95</v>
      </c>
      <c r="AJ84" s="292" t="str">
        <f t="shared" si="46"/>
        <v>1000-294094429.351115i</v>
      </c>
      <c r="AK84" s="292" t="str">
        <f t="shared" si="47"/>
        <v>0.850918570432649-0.290234346612263i</v>
      </c>
      <c r="AL84" s="292" t="str">
        <f t="shared" si="48"/>
        <v>1.18810554416256-0.000267531462799255i</v>
      </c>
      <c r="AM84" s="292" t="str">
        <f t="shared" si="49"/>
        <v>0.019+0.00748059051935818i</v>
      </c>
      <c r="AN84" s="292" t="str">
        <f t="shared" si="50"/>
        <v>8.07541024100591-1.57208747652946i</v>
      </c>
      <c r="AO84" s="292">
        <f t="shared" si="58"/>
        <v>18.304841534031553</v>
      </c>
      <c r="AP84" s="292">
        <f t="shared" si="59"/>
        <v>-11.016316679729171</v>
      </c>
      <c r="AR84" s="292" t="str">
        <f t="shared" si="51"/>
        <v>1.18810554416256-0.000267531462799255i</v>
      </c>
      <c r="AS84" s="292" t="str">
        <f t="shared" si="52"/>
        <v>8.07541024100591-1.57208747652946i</v>
      </c>
      <c r="AT84" s="292">
        <f t="shared" si="60"/>
        <v>18.304841534031553</v>
      </c>
      <c r="AU84" s="292">
        <f t="shared" si="61"/>
        <v>-11.016316679729171</v>
      </c>
    </row>
    <row r="85" spans="1:47" x14ac:dyDescent="0.25">
      <c r="A85" s="295" t="s">
        <v>484</v>
      </c>
      <c r="B85" s="292">
        <f>(1-Ro/Ri*k_2)/((Ro+ESR_ss)*Co_ss-Ro*ESR_ss*Co_ss*k_2/Ri)</f>
        <v>17913.069310159834</v>
      </c>
      <c r="C85" s="292"/>
      <c r="D85" s="292"/>
      <c r="F85" s="292">
        <v>83</v>
      </c>
      <c r="G85" s="293">
        <f t="shared" si="32"/>
        <v>168.76491159168449</v>
      </c>
      <c r="H85" s="293">
        <f t="shared" si="33"/>
        <v>168.57881372500071</v>
      </c>
      <c r="I85" s="294">
        <f t="shared" si="34"/>
        <v>1</v>
      </c>
      <c r="J85" s="292">
        <f t="shared" si="53"/>
        <v>1</v>
      </c>
      <c r="K85" s="292">
        <f t="shared" si="53"/>
        <v>1</v>
      </c>
      <c r="L85" s="292">
        <f>10^('Small Signal'!F85/30)</f>
        <v>584.34141337351787</v>
      </c>
      <c r="M85" s="292" t="str">
        <f t="shared" si="54"/>
        <v>3671.52538288504i</v>
      </c>
      <c r="N85" s="292">
        <f>IF(D$32=1, IF(AND('Small Signal'!$B$63&gt;=1,FCCM=0),U85+0,R85+0), 0)</f>
        <v>0</v>
      </c>
      <c r="O85" s="292">
        <f>IF(D$32=1, IF(AND('Small Signal'!$B$63&gt;=1,FCCM=0),V85,S85), 0)</f>
        <v>0</v>
      </c>
      <c r="P85" s="292">
        <f>IF(AND('Small Signal'!$B$63&gt;=1,FCCM=0),AE85+0,AB85+0)</f>
        <v>38.150328840050925</v>
      </c>
      <c r="Q85" s="292">
        <f>IF(AND('Small Signal'!$B$63&gt;=1,FCCM=0),AF85,AC85)</f>
        <v>88.462445125179698</v>
      </c>
      <c r="R85" s="292">
        <f t="shared" si="55"/>
        <v>18.280175478009518</v>
      </c>
      <c r="S85" s="292">
        <f t="shared" si="55"/>
        <v>-11.873263511879442</v>
      </c>
      <c r="T85" s="292" t="str">
        <f>IMDIV(IMSUM('Small Signal'!$B$76,IMPRODUCT(M85,'Small Signal'!$B$77)),IMSUM(IMPRODUCT('Small Signal'!$B$80,IMPOWER(M85,2)),IMSUM(IMPRODUCT(M85,'Small Signal'!$B$79),'Small Signal'!$B$78)))</f>
        <v>5.20714784729074-0.927553354225915i</v>
      </c>
      <c r="U85" s="292">
        <f t="shared" si="35"/>
        <v>14.467661198310594</v>
      </c>
      <c r="V85" s="292">
        <f t="shared" si="36"/>
        <v>-10.100203185686992</v>
      </c>
      <c r="W85" s="292" t="str">
        <f>IMPRODUCT(IMDIV(IMSUM(IMPRODUCT(M85,'Small Signal'!$B$59*'Small Signal'!$B$6*'Small Signal'!$B$51*'Small Signal'!$B$7*'Small Signal'!$B$8),'Small Signal'!$B$59*'Small Signal'!$B$6*'Small Signal'!$B$51),IMSUM(IMSUM(IMPRODUCT(M85,('Small Signal'!$B$5+'Small Signal'!$B$6)*('Small Signal'!$B$58*'Small Signal'!$B$59)+'Small Signal'!$B$5*'Small Signal'!$B$59*('Small Signal'!$B$8+'Small Signal'!$B$9)+'Small Signal'!$B$6*'Small Signal'!$B$59*('Small Signal'!$B$8+'Small Signal'!$B$9)+'Small Signal'!$B$7*'Small Signal'!$B$8*('Small Signal'!$B$5+'Small Signal'!$B$6)),'Small Signal'!$B$6+'Small Signal'!$B$5),IMPRODUCT(IMPOWER(M85,2),'Small Signal'!$B$58*'Small Signal'!$B$59*'Small Signal'!$B$8*'Small Signal'!$B$7*('Small Signal'!$B$5+'Small Signal'!$B$6)+('Small Signal'!$B$5+'Small Signal'!$B$6)*('Small Signal'!$B$9*'Small Signal'!$B$8*'Small Signal'!$B$59*'Small Signal'!$B$7)))),-1)</f>
        <v>-1.7387895267602+9.69687227047904i</v>
      </c>
      <c r="X85" s="292">
        <f t="shared" si="37"/>
        <v>0</v>
      </c>
      <c r="Y85" s="292">
        <f t="shared" si="38"/>
        <v>0</v>
      </c>
      <c r="Z85" s="292" t="str">
        <f t="shared" si="39"/>
        <v>1.00000438339496+0.00296332334681851i</v>
      </c>
      <c r="AA85" s="292" t="str">
        <f t="shared" si="40"/>
        <v>2.16856431803857+80.7904537233501i</v>
      </c>
      <c r="AB85" s="289">
        <f t="shared" si="56"/>
        <v>38.150328840050925</v>
      </c>
      <c r="AC85" s="292">
        <f t="shared" si="57"/>
        <v>88.462445125179698</v>
      </c>
      <c r="AD85" s="292" t="str">
        <f t="shared" si="41"/>
        <v>-0.0597677411779607+52.1058676265175i</v>
      </c>
      <c r="AE85" s="289">
        <f t="shared" si="42"/>
        <v>34.337738350615041</v>
      </c>
      <c r="AF85" s="292">
        <f t="shared" si="43"/>
        <v>90.065720771472741</v>
      </c>
      <c r="AH85" s="292" t="str">
        <f t="shared" si="44"/>
        <v>0.00075-2.5792268831479i</v>
      </c>
      <c r="AI85" s="292">
        <f t="shared" si="45"/>
        <v>0.95</v>
      </c>
      <c r="AJ85" s="292" t="str">
        <f t="shared" si="46"/>
        <v>1000-272366358.860418i</v>
      </c>
      <c r="AK85" s="292" t="str">
        <f t="shared" si="47"/>
        <v>0.836446051408813-0.308053004601462i</v>
      </c>
      <c r="AL85" s="292" t="str">
        <f t="shared" si="48"/>
        <v>1.18810553416765-0.000288873826241689i</v>
      </c>
      <c r="AM85" s="292" t="str">
        <f t="shared" si="49"/>
        <v>0.019+0.00807735584234709i</v>
      </c>
      <c r="AN85" s="292" t="str">
        <f t="shared" si="50"/>
        <v>8.02816425269379-1.68788731787244i</v>
      </c>
      <c r="AO85" s="292">
        <f t="shared" si="58"/>
        <v>18.280175478009518</v>
      </c>
      <c r="AP85" s="292">
        <f t="shared" si="59"/>
        <v>-11.873263511879442</v>
      </c>
      <c r="AR85" s="292" t="str">
        <f t="shared" si="51"/>
        <v>1.18810553416765-0.000288873826241689i</v>
      </c>
      <c r="AS85" s="292" t="str">
        <f t="shared" si="52"/>
        <v>8.02816425269379-1.68788731787244i</v>
      </c>
      <c r="AT85" s="292">
        <f t="shared" si="60"/>
        <v>18.280175478009518</v>
      </c>
      <c r="AU85" s="292">
        <f t="shared" si="61"/>
        <v>-11.873263511879442</v>
      </c>
    </row>
    <row r="86" spans="1:47" x14ac:dyDescent="0.25">
      <c r="A86" s="295"/>
      <c r="B86" s="292"/>
      <c r="C86" s="292"/>
      <c r="D86" s="292"/>
      <c r="F86" s="292">
        <v>84</v>
      </c>
      <c r="G86" s="293">
        <f t="shared" si="32"/>
        <v>168.77975738365603</v>
      </c>
      <c r="H86" s="293">
        <f t="shared" si="33"/>
        <v>168.57881372500071</v>
      </c>
      <c r="I86" s="294">
        <f t="shared" si="34"/>
        <v>1</v>
      </c>
      <c r="J86" s="292">
        <f t="shared" si="53"/>
        <v>1</v>
      </c>
      <c r="K86" s="292">
        <f t="shared" si="53"/>
        <v>1</v>
      </c>
      <c r="L86" s="292">
        <f>10^('Small Signal'!F86/30)</f>
        <v>630.95734448019323</v>
      </c>
      <c r="M86" s="292" t="str">
        <f t="shared" si="54"/>
        <v>3964.421916295i</v>
      </c>
      <c r="N86" s="292">
        <f>IF(D$32=1, IF(AND('Small Signal'!$B$63&gt;=1,FCCM=0),U86+0,R86+0), 0)</f>
        <v>0</v>
      </c>
      <c r="O86" s="292">
        <f>IF(D$32=1, IF(AND('Small Signal'!$B$63&gt;=1,FCCM=0),V86,S86), 0)</f>
        <v>0</v>
      </c>
      <c r="P86" s="292">
        <f>IF(AND('Small Signal'!$B$63&gt;=1,FCCM=0),AE86+0,AB86+0)</f>
        <v>37.471406050742004</v>
      </c>
      <c r="Q86" s="292">
        <f>IF(AND('Small Signal'!$B$63&gt;=1,FCCM=0),AF86,AC86)</f>
        <v>88.098375675976499</v>
      </c>
      <c r="R86" s="292">
        <f t="shared" si="55"/>
        <v>18.251592371782191</v>
      </c>
      <c r="S86" s="292">
        <f t="shared" si="55"/>
        <v>-12.793109881007535</v>
      </c>
      <c r="T86" s="292" t="str">
        <f>IMDIV(IMSUM('Small Signal'!$B$76,IMPRODUCT(M86,'Small Signal'!$B$77)),IMSUM(IMPRODUCT('Small Signal'!$B$80,IMPOWER(M86,2)),IMSUM(IMPRODUCT(M86,'Small Signal'!$B$79),'Small Signal'!$B$78)))</f>
        <v>5.18233700178733-0.997114104181146i</v>
      </c>
      <c r="U86" s="292">
        <f t="shared" si="35"/>
        <v>14.448385062892115</v>
      </c>
      <c r="V86" s="292">
        <f t="shared" si="36"/>
        <v>-10.890973310389398</v>
      </c>
      <c r="W86" s="292" t="str">
        <f>IMPRODUCT(IMDIV(IMSUM(IMPRODUCT(M86,'Small Signal'!$B$59*'Small Signal'!$B$6*'Small Signal'!$B$51*'Small Signal'!$B$7*'Small Signal'!$B$8),'Small Signal'!$B$59*'Small Signal'!$B$6*'Small Signal'!$B$51),IMSUM(IMSUM(IMPRODUCT(M86,('Small Signal'!$B$5+'Small Signal'!$B$6)*('Small Signal'!$B$58*'Small Signal'!$B$59)+'Small Signal'!$B$5*'Small Signal'!$B$59*('Small Signal'!$B$8+'Small Signal'!$B$9)+'Small Signal'!$B$6*'Small Signal'!$B$59*('Small Signal'!$B$8+'Small Signal'!$B$9)+'Small Signal'!$B$7*'Small Signal'!$B$8*('Small Signal'!$B$5+'Small Signal'!$B$6)),'Small Signal'!$B$6+'Small Signal'!$B$5),IMPRODUCT(IMPOWER(M86,2),'Small Signal'!$B$58*'Small Signal'!$B$59*'Small Signal'!$B$8*'Small Signal'!$B$7*('Small Signal'!$B$5+'Small Signal'!$B$6)+('Small Signal'!$B$5+'Small Signal'!$B$6)*('Small Signal'!$B$9*'Small Signal'!$B$8*'Small Signal'!$B$59*'Small Signal'!$B$7)))),-1)</f>
        <v>-1.69842798625796+8.98166743270056i</v>
      </c>
      <c r="X86" s="292">
        <f t="shared" si="37"/>
        <v>0</v>
      </c>
      <c r="Y86" s="292">
        <f t="shared" si="38"/>
        <v>0</v>
      </c>
      <c r="Z86" s="292" t="str">
        <f t="shared" si="39"/>
        <v>1.00000511066145+0.00319972178623543i</v>
      </c>
      <c r="AA86" s="292" t="str">
        <f t="shared" si="40"/>
        <v>2.48023400899372+74.7017988762799i</v>
      </c>
      <c r="AB86" s="289">
        <f t="shared" si="56"/>
        <v>37.471406050742004</v>
      </c>
      <c r="AC86" s="292">
        <f t="shared" si="57"/>
        <v>88.098375675976499</v>
      </c>
      <c r="AD86" s="292" t="str">
        <f t="shared" si="41"/>
        <v>0.153921078154422+48.2395539742661i</v>
      </c>
      <c r="AE86" s="289">
        <f t="shared" si="42"/>
        <v>33.668109887983746</v>
      </c>
      <c r="AF86" s="292">
        <f t="shared" si="43"/>
        <v>89.817183255208931</v>
      </c>
      <c r="AH86" s="292" t="str">
        <f t="shared" si="44"/>
        <v>0.00075-2.38867032057652i</v>
      </c>
      <c r="AI86" s="292">
        <f t="shared" si="45"/>
        <v>0.95</v>
      </c>
      <c r="AJ86" s="292" t="str">
        <f t="shared" si="46"/>
        <v>1000-252243585.852881i</v>
      </c>
      <c r="AK86" s="292" t="str">
        <f t="shared" si="47"/>
        <v>0.820182369300034-0.326154634350469i</v>
      </c>
      <c r="AL86" s="292" t="str">
        <f t="shared" si="48"/>
        <v>1.18810552251444-0.000311918779562978i</v>
      </c>
      <c r="AM86" s="292" t="str">
        <f t="shared" si="49"/>
        <v>0.019+0.008721728215849i</v>
      </c>
      <c r="AN86" s="292" t="str">
        <f t="shared" si="50"/>
        <v>7.97375005795602-1.81058321293776i</v>
      </c>
      <c r="AO86" s="292">
        <f t="shared" si="58"/>
        <v>18.251592371782191</v>
      </c>
      <c r="AP86" s="292">
        <f t="shared" si="59"/>
        <v>-12.793109881007535</v>
      </c>
      <c r="AR86" s="292" t="str">
        <f t="shared" si="51"/>
        <v>1.18810552251444-0.000311918779562978i</v>
      </c>
      <c r="AS86" s="292" t="str">
        <f t="shared" si="52"/>
        <v>7.97375005795602-1.81058321293776i</v>
      </c>
      <c r="AT86" s="292">
        <f t="shared" si="60"/>
        <v>18.251592371782191</v>
      </c>
      <c r="AU86" s="292">
        <f t="shared" si="61"/>
        <v>-12.793109881007535</v>
      </c>
    </row>
    <row r="87" spans="1:47" x14ac:dyDescent="0.25">
      <c r="A87" s="295" t="s">
        <v>485</v>
      </c>
      <c r="B87" s="292">
        <f>1/(PI()*(((Sn+Se_ss)/(Sn+Sf))-0.5))</f>
        <v>0.18911218036195762</v>
      </c>
      <c r="C87" s="292">
        <f>1/(PI()*(((sn_vimax+Se_ss)/(sn_vimax+Sf))-0.5))</f>
        <v>0.18911218036195762</v>
      </c>
      <c r="D87" s="292"/>
      <c r="F87" s="292">
        <v>85</v>
      </c>
      <c r="G87" s="293">
        <f t="shared" si="32"/>
        <v>168.79578745045944</v>
      </c>
      <c r="H87" s="293">
        <f t="shared" si="33"/>
        <v>168.57881372500071</v>
      </c>
      <c r="I87" s="294">
        <f t="shared" si="34"/>
        <v>1</v>
      </c>
      <c r="J87" s="292">
        <f t="shared" si="53"/>
        <v>1</v>
      </c>
      <c r="K87" s="292">
        <f t="shared" si="53"/>
        <v>1</v>
      </c>
      <c r="L87" s="292">
        <f>10^('Small Signal'!F87/30)</f>
        <v>681.29206905796195</v>
      </c>
      <c r="M87" s="292" t="str">
        <f t="shared" si="54"/>
        <v>4280.68431820297i</v>
      </c>
      <c r="N87" s="292">
        <f>IF(D$32=1, IF(AND('Small Signal'!$B$63&gt;=1,FCCM=0),U87+0,R87+0), 0)</f>
        <v>0</v>
      </c>
      <c r="O87" s="292">
        <f>IF(D$32=1, IF(AND('Small Signal'!$B$63&gt;=1,FCCM=0),V87,S87), 0)</f>
        <v>0</v>
      </c>
      <c r="P87" s="292">
        <f>IF(AND('Small Signal'!$B$63&gt;=1,FCCM=0),AE87+0,AB87+0)</f>
        <v>36.790449890852152</v>
      </c>
      <c r="Q87" s="292">
        <f>IF(AND('Small Signal'!$B$63&gt;=1,FCCM=0),AF87,AC87)</f>
        <v>87.728235647865574</v>
      </c>
      <c r="R87" s="292">
        <f t="shared" si="55"/>
        <v>18.21850221632792</v>
      </c>
      <c r="S87" s="292">
        <f t="shared" si="55"/>
        <v>-13.779549349314614</v>
      </c>
      <c r="T87" s="292" t="str">
        <f>IMDIV(IMSUM('Small Signal'!$B$76,IMPRODUCT(M87,'Small Signal'!$B$77)),IMSUM(IMPRODUCT('Small Signal'!$B$80,IMPOWER(M87,2)),IMSUM(IMPRODUCT(M87,'Small Signal'!$B$79),'Small Signal'!$B$78)))</f>
        <v>5.15368423143834-1.07112871730974i</v>
      </c>
      <c r="U87" s="292">
        <f t="shared" si="35"/>
        <v>14.426016975483149</v>
      </c>
      <c r="V87" s="292">
        <f t="shared" si="36"/>
        <v>-11.741057449940213</v>
      </c>
      <c r="W87" s="292" t="str">
        <f>IMPRODUCT(IMDIV(IMSUM(IMPRODUCT(M87,'Small Signal'!$B$59*'Small Signal'!$B$6*'Small Signal'!$B$51*'Small Signal'!$B$7*'Small Signal'!$B$8),'Small Signal'!$B$59*'Small Signal'!$B$6*'Small Signal'!$B$51),IMSUM(IMSUM(IMPRODUCT(M87,('Small Signal'!$B$5+'Small Signal'!$B$6)*('Small Signal'!$B$58*'Small Signal'!$B$59)+'Small Signal'!$B$5*'Small Signal'!$B$59*('Small Signal'!$B$8+'Small Signal'!$B$9)+'Small Signal'!$B$6*'Small Signal'!$B$59*('Small Signal'!$B$8+'Small Signal'!$B$9)+'Small Signal'!$B$7*'Small Signal'!$B$8*('Small Signal'!$B$5+'Small Signal'!$B$6)),'Small Signal'!$B$6+'Small Signal'!$B$5),IMPRODUCT(IMPOWER(M87,2),'Small Signal'!$B$58*'Small Signal'!$B$59*'Small Signal'!$B$8*'Small Signal'!$B$7*('Small Signal'!$B$5+'Small Signal'!$B$6)+('Small Signal'!$B$5+'Small Signal'!$B$6)*('Small Signal'!$B$9*'Small Signal'!$B$8*'Small Signal'!$B$59*'Small Signal'!$B$7)))),-1)</f>
        <v>-1.66380220049902+8.31908741356856i</v>
      </c>
      <c r="X87" s="292">
        <f t="shared" si="37"/>
        <v>0</v>
      </c>
      <c r="Y87" s="292">
        <f t="shared" si="38"/>
        <v>0</v>
      </c>
      <c r="Z87" s="292" t="str">
        <f t="shared" si="39"/>
        <v>1.00000595859127+0.00345497864876297i</v>
      </c>
      <c r="AA87" s="292" t="str">
        <f t="shared" si="40"/>
        <v>2.73936147595535+69.0527576509037i</v>
      </c>
      <c r="AB87" s="289">
        <f t="shared" si="56"/>
        <v>36.790449890852152</v>
      </c>
      <c r="AC87" s="292">
        <f t="shared" si="57"/>
        <v>87.728235647865574</v>
      </c>
      <c r="AD87" s="292" t="str">
        <f t="shared" si="41"/>
        <v>0.336102265539084+44.6560959401431i</v>
      </c>
      <c r="AE87" s="289">
        <f t="shared" si="42"/>
        <v>32.997861054222469</v>
      </c>
      <c r="AF87" s="292">
        <f t="shared" si="43"/>
        <v>89.568773819525973</v>
      </c>
      <c r="AH87" s="292" t="str">
        <f t="shared" si="44"/>
        <v>0.00075-2.21219231921132i</v>
      </c>
      <c r="AI87" s="292">
        <f t="shared" si="45"/>
        <v>0.95</v>
      </c>
      <c r="AJ87" s="292" t="str">
        <f t="shared" si="46"/>
        <v>1000-233607508.908716i</v>
      </c>
      <c r="AK87" s="292" t="str">
        <f t="shared" si="47"/>
        <v>0.802001851314481-0.344360099588831i</v>
      </c>
      <c r="AL87" s="292" t="str">
        <f t="shared" si="48"/>
        <v>1.1881055089278-0.000336802146984158i</v>
      </c>
      <c r="AM87" s="292" t="str">
        <f t="shared" si="49"/>
        <v>0.019+0.00941750550004653i</v>
      </c>
      <c r="AN87" s="292" t="str">
        <f t="shared" si="50"/>
        <v>7.91120140244145-1.94018358828219i</v>
      </c>
      <c r="AO87" s="292">
        <f t="shared" si="58"/>
        <v>18.21850221632792</v>
      </c>
      <c r="AP87" s="292">
        <f t="shared" si="59"/>
        <v>-13.779549349314614</v>
      </c>
      <c r="AR87" s="292" t="str">
        <f t="shared" si="51"/>
        <v>1.1881055089278-0.000336802146984158i</v>
      </c>
      <c r="AS87" s="292" t="str">
        <f t="shared" si="52"/>
        <v>7.91120140244145-1.94018358828219i</v>
      </c>
      <c r="AT87" s="292">
        <f t="shared" si="60"/>
        <v>18.21850221632792</v>
      </c>
      <c r="AU87" s="292">
        <f t="shared" si="61"/>
        <v>-13.779549349314614</v>
      </c>
    </row>
    <row r="88" spans="1:47" x14ac:dyDescent="0.25">
      <c r="A88" s="295" t="s">
        <v>486</v>
      </c>
      <c r="B88" s="292">
        <f>PI()*fsw_ss</f>
        <v>2855701.8430443374</v>
      </c>
      <c r="C88" s="292"/>
      <c r="D88" s="292"/>
      <c r="F88" s="292">
        <v>86</v>
      </c>
      <c r="G88" s="293">
        <f t="shared" si="32"/>
        <v>168.81309625470192</v>
      </c>
      <c r="H88" s="293">
        <f t="shared" si="33"/>
        <v>168.57881372500071</v>
      </c>
      <c r="I88" s="294">
        <f t="shared" si="34"/>
        <v>1</v>
      </c>
      <c r="J88" s="292">
        <f t="shared" si="53"/>
        <v>1</v>
      </c>
      <c r="K88" s="292">
        <f t="shared" si="53"/>
        <v>1</v>
      </c>
      <c r="L88" s="292">
        <f>10^('Small Signal'!F88/30)</f>
        <v>735.64225445964166</v>
      </c>
      <c r="M88" s="292" t="str">
        <f t="shared" si="54"/>
        <v>4622.17660456129i</v>
      </c>
      <c r="N88" s="292">
        <f>IF(D$32=1, IF(AND('Small Signal'!$B$63&gt;=1,FCCM=0),U88+0,R88+0), 0)</f>
        <v>0</v>
      </c>
      <c r="O88" s="292">
        <f>IF(D$32=1, IF(AND('Small Signal'!$B$63&gt;=1,FCCM=0),V88,S88), 0)</f>
        <v>0</v>
      </c>
      <c r="P88" s="292">
        <f>IF(AND('Small Signal'!$B$63&gt;=1,FCCM=0),AE88+0,AB88+0)</f>
        <v>36.107200768744001</v>
      </c>
      <c r="Q88" s="292">
        <f>IF(AND('Small Signal'!$B$63&gt;=1,FCCM=0),AF88,AC88)</f>
        <v>87.351065571228304</v>
      </c>
      <c r="R88" s="292">
        <f t="shared" si="55"/>
        <v>18.18023691857104</v>
      </c>
      <c r="S88" s="292">
        <f t="shared" si="55"/>
        <v>-14.836266713976048</v>
      </c>
      <c r="T88" s="292" t="str">
        <f>IMDIV(IMSUM('Small Signal'!$B$76,IMPRODUCT(M88,'Small Signal'!$B$77)),IMSUM(IMPRODUCT('Small Signal'!$B$80,IMPOWER(M88,2)),IMSUM(IMPRODUCT(M88,'Small Signal'!$B$79),'Small Signal'!$B$78)))</f>
        <v>5.12064503887247-1.14969247114864i</v>
      </c>
      <c r="U88" s="292">
        <f t="shared" si="35"/>
        <v>14.400080631762439</v>
      </c>
      <c r="V88" s="292">
        <f t="shared" si="36"/>
        <v>-12.654259919883419</v>
      </c>
      <c r="W88" s="292" t="str">
        <f>IMPRODUCT(IMDIV(IMSUM(IMPRODUCT(M88,'Small Signal'!$B$59*'Small Signal'!$B$6*'Small Signal'!$B$51*'Small Signal'!$B$7*'Small Signal'!$B$8),'Small Signal'!$B$59*'Small Signal'!$B$6*'Small Signal'!$B$51),IMSUM(IMSUM(IMPRODUCT(M88,('Small Signal'!$B$5+'Small Signal'!$B$6)*('Small Signal'!$B$58*'Small Signal'!$B$59)+'Small Signal'!$B$5*'Small Signal'!$B$59*('Small Signal'!$B$8+'Small Signal'!$B$9)+'Small Signal'!$B$6*'Small Signal'!$B$59*('Small Signal'!$B$8+'Small Signal'!$B$9)+'Small Signal'!$B$7*'Small Signal'!$B$8*('Small Signal'!$B$5+'Small Signal'!$B$6)),'Small Signal'!$B$6+'Small Signal'!$B$5),IMPRODUCT(IMPOWER(M88,2),'Small Signal'!$B$58*'Small Signal'!$B$59*'Small Signal'!$B$8*'Small Signal'!$B$7*('Small Signal'!$B$5+'Small Signal'!$B$6)+('Small Signal'!$B$5+'Small Signal'!$B$6)*('Small Signal'!$B$9*'Small Signal'!$B$8*'Small Signal'!$B$59*'Small Signal'!$B$7)))),-1)</f>
        <v>-1.63409801461359+7.70529116013586i</v>
      </c>
      <c r="X88" s="292">
        <f t="shared" si="37"/>
        <v>0</v>
      </c>
      <c r="Y88" s="292">
        <f t="shared" si="38"/>
        <v>0</v>
      </c>
      <c r="Z88" s="292" t="str">
        <f t="shared" si="39"/>
        <v>1.00000694720394+0.00373059829029008i</v>
      </c>
      <c r="AA88" s="292" t="str">
        <f t="shared" si="40"/>
        <v>2.95225514934906+63.8110264079463i</v>
      </c>
      <c r="AB88" s="289">
        <f t="shared" si="56"/>
        <v>36.107200768744001</v>
      </c>
      <c r="AC88" s="292">
        <f t="shared" si="57"/>
        <v>87.351065571228304</v>
      </c>
      <c r="AD88" s="292" t="str">
        <f t="shared" si="41"/>
        <v>0.491079343253936+41.3347711367378i</v>
      </c>
      <c r="AE88" s="289">
        <f t="shared" si="42"/>
        <v>32.326923698416522</v>
      </c>
      <c r="AF88" s="292">
        <f t="shared" si="43"/>
        <v>89.319327304737797</v>
      </c>
      <c r="AH88" s="292" t="str">
        <f t="shared" si="44"/>
        <v>0.00075-2.04875273704428i</v>
      </c>
      <c r="AI88" s="292">
        <f t="shared" si="45"/>
        <v>0.95</v>
      </c>
      <c r="AJ88" s="292" t="str">
        <f t="shared" si="46"/>
        <v>1000-216348289.031876i</v>
      </c>
      <c r="AK88" s="292" t="str">
        <f t="shared" si="47"/>
        <v>0.781797846717769-0.362455554725765i</v>
      </c>
      <c r="AL88" s="292" t="str">
        <f t="shared" si="48"/>
        <v>1.18810549308694-0.000363670588083367i</v>
      </c>
      <c r="AM88" s="292" t="str">
        <f t="shared" si="49"/>
        <v>0.019+0.0101687885300348i</v>
      </c>
      <c r="AN88" s="292" t="str">
        <f t="shared" si="50"/>
        <v>7.83946219120968-2.07658471414755i</v>
      </c>
      <c r="AO88" s="292">
        <f t="shared" si="58"/>
        <v>18.18023691857104</v>
      </c>
      <c r="AP88" s="292">
        <f t="shared" si="59"/>
        <v>-14.836266713976048</v>
      </c>
      <c r="AR88" s="292" t="str">
        <f t="shared" si="51"/>
        <v>1.18810549308694-0.000363670588083367i</v>
      </c>
      <c r="AS88" s="292" t="str">
        <f t="shared" si="52"/>
        <v>7.83946219120968-2.07658471414755i</v>
      </c>
      <c r="AT88" s="292">
        <f t="shared" si="60"/>
        <v>18.18023691857104</v>
      </c>
      <c r="AU88" s="292">
        <f t="shared" si="61"/>
        <v>-14.836266713976048</v>
      </c>
    </row>
    <row r="89" spans="1:47" x14ac:dyDescent="0.25">
      <c r="A89" s="295"/>
      <c r="B89" s="292"/>
      <c r="C89" s="292"/>
      <c r="D89" s="292"/>
      <c r="F89" s="292">
        <v>87</v>
      </c>
      <c r="G89" s="293">
        <f t="shared" si="32"/>
        <v>168.83178579136631</v>
      </c>
      <c r="H89" s="293">
        <f t="shared" si="33"/>
        <v>168.57881372500071</v>
      </c>
      <c r="I89" s="294">
        <f t="shared" si="34"/>
        <v>1</v>
      </c>
      <c r="J89" s="292">
        <f t="shared" si="53"/>
        <v>1</v>
      </c>
      <c r="K89" s="292">
        <f t="shared" si="53"/>
        <v>1</v>
      </c>
      <c r="L89" s="292">
        <f>10^('Small Signal'!F89/30)</f>
        <v>794.32823472428208</v>
      </c>
      <c r="M89" s="292" t="str">
        <f t="shared" si="54"/>
        <v>4990.91149349751i</v>
      </c>
      <c r="N89" s="292">
        <f>IF(D$32=1, IF(AND('Small Signal'!$B$63&gt;=1,FCCM=0),U89+0,R89+0), 0)</f>
        <v>0</v>
      </c>
      <c r="O89" s="292">
        <f>IF(D$32=1, IF(AND('Small Signal'!$B$63&gt;=1,FCCM=0),V89,S89), 0)</f>
        <v>0</v>
      </c>
      <c r="P89" s="292">
        <f>IF(AND('Small Signal'!$B$63&gt;=1,FCCM=0),AE89+0,AB89+0)</f>
        <v>35.421370159881263</v>
      </c>
      <c r="Q89" s="292">
        <f>IF(AND('Small Signal'!$B$63&gt;=1,FCCM=0),AF89,AC89)</f>
        <v>86.966129297561608</v>
      </c>
      <c r="R89" s="292">
        <f t="shared" si="55"/>
        <v>18.13604352055879</v>
      </c>
      <c r="S89" s="292">
        <f t="shared" si="55"/>
        <v>-15.966875348264331</v>
      </c>
      <c r="T89" s="292" t="str">
        <f>IMDIV(IMSUM('Small Signal'!$B$76,IMPRODUCT(M89,'Small Signal'!$B$77)),IMSUM(IMPRODUCT('Small Signal'!$B$80,IMPOWER(M89,2)),IMSUM(IMPRODUCT(M89,'Small Signal'!$B$79),'Small Signal'!$B$78)))</f>
        <v>5.08261483292903-1.2328511451849i</v>
      </c>
      <c r="U89" s="292">
        <f t="shared" si="35"/>
        <v>14.370033060651949</v>
      </c>
      <c r="V89" s="292">
        <f t="shared" si="36"/>
        <v>-13.634469942726204</v>
      </c>
      <c r="W89" s="292" t="str">
        <f>IMPRODUCT(IMDIV(IMSUM(IMPRODUCT(M89,'Small Signal'!$B$59*'Small Signal'!$B$6*'Small Signal'!$B$51*'Small Signal'!$B$7*'Small Signal'!$B$8),'Small Signal'!$B$59*'Small Signal'!$B$6*'Small Signal'!$B$51),IMSUM(IMSUM(IMPRODUCT(M89,('Small Signal'!$B$5+'Small Signal'!$B$6)*('Small Signal'!$B$58*'Small Signal'!$B$59)+'Small Signal'!$B$5*'Small Signal'!$B$59*('Small Signal'!$B$8+'Small Signal'!$B$9)+'Small Signal'!$B$6*'Small Signal'!$B$59*('Small Signal'!$B$8+'Small Signal'!$B$9)+'Small Signal'!$B$7*'Small Signal'!$B$8*('Small Signal'!$B$5+'Small Signal'!$B$6)),'Small Signal'!$B$6+'Small Signal'!$B$5),IMPRODUCT(IMPOWER(M89,2),'Small Signal'!$B$58*'Small Signal'!$B$59*'Small Signal'!$B$8*'Small Signal'!$B$7*('Small Signal'!$B$5+'Small Signal'!$B$6)+('Small Signal'!$B$5+'Small Signal'!$B$6)*('Small Signal'!$B$9*'Small Signal'!$B$8*'Small Signal'!$B$59*'Small Signal'!$B$7)))),-1)</f>
        <v>-1.60861658418654+7.1367119826798i</v>
      </c>
      <c r="X89" s="292">
        <f t="shared" si="37"/>
        <v>0</v>
      </c>
      <c r="Y89" s="292">
        <f t="shared" si="38"/>
        <v>0</v>
      </c>
      <c r="Z89" s="292" t="str">
        <f t="shared" si="39"/>
        <v>1.00000809984046+0.00402820505677718i</v>
      </c>
      <c r="AA89" s="292" t="str">
        <f t="shared" si="40"/>
        <v>3.12420827250413+58.9466845478741i</v>
      </c>
      <c r="AB89" s="289">
        <f t="shared" si="56"/>
        <v>35.421370159881263</v>
      </c>
      <c r="AC89" s="292">
        <f t="shared" si="57"/>
        <v>86.966129297561608</v>
      </c>
      <c r="AD89" s="292" t="str">
        <f t="shared" si="41"/>
        <v>0.622525029419451+38.2563429794885i</v>
      </c>
      <c r="AE89" s="289">
        <f t="shared" si="42"/>
        <v>31.655218877136264</v>
      </c>
      <c r="AF89" s="292">
        <f t="shared" si="43"/>
        <v>89.067738672061012</v>
      </c>
      <c r="AH89" s="292" t="str">
        <f t="shared" si="44"/>
        <v>0.00075-1.89738827908183i</v>
      </c>
      <c r="AI89" s="292">
        <f t="shared" si="45"/>
        <v>0.95</v>
      </c>
      <c r="AJ89" s="292" t="str">
        <f t="shared" si="46"/>
        <v>1000-200364202.271041i</v>
      </c>
      <c r="AK89" s="292" t="str">
        <f t="shared" si="47"/>
        <v>0.75949147566285-0.380193150381121i</v>
      </c>
      <c r="AL89" s="292" t="str">
        <f t="shared" si="48"/>
        <v>1.18810547461786-0.000392682462177286i</v>
      </c>
      <c r="AM89" s="292" t="str">
        <f t="shared" si="49"/>
        <v>0.019+0.0109800052856945i</v>
      </c>
      <c r="AN89" s="292" t="str">
        <f t="shared" si="50"/>
        <v>7.7573918701233-2.21954355992182i</v>
      </c>
      <c r="AO89" s="292">
        <f t="shared" si="58"/>
        <v>18.13604352055879</v>
      </c>
      <c r="AP89" s="292">
        <f t="shared" si="59"/>
        <v>-15.966875348264331</v>
      </c>
      <c r="AR89" s="292" t="str">
        <f t="shared" si="51"/>
        <v>1.18810547461786-0.000392682462177286i</v>
      </c>
      <c r="AS89" s="292" t="str">
        <f t="shared" si="52"/>
        <v>7.7573918701233-2.21954355992182i</v>
      </c>
      <c r="AT89" s="292">
        <f t="shared" si="60"/>
        <v>18.13604352055879</v>
      </c>
      <c r="AU89" s="292">
        <f t="shared" si="61"/>
        <v>-15.966875348264331</v>
      </c>
    </row>
    <row r="90" spans="1:47" x14ac:dyDescent="0.25">
      <c r="A90" s="295" t="s">
        <v>487</v>
      </c>
      <c r="B90" s="292">
        <f>Lo_ss*q_2*w_2</f>
        <v>1.1881056044039062</v>
      </c>
      <c r="C90" s="292">
        <f>Lo_ss*q_2_vimax*w_2</f>
        <v>1.1881056044039062</v>
      </c>
      <c r="D90" s="292"/>
      <c r="F90" s="292">
        <v>88</v>
      </c>
      <c r="G90" s="293">
        <f t="shared" si="32"/>
        <v>168.85196618782874</v>
      </c>
      <c r="H90" s="293">
        <f t="shared" si="33"/>
        <v>168.57881372500071</v>
      </c>
      <c r="I90" s="294">
        <f t="shared" si="34"/>
        <v>1</v>
      </c>
      <c r="J90" s="292">
        <f t="shared" si="53"/>
        <v>1</v>
      </c>
      <c r="K90" s="292">
        <f t="shared" si="53"/>
        <v>1</v>
      </c>
      <c r="L90" s="292">
        <f>10^('Small Signal'!F90/30)</f>
        <v>857.69589859089422</v>
      </c>
      <c r="M90" s="292" t="str">
        <f t="shared" si="54"/>
        <v>5389.0622680545i</v>
      </c>
      <c r="N90" s="292">
        <f>IF(D$32=1, IF(AND('Small Signal'!$B$63&gt;=1,FCCM=0),U90+0,R90+0), 0)</f>
        <v>0</v>
      </c>
      <c r="O90" s="292">
        <f>IF(D$32=1, IF(AND('Small Signal'!$B$63&gt;=1,FCCM=0),V90,S90), 0)</f>
        <v>0</v>
      </c>
      <c r="P90" s="292">
        <f>IF(AND('Small Signal'!$B$63&gt;=1,FCCM=0),AE90+0,AB90+0)</f>
        <v>34.732641390605316</v>
      </c>
      <c r="Q90" s="292">
        <f>IF(AND('Small Signal'!$B$63&gt;=1,FCCM=0),AF90,AC90)</f>
        <v>86.572958130167478</v>
      </c>
      <c r="R90" s="292">
        <f t="shared" si="55"/>
        <v>18.085078050389264</v>
      </c>
      <c r="S90" s="292">
        <f t="shared" si="55"/>
        <v>-17.174840081075427</v>
      </c>
      <c r="T90" s="292" t="str">
        <f>IMDIV(IMSUM('Small Signal'!$B$76,IMPRODUCT(M90,'Small Signal'!$B$77)),IMSUM(IMPRODUCT('Small Signal'!$B$80,IMPOWER(M90,2)),IMSUM(IMPRODUCT(M90,'Small Signal'!$B$79),'Small Signal'!$B$78)))</f>
        <v>5.03892814400814-1.32058654367821i</v>
      </c>
      <c r="U90" s="292">
        <f t="shared" si="35"/>
        <v>14.335257551930399</v>
      </c>
      <c r="V90" s="292">
        <f t="shared" si="36"/>
        <v>-14.685621117040229</v>
      </c>
      <c r="W90" s="292" t="str">
        <f>IMPRODUCT(IMDIV(IMSUM(IMPRODUCT(M90,'Small Signal'!$B$59*'Small Signal'!$B$6*'Small Signal'!$B$51*'Small Signal'!$B$7*'Small Signal'!$B$8),'Small Signal'!$B$59*'Small Signal'!$B$6*'Small Signal'!$B$51),IMSUM(IMSUM(IMPRODUCT(M90,('Small Signal'!$B$5+'Small Signal'!$B$6)*('Small Signal'!$B$58*'Small Signal'!$B$59)+'Small Signal'!$B$5*'Small Signal'!$B$59*('Small Signal'!$B$8+'Small Signal'!$B$9)+'Small Signal'!$B$6*'Small Signal'!$B$59*('Small Signal'!$B$8+'Small Signal'!$B$9)+'Small Signal'!$B$7*'Small Signal'!$B$8*('Small Signal'!$B$5+'Small Signal'!$B$6)),'Small Signal'!$B$6+'Small Signal'!$B$5),IMPRODUCT(IMPOWER(M90,2),'Small Signal'!$B$58*'Small Signal'!$B$59*'Small Signal'!$B$8*'Small Signal'!$B$7*('Small Signal'!$B$5+'Small Signal'!$B$6)+('Small Signal'!$B$5+'Small Signal'!$B$6)*('Small Signal'!$B$9*'Small Signal'!$B$8*'Small Signal'!$B$59*'Small Signal'!$B$7)))),-1)</f>
        <v>-1.58675811024881+6.61003923232492i</v>
      </c>
      <c r="X90" s="292">
        <f t="shared" si="37"/>
        <v>0</v>
      </c>
      <c r="Y90" s="292">
        <f t="shared" si="38"/>
        <v>0</v>
      </c>
      <c r="Z90" s="292" t="str">
        <f t="shared" si="39"/>
        <v>1.00000944371431+0.00434955285126275i</v>
      </c>
      <c r="AA90" s="292" t="str">
        <f t="shared" si="40"/>
        <v>3.25964166459414+54.4320557473988i</v>
      </c>
      <c r="AB90" s="289">
        <f t="shared" si="56"/>
        <v>34.732641390605316</v>
      </c>
      <c r="AC90" s="292">
        <f t="shared" si="57"/>
        <v>86.572958130167478</v>
      </c>
      <c r="AD90" s="292" t="str">
        <f t="shared" si="41"/>
        <v>0.733568763927435+35.4029641292268i</v>
      </c>
      <c r="AE90" s="289">
        <f t="shared" si="42"/>
        <v>30.982656705323155</v>
      </c>
      <c r="AF90" s="292">
        <f t="shared" si="43"/>
        <v>88.812969998024712</v>
      </c>
      <c r="AH90" s="292" t="str">
        <f t="shared" si="44"/>
        <v>0.00075-1.75720681978975i</v>
      </c>
      <c r="AI90" s="292">
        <f t="shared" si="45"/>
        <v>0.95</v>
      </c>
      <c r="AJ90" s="292" t="str">
        <f t="shared" si="46"/>
        <v>1000-185561040.169797i</v>
      </c>
      <c r="AK90" s="292" t="str">
        <f t="shared" si="47"/>
        <v>0.735041061936805-0.397294039829665i</v>
      </c>
      <c r="AL90" s="292" t="str">
        <f t="shared" si="48"/>
        <v>1.18810545308448-0.000424008761655935i</v>
      </c>
      <c r="AM90" s="292" t="str">
        <f t="shared" si="49"/>
        <v>0.019+0.0118559369897199i</v>
      </c>
      <c r="AN90" s="292" t="str">
        <f t="shared" si="50"/>
        <v>7.66377651340478-2.36864780330174i</v>
      </c>
      <c r="AO90" s="292">
        <f t="shared" si="58"/>
        <v>18.085078050389264</v>
      </c>
      <c r="AP90" s="292">
        <f t="shared" si="59"/>
        <v>-17.174840081075427</v>
      </c>
      <c r="AR90" s="292" t="str">
        <f t="shared" si="51"/>
        <v>1.18810545308448-0.000424008761655935i</v>
      </c>
      <c r="AS90" s="292" t="str">
        <f t="shared" si="52"/>
        <v>7.66377651340478-2.36864780330174i</v>
      </c>
      <c r="AT90" s="292">
        <f t="shared" si="60"/>
        <v>18.085078050389264</v>
      </c>
      <c r="AU90" s="292">
        <f t="shared" si="61"/>
        <v>-17.174840081075427</v>
      </c>
    </row>
    <row r="91" spans="1:47" x14ac:dyDescent="0.25">
      <c r="A91" s="295" t="s">
        <v>488</v>
      </c>
      <c r="B91" s="292">
        <f>1/(Lo_ss*w_2^2)</f>
        <v>5.5738027501936535E-8</v>
      </c>
      <c r="C91" s="292"/>
      <c r="D91" s="292"/>
      <c r="F91" s="292">
        <v>89</v>
      </c>
      <c r="G91" s="293">
        <f t="shared" si="32"/>
        <v>168.87375635151528</v>
      </c>
      <c r="H91" s="293">
        <f t="shared" si="33"/>
        <v>168.57881372500071</v>
      </c>
      <c r="I91" s="294">
        <f t="shared" si="34"/>
        <v>1</v>
      </c>
      <c r="J91" s="292">
        <f t="shared" si="53"/>
        <v>1</v>
      </c>
      <c r="K91" s="292">
        <f t="shared" si="53"/>
        <v>1</v>
      </c>
      <c r="L91" s="292">
        <f>10^('Small Signal'!F91/30)</f>
        <v>926.11872812879471</v>
      </c>
      <c r="M91" s="292" t="str">
        <f t="shared" si="54"/>
        <v>5818.97558528269i</v>
      </c>
      <c r="N91" s="292">
        <f>IF(D$32=1, IF(AND('Small Signal'!$B$63&gt;=1,FCCM=0),U91+0,R91+0), 0)</f>
        <v>0</v>
      </c>
      <c r="O91" s="292">
        <f>IF(D$32=1, IF(AND('Small Signal'!$B$63&gt;=1,FCCM=0),V91,S91), 0)</f>
        <v>0</v>
      </c>
      <c r="P91" s="292">
        <f>IF(AND('Small Signal'!$B$63&gt;=1,FCCM=0),AE91+0,AB91+0)</f>
        <v>34.04067175520359</v>
      </c>
      <c r="Q91" s="292">
        <f>IF(AND('Small Signal'!$B$63&gt;=1,FCCM=0),AF91,AC91)</f>
        <v>86.171401282990871</v>
      </c>
      <c r="R91" s="292">
        <f t="shared" si="55"/>
        <v>18.026400493780393</v>
      </c>
      <c r="S91" s="292">
        <f t="shared" si="55"/>
        <v>-18.463384364096335</v>
      </c>
      <c r="T91" s="292" t="str">
        <f>IMDIV(IMSUM('Small Signal'!$B$76,IMPRODUCT(M91,'Small Signal'!$B$77)),IMSUM(IMPRODUCT('Small Signal'!$B$80,IMPOWER(M91,2)),IMSUM(IMPRODUCT(M91,'Small Signal'!$B$79),'Small Signal'!$B$78)))</f>
        <v>4.98886014859561-1.41279979042204i</v>
      </c>
      <c r="U91" s="292">
        <f t="shared" si="35"/>
        <v>14.295056603704502</v>
      </c>
      <c r="V91" s="292">
        <f t="shared" si="36"/>
        <v>-15.811639231791771</v>
      </c>
      <c r="W91" s="292" t="str">
        <f>IMPRODUCT(IMDIV(IMSUM(IMPRODUCT(M91,'Small Signal'!$B$59*'Small Signal'!$B$6*'Small Signal'!$B$51*'Small Signal'!$B$7*'Small Signal'!$B$8),'Small Signal'!$B$59*'Small Signal'!$B$6*'Small Signal'!$B$51),IMSUM(IMSUM(IMPRODUCT(M91,('Small Signal'!$B$5+'Small Signal'!$B$6)*('Small Signal'!$B$58*'Small Signal'!$B$59)+'Small Signal'!$B$5*'Small Signal'!$B$59*('Small Signal'!$B$8+'Small Signal'!$B$9)+'Small Signal'!$B$6*'Small Signal'!$B$59*('Small Signal'!$B$8+'Small Signal'!$B$9)+'Small Signal'!$B$7*'Small Signal'!$B$8*('Small Signal'!$B$5+'Small Signal'!$B$6)),'Small Signal'!$B$6+'Small Signal'!$B$5),IMPRODUCT(IMPOWER(M91,2),'Small Signal'!$B$58*'Small Signal'!$B$59*'Small Signal'!$B$8*'Small Signal'!$B$7*('Small Signal'!$B$5+'Small Signal'!$B$6)+('Small Signal'!$B$5+'Small Signal'!$B$6)*('Small Signal'!$B$9*'Small Signal'!$B$8*'Small Signal'!$B$59*'Small Signal'!$B$7)))),-1)</f>
        <v>-1.56800785079149+6.12220093510065i</v>
      </c>
      <c r="X91" s="292">
        <f t="shared" si="37"/>
        <v>0</v>
      </c>
      <c r="Y91" s="292">
        <f t="shared" si="38"/>
        <v>0</v>
      </c>
      <c r="Z91" s="292" t="str">
        <f t="shared" si="39"/>
        <v>1.0000110105539+0.00469653546272774i</v>
      </c>
      <c r="AA91" s="292" t="str">
        <f t="shared" si="40"/>
        <v>3.36223108912842+50.2415782983812i</v>
      </c>
      <c r="AB91" s="289">
        <f t="shared" si="56"/>
        <v>34.04067175520359</v>
      </c>
      <c r="AC91" s="292">
        <f t="shared" si="57"/>
        <v>86.171401282990871</v>
      </c>
      <c r="AD91" s="292" t="str">
        <f t="shared" si="41"/>
        <v>0.826872318533099+32.7580854297967i</v>
      </c>
      <c r="AE91" s="289">
        <f t="shared" si="42"/>
        <v>30.309136438096026</v>
      </c>
      <c r="AF91" s="292">
        <f t="shared" si="43"/>
        <v>88.554059696163208</v>
      </c>
      <c r="AH91" s="292" t="str">
        <f t="shared" si="44"/>
        <v>0.00075-1.62738214500292i</v>
      </c>
      <c r="AI91" s="292">
        <f t="shared" si="45"/>
        <v>0.95</v>
      </c>
      <c r="AJ91" s="292" t="str">
        <f t="shared" si="46"/>
        <v>1000-171851554.512308i</v>
      </c>
      <c r="AK91" s="292" t="str">
        <f t="shared" si="47"/>
        <v>0.708451617297595-0.413454137730849i</v>
      </c>
      <c r="AL91" s="292" t="str">
        <f t="shared" si="48"/>
        <v>1.18810542797842-0.000457834119770836i</v>
      </c>
      <c r="AM91" s="292" t="str">
        <f t="shared" si="49"/>
        <v>0.019+0.0128017462876219i</v>
      </c>
      <c r="AN91" s="292" t="str">
        <f t="shared" si="50"/>
        <v>7.55734718315324-2.5232838228022i</v>
      </c>
      <c r="AO91" s="292">
        <f t="shared" si="58"/>
        <v>18.026400493780393</v>
      </c>
      <c r="AP91" s="292">
        <f t="shared" si="59"/>
        <v>-18.463384364096335</v>
      </c>
      <c r="AR91" s="292" t="str">
        <f t="shared" si="51"/>
        <v>1.18810542797842-0.000457834119770836i</v>
      </c>
      <c r="AS91" s="292" t="str">
        <f t="shared" si="52"/>
        <v>7.55734718315324-2.5232838228022i</v>
      </c>
      <c r="AT91" s="292">
        <f t="shared" si="60"/>
        <v>18.026400493780393</v>
      </c>
      <c r="AU91" s="292">
        <f t="shared" si="61"/>
        <v>-18.463384364096335</v>
      </c>
    </row>
    <row r="92" spans="1:47" x14ac:dyDescent="0.25">
      <c r="A92" s="295"/>
      <c r="B92" s="292"/>
      <c r="C92" s="292"/>
      <c r="D92" s="292"/>
      <c r="F92" s="292">
        <v>90</v>
      </c>
      <c r="G92" s="293">
        <f t="shared" si="32"/>
        <v>168.89728466893925</v>
      </c>
      <c r="H92" s="293">
        <f t="shared" si="33"/>
        <v>168.57881372500071</v>
      </c>
      <c r="I92" s="294">
        <f t="shared" si="34"/>
        <v>1</v>
      </c>
      <c r="J92" s="292">
        <f t="shared" si="53"/>
        <v>1</v>
      </c>
      <c r="K92" s="292">
        <f t="shared" si="53"/>
        <v>1</v>
      </c>
      <c r="L92" s="292">
        <f>10^('Small Signal'!F92/30)</f>
        <v>1000</v>
      </c>
      <c r="M92" s="292" t="str">
        <f t="shared" si="54"/>
        <v>6283.18530717959i</v>
      </c>
      <c r="N92" s="292">
        <f>IF(D$32=1, IF(AND('Small Signal'!$B$63&gt;=1,FCCM=0),U92+0,R92+0), 0)</f>
        <v>0</v>
      </c>
      <c r="O92" s="292">
        <f>IF(D$32=1, IF(AND('Small Signal'!$B$63&gt;=1,FCCM=0),V92,S92), 0)</f>
        <v>0</v>
      </c>
      <c r="P92" s="292">
        <f>IF(AND('Small Signal'!$B$63&gt;=1,FCCM=0),AE92+0,AB92+0)</f>
        <v>33.345096392904338</v>
      </c>
      <c r="Q92" s="292">
        <f>IF(AND('Small Signal'!$B$63&gt;=1,FCCM=0),AF92,AC92)</f>
        <v>85.761681679864253</v>
      </c>
      <c r="R92" s="292">
        <f t="shared" si="55"/>
        <v>17.958971508961632</v>
      </c>
      <c r="S92" s="292">
        <f t="shared" si="55"/>
        <v>-19.835381037840317</v>
      </c>
      <c r="T92" s="292" t="str">
        <f>IMDIV(IMSUM('Small Signal'!$B$76,IMPRODUCT(M92,'Small Signal'!$B$77)),IMSUM(IMPRODUCT('Small Signal'!$B$80,IMPOWER(M92,2)),IMSUM(IMPRODUCT(M92,'Small Signal'!$B$79),'Small Signal'!$B$78)))</f>
        <v>4.93163135061636-1.50929250718502i</v>
      </c>
      <c r="U92" s="292">
        <f t="shared" si="35"/>
        <v>14.248645200400913</v>
      </c>
      <c r="V92" s="292">
        <f t="shared" si="36"/>
        <v>-17.016376777035845</v>
      </c>
      <c r="W92" s="292" t="str">
        <f>IMPRODUCT(IMDIV(IMSUM(IMPRODUCT(M92,'Small Signal'!$B$59*'Small Signal'!$B$6*'Small Signal'!$B$51*'Small Signal'!$B$7*'Small Signal'!$B$8),'Small Signal'!$B$59*'Small Signal'!$B$6*'Small Signal'!$B$51),IMSUM(IMSUM(IMPRODUCT(M92,('Small Signal'!$B$5+'Small Signal'!$B$6)*('Small Signal'!$B$58*'Small Signal'!$B$59)+'Small Signal'!$B$5*'Small Signal'!$B$59*('Small Signal'!$B$8+'Small Signal'!$B$9)+'Small Signal'!$B$6*'Small Signal'!$B$59*('Small Signal'!$B$8+'Small Signal'!$B$9)+'Small Signal'!$B$7*'Small Signal'!$B$8*('Small Signal'!$B$5+'Small Signal'!$B$6)),'Small Signal'!$B$6+'Small Signal'!$B$5),IMPRODUCT(IMPOWER(M92,2),'Small Signal'!$B$58*'Small Signal'!$B$59*'Small Signal'!$B$8*'Small Signal'!$B$7*('Small Signal'!$B$5+'Small Signal'!$B$6)+('Small Signal'!$B$5+'Small Signal'!$B$6)*('Small Signal'!$B$9*'Small Signal'!$B$8*'Small Signal'!$B$59*'Small Signal'!$B$7)))),-1)</f>
        <v>-1.55192409486399+5.67034739293961i</v>
      </c>
      <c r="X92" s="292">
        <f t="shared" si="37"/>
        <v>0</v>
      </c>
      <c r="Y92" s="292">
        <f t="shared" si="38"/>
        <v>0</v>
      </c>
      <c r="Z92" s="292" t="str">
        <f t="shared" si="39"/>
        <v>1.00001283735165+0.005071197717245i</v>
      </c>
      <c r="AA92" s="292" t="str">
        <f t="shared" si="40"/>
        <v>3.43502271786023+46.3516839085601i</v>
      </c>
      <c r="AB92" s="289">
        <f t="shared" si="56"/>
        <v>33.345096392904338</v>
      </c>
      <c r="AC92" s="292">
        <f t="shared" si="57"/>
        <v>85.761681679864253</v>
      </c>
      <c r="AD92" s="292" t="str">
        <f t="shared" si="41"/>
        <v>0.904695313291694+30.3063703800048i</v>
      </c>
      <c r="AE92" s="289">
        <f t="shared" si="42"/>
        <v>29.634546897830226</v>
      </c>
      <c r="AF92" s="292">
        <f t="shared" si="43"/>
        <v>88.290133934976538</v>
      </c>
      <c r="AH92" s="292" t="str">
        <f t="shared" si="44"/>
        <v>0.00075-1.50714908230961i</v>
      </c>
      <c r="AI92" s="292">
        <f t="shared" si="45"/>
        <v>0.95</v>
      </c>
      <c r="AJ92" s="292" t="str">
        <f t="shared" si="46"/>
        <v>1000-159154943.091895i</v>
      </c>
      <c r="AK92" s="292" t="str">
        <f t="shared" si="47"/>
        <v>0.679783515977957-0.42835290251717i</v>
      </c>
      <c r="AL92" s="292" t="str">
        <f t="shared" si="48"/>
        <v>1.18810539870689-0.000494357898815151i</v>
      </c>
      <c r="AM92" s="292" t="str">
        <f t="shared" si="49"/>
        <v>0.019+0.0138230076757951i</v>
      </c>
      <c r="AN92" s="292" t="str">
        <f t="shared" si="50"/>
        <v>7.43680718717711-2.68260407547243i</v>
      </c>
      <c r="AO92" s="292">
        <f t="shared" si="58"/>
        <v>17.958971508961632</v>
      </c>
      <c r="AP92" s="292">
        <f t="shared" si="59"/>
        <v>-19.835381037840317</v>
      </c>
      <c r="AR92" s="292" t="str">
        <f t="shared" si="51"/>
        <v>1.18810539870689-0.000494357898815151i</v>
      </c>
      <c r="AS92" s="292" t="str">
        <f t="shared" si="52"/>
        <v>7.43680718717711-2.68260407547243i</v>
      </c>
      <c r="AT92" s="292">
        <f t="shared" si="60"/>
        <v>17.958971508961632</v>
      </c>
      <c r="AU92" s="292">
        <f t="shared" si="61"/>
        <v>-19.835381037840317</v>
      </c>
    </row>
    <row r="93" spans="1:47" x14ac:dyDescent="0.25">
      <c r="A93" s="295"/>
      <c r="B93" s="292"/>
      <c r="C93" s="292"/>
      <c r="D93" s="292"/>
      <c r="F93" s="292">
        <v>91</v>
      </c>
      <c r="G93" s="293">
        <f t="shared" si="32"/>
        <v>168.92268976014375</v>
      </c>
      <c r="H93" s="293">
        <f t="shared" si="33"/>
        <v>168.57881372500071</v>
      </c>
      <c r="I93" s="294">
        <f t="shared" si="34"/>
        <v>1</v>
      </c>
      <c r="J93" s="292">
        <f t="shared" si="53"/>
        <v>1</v>
      </c>
      <c r="K93" s="292">
        <f t="shared" si="53"/>
        <v>1</v>
      </c>
      <c r="L93" s="292">
        <f>10^('Small Signal'!F93/30)</f>
        <v>1079.7751623277097</v>
      </c>
      <c r="M93" s="292" t="str">
        <f t="shared" si="54"/>
        <v>6784.42743499492i</v>
      </c>
      <c r="N93" s="292">
        <f>IF(D$32=1, IF(AND('Small Signal'!$B$63&gt;=1,FCCM=0),U93+0,R93+0), 0)</f>
        <v>0</v>
      </c>
      <c r="O93" s="292">
        <f>IF(D$32=1, IF(AND('Small Signal'!$B$63&gt;=1,FCCM=0),V93,S93), 0)</f>
        <v>0</v>
      </c>
      <c r="P93" s="292">
        <f>IF(AND('Small Signal'!$B$63&gt;=1,FCCM=0),AE93+0,AB93+0)</f>
        <v>32.645534389085483</v>
      </c>
      <c r="Q93" s="292">
        <f>IF(AND('Small Signal'!$B$63&gt;=1,FCCM=0),AF93,AC93)</f>
        <v>85.344455206405513</v>
      </c>
      <c r="R93" s="292">
        <f t="shared" si="55"/>
        <v>17.881651629990259</v>
      </c>
      <c r="S93" s="292">
        <f t="shared" si="55"/>
        <v>-21.293226895070919</v>
      </c>
      <c r="T93" s="292" t="str">
        <f>IMDIV(IMSUM('Small Signal'!$B$76,IMPRODUCT(M93,'Small Signal'!$B$77)),IMSUM(IMPRODUCT('Small Signal'!$B$80,IMPOWER(M93,2)),IMSUM(IMPRODUCT(M93,'Small Signal'!$B$79),'Small Signal'!$B$78)))</f>
        <v>4.86641639914451-1.6097462199778i</v>
      </c>
      <c r="U93" s="292">
        <f t="shared" si="35"/>
        <v>14.195144836919981</v>
      </c>
      <c r="V93" s="292">
        <f t="shared" si="36"/>
        <v>-18.303532670447211</v>
      </c>
      <c r="W93" s="292" t="str">
        <f>IMPRODUCT(IMDIV(IMSUM(IMPRODUCT(M93,'Small Signal'!$B$59*'Small Signal'!$B$6*'Small Signal'!$B$51*'Small Signal'!$B$7*'Small Signal'!$B$8),'Small Signal'!$B$59*'Small Signal'!$B$6*'Small Signal'!$B$51),IMSUM(IMSUM(IMPRODUCT(M93,('Small Signal'!$B$5+'Small Signal'!$B$6)*('Small Signal'!$B$58*'Small Signal'!$B$59)+'Small Signal'!$B$5*'Small Signal'!$B$59*('Small Signal'!$B$8+'Small Signal'!$B$9)+'Small Signal'!$B$6*'Small Signal'!$B$59*('Small Signal'!$B$8+'Small Signal'!$B$9)+'Small Signal'!$B$7*'Small Signal'!$B$8*('Small Signal'!$B$5+'Small Signal'!$B$6)),'Small Signal'!$B$6+'Small Signal'!$B$5),IMPRODUCT(IMPOWER(M93,2),'Small Signal'!$B$58*'Small Signal'!$B$59*'Small Signal'!$B$8*'Small Signal'!$B$7*('Small Signal'!$B$5+'Small Signal'!$B$6)+('Small Signal'!$B$5+'Small Signal'!$B$6)*('Small Signal'!$B$9*'Small Signal'!$B$8*'Small Signal'!$B$59*'Small Signal'!$B$7)))),-1)</f>
        <v>-1.53812782735433+5.25183574486459i</v>
      </c>
      <c r="X93" s="292">
        <f t="shared" si="37"/>
        <v>0</v>
      </c>
      <c r="Y93" s="292">
        <f t="shared" si="38"/>
        <v>0</v>
      </c>
      <c r="Z93" s="292" t="str">
        <f t="shared" si="39"/>
        <v>1.00001496723725+0.00547574751657135i</v>
      </c>
      <c r="AA93" s="292" t="str">
        <f t="shared" si="40"/>
        <v>3.48053976935521+42.7406838119953i</v>
      </c>
      <c r="AB93" s="289">
        <f t="shared" si="56"/>
        <v>32.645534389085483</v>
      </c>
      <c r="AC93" s="292">
        <f t="shared" si="57"/>
        <v>85.344455206405513</v>
      </c>
      <c r="AD93" s="292" t="str">
        <f t="shared" si="41"/>
        <v>0.96895225522244+28.0336150503487i</v>
      </c>
      <c r="AE93" s="289">
        <f t="shared" si="42"/>
        <v>28.958767381031087</v>
      </c>
      <c r="AF93" s="292">
        <f t="shared" si="43"/>
        <v>88.020420039841596</v>
      </c>
      <c r="AH93" s="292" t="str">
        <f t="shared" si="44"/>
        <v>0.00075-1.39579899120906i</v>
      </c>
      <c r="AI93" s="292">
        <f t="shared" si="45"/>
        <v>0.95</v>
      </c>
      <c r="AJ93" s="292" t="str">
        <f t="shared" si="46"/>
        <v>1000-147396373.471677i</v>
      </c>
      <c r="AK93" s="292" t="str">
        <f t="shared" si="47"/>
        <v>0.649159320287252-0.441665120470669i</v>
      </c>
      <c r="AL93" s="292" t="str">
        <f t="shared" si="48"/>
        <v>1.1881053645788-0.000533795365107951i</v>
      </c>
      <c r="AM93" s="292" t="str">
        <f t="shared" si="49"/>
        <v>0.019+0.0149257403569888i</v>
      </c>
      <c r="AN93" s="292" t="str">
        <f t="shared" si="50"/>
        <v>7.3008697527554-2.84549596589626i</v>
      </c>
      <c r="AO93" s="292">
        <f t="shared" si="58"/>
        <v>17.881651629990259</v>
      </c>
      <c r="AP93" s="292">
        <f t="shared" si="59"/>
        <v>-21.293226895070919</v>
      </c>
      <c r="AR93" s="292" t="str">
        <f t="shared" si="51"/>
        <v>1.1881053645788-0.000533795365107951i</v>
      </c>
      <c r="AS93" s="292" t="str">
        <f t="shared" si="52"/>
        <v>7.3008697527554-2.84549596589626i</v>
      </c>
      <c r="AT93" s="292">
        <f t="shared" si="60"/>
        <v>17.881651629990259</v>
      </c>
      <c r="AU93" s="292">
        <f t="shared" si="61"/>
        <v>-21.293226895070919</v>
      </c>
    </row>
    <row r="94" spans="1:47" x14ac:dyDescent="0.25">
      <c r="A94" s="295"/>
      <c r="B94" s="292"/>
      <c r="C94" s="292"/>
      <c r="D94" s="292"/>
      <c r="F94" s="292">
        <v>92</v>
      </c>
      <c r="G94" s="293">
        <f t="shared" si="32"/>
        <v>168.95012129287619</v>
      </c>
      <c r="H94" s="293">
        <f t="shared" si="33"/>
        <v>168.57881372500071</v>
      </c>
      <c r="I94" s="294">
        <f t="shared" si="34"/>
        <v>1</v>
      </c>
      <c r="J94" s="292">
        <f t="shared" si="53"/>
        <v>1</v>
      </c>
      <c r="K94" s="292">
        <f t="shared" si="53"/>
        <v>1</v>
      </c>
      <c r="L94" s="292">
        <f>10^('Small Signal'!F94/30)</f>
        <v>1165.914401179833</v>
      </c>
      <c r="M94" s="292" t="str">
        <f t="shared" si="54"/>
        <v>7325.65623492221i</v>
      </c>
      <c r="N94" s="292">
        <f>IF(D$32=1, IF(AND('Small Signal'!$B$63&gt;=1,FCCM=0),U94+0,R94+0), 0)</f>
        <v>0</v>
      </c>
      <c r="O94" s="292">
        <f>IF(D$32=1, IF(AND('Small Signal'!$B$63&gt;=1,FCCM=0),V94,S94), 0)</f>
        <v>0</v>
      </c>
      <c r="P94" s="292">
        <f>IF(AND('Small Signal'!$B$63&gt;=1,FCCM=0),AE94+0,AB94+0)</f>
        <v>31.941597568604863</v>
      </c>
      <c r="Q94" s="292">
        <f>IF(AND('Small Signal'!$B$63&gt;=1,FCCM=0),AF94,AC94)</f>
        <v>84.920870372965723</v>
      </c>
      <c r="R94" s="292">
        <f t="shared" si="55"/>
        <v>17.793203808410048</v>
      </c>
      <c r="S94" s="292">
        <f t="shared" si="55"/>
        <v>-22.838702512623261</v>
      </c>
      <c r="T94" s="292" t="str">
        <f>IMDIV(IMSUM('Small Signal'!$B$76,IMPRODUCT(M94,'Small Signal'!$B$77)),IMSUM(IMPRODUCT('Small Signal'!$B$80,IMPOWER(M94,2)),IMSUM(IMPRODUCT(M94,'Small Signal'!$B$79),'Small Signal'!$B$78)))</f>
        <v>4.79235811300485-1.71370065649653i</v>
      </c>
      <c r="U94" s="292">
        <f t="shared" si="35"/>
        <v>14.133578822648523</v>
      </c>
      <c r="V94" s="292">
        <f t="shared" si="36"/>
        <v>-19.676556096128131</v>
      </c>
      <c r="W94" s="292" t="str">
        <f>IMPRODUCT(IMDIV(IMSUM(IMPRODUCT(M94,'Small Signal'!$B$59*'Small Signal'!$B$6*'Small Signal'!$B$51*'Small Signal'!$B$7*'Small Signal'!$B$8),'Small Signal'!$B$59*'Small Signal'!$B$6*'Small Signal'!$B$51),IMSUM(IMSUM(IMPRODUCT(M94,('Small Signal'!$B$5+'Small Signal'!$B$6)*('Small Signal'!$B$58*'Small Signal'!$B$59)+'Small Signal'!$B$5*'Small Signal'!$B$59*('Small Signal'!$B$8+'Small Signal'!$B$9)+'Small Signal'!$B$6*'Small Signal'!$B$59*('Small Signal'!$B$8+'Small Signal'!$B$9)+'Small Signal'!$B$7*'Small Signal'!$B$8*('Small Signal'!$B$5+'Small Signal'!$B$6)),'Small Signal'!$B$6+'Small Signal'!$B$5),IMPRODUCT(IMPOWER(M94,2),'Small Signal'!$B$58*'Small Signal'!$B$59*'Small Signal'!$B$8*'Small Signal'!$B$7*('Small Signal'!$B$5+'Small Signal'!$B$6)+('Small Signal'!$B$5+'Small Signal'!$B$6)*('Small Signal'!$B$9*'Small Signal'!$B$8*'Small Signal'!$B$59*'Small Signal'!$B$7)))),-1)</f>
        <v>-1.52629384929792+4.8642154689564i</v>
      </c>
      <c r="X94" s="292">
        <f t="shared" si="37"/>
        <v>0</v>
      </c>
      <c r="Y94" s="292">
        <f t="shared" si="38"/>
        <v>0</v>
      </c>
      <c r="Z94" s="292" t="str">
        <f t="shared" si="39"/>
        <v>1.00001745049582+0.00591256883442317i</v>
      </c>
      <c r="AA94" s="292" t="str">
        <f t="shared" si="40"/>
        <v>3.50088290354483+39.3886605136003i</v>
      </c>
      <c r="AB94" s="289">
        <f t="shared" si="56"/>
        <v>31.941597568604863</v>
      </c>
      <c r="AC94" s="292">
        <f t="shared" si="57"/>
        <v>84.920870372965723</v>
      </c>
      <c r="AD94" s="292" t="str">
        <f t="shared" si="41"/>
        <v>1.02126253097887+25.9266732376054i</v>
      </c>
      <c r="AE94" s="289">
        <f t="shared" si="42"/>
        <v>28.281669196330018</v>
      </c>
      <c r="AF94" s="292">
        <f t="shared" si="43"/>
        <v>87.744261407968153</v>
      </c>
      <c r="AH94" s="292" t="str">
        <f t="shared" si="44"/>
        <v>0.00075-1.29267558646199i</v>
      </c>
      <c r="AI94" s="292">
        <f t="shared" si="45"/>
        <v>0.95</v>
      </c>
      <c r="AJ94" s="292" t="str">
        <f t="shared" si="46"/>
        <v>1000-136506541.930386i</v>
      </c>
      <c r="AK94" s="292" t="str">
        <f t="shared" si="47"/>
        <v>0.616767650120027-0.453075276609428i</v>
      </c>
      <c r="AL94" s="292" t="str">
        <f t="shared" si="48"/>
        <v>1.18810532478837-0.000576378957705904i</v>
      </c>
      <c r="AM94" s="292" t="str">
        <f t="shared" si="49"/>
        <v>0.019+0.0161164437168289i</v>
      </c>
      <c r="AN94" s="292" t="str">
        <f t="shared" si="50"/>
        <v>7.14830727164688-3.010555114368i</v>
      </c>
      <c r="AO94" s="292">
        <f t="shared" si="58"/>
        <v>17.793203808410048</v>
      </c>
      <c r="AP94" s="292">
        <f t="shared" si="59"/>
        <v>-22.838702512623261</v>
      </c>
      <c r="AR94" s="292" t="str">
        <f t="shared" si="51"/>
        <v>1.18810532478837-0.000576378957705904i</v>
      </c>
      <c r="AS94" s="292" t="str">
        <f t="shared" si="52"/>
        <v>7.14830727164688-3.010555114368i</v>
      </c>
      <c r="AT94" s="292">
        <f t="shared" si="60"/>
        <v>17.793203808410048</v>
      </c>
      <c r="AU94" s="292">
        <f t="shared" si="61"/>
        <v>-22.838702512623261</v>
      </c>
    </row>
    <row r="95" spans="1:47" x14ac:dyDescent="0.25">
      <c r="A95" s="295"/>
      <c r="B95" s="292"/>
      <c r="C95" s="292"/>
      <c r="D95" s="292"/>
      <c r="F95" s="292">
        <v>93</v>
      </c>
      <c r="G95" s="293">
        <f t="shared" si="32"/>
        <v>168.97974086114226</v>
      </c>
      <c r="H95" s="293">
        <f t="shared" si="33"/>
        <v>168.57881372500071</v>
      </c>
      <c r="I95" s="294">
        <f t="shared" si="34"/>
        <v>1</v>
      </c>
      <c r="J95" s="292">
        <f t="shared" si="53"/>
        <v>1</v>
      </c>
      <c r="K95" s="292">
        <f t="shared" si="53"/>
        <v>1</v>
      </c>
      <c r="L95" s="292">
        <f>10^('Small Signal'!F95/30)</f>
        <v>1258.925411794168</v>
      </c>
      <c r="M95" s="292" t="str">
        <f t="shared" si="54"/>
        <v>7910.06165022013i</v>
      </c>
      <c r="N95" s="292">
        <f>IF(D$32=1, IF(AND('Small Signal'!$B$63&gt;=1,FCCM=0),U95+0,R95+0), 0)</f>
        <v>0</v>
      </c>
      <c r="O95" s="292">
        <f>IF(D$32=1, IF(AND('Small Signal'!$B$63&gt;=1,FCCM=0),V95,S95), 0)</f>
        <v>0</v>
      </c>
      <c r="P95" s="292">
        <f>IF(AND('Small Signal'!$B$63&gt;=1,FCCM=0),AE95+0,AB95+0)</f>
        <v>31.2329023979024</v>
      </c>
      <c r="Q95" s="292">
        <f>IF(AND('Small Signal'!$B$63&gt;=1,FCCM=0),AF95,AC95)</f>
        <v>84.492623965610633</v>
      </c>
      <c r="R95" s="292">
        <f t="shared" si="55"/>
        <v>17.692300207408486</v>
      </c>
      <c r="S95" s="292">
        <f t="shared" si="55"/>
        <v>-24.472820512366649</v>
      </c>
      <c r="T95" s="292" t="str">
        <f>IMDIV(IMSUM('Small Signal'!$B$76,IMPRODUCT(M95,'Small Signal'!$B$77)),IMSUM(IMPRODUCT('Small Signal'!$B$80,IMPOWER(M95,2)),IMSUM(IMPRODUCT(M95,'Small Signal'!$B$79),'Small Signal'!$B$78)))</f>
        <v>4.7085877941335-1.82053200959715i</v>
      </c>
      <c r="U95" s="292">
        <f t="shared" si="35"/>
        <v>14.062869523329155</v>
      </c>
      <c r="V95" s="292">
        <f t="shared" si="36"/>
        <v>-21.138534006324893</v>
      </c>
      <c r="W95" s="292" t="str">
        <f>IMPRODUCT(IMDIV(IMSUM(IMPRODUCT(M95,'Small Signal'!$B$59*'Small Signal'!$B$6*'Small Signal'!$B$51*'Small Signal'!$B$7*'Small Signal'!$B$8),'Small Signal'!$B$59*'Small Signal'!$B$6*'Small Signal'!$B$51),IMSUM(IMSUM(IMPRODUCT(M95,('Small Signal'!$B$5+'Small Signal'!$B$6)*('Small Signal'!$B$58*'Small Signal'!$B$59)+'Small Signal'!$B$5*'Small Signal'!$B$59*('Small Signal'!$B$8+'Small Signal'!$B$9)+'Small Signal'!$B$6*'Small Signal'!$B$59*('Small Signal'!$B$8+'Small Signal'!$B$9)+'Small Signal'!$B$7*'Small Signal'!$B$8*('Small Signal'!$B$5+'Small Signal'!$B$6)),'Small Signal'!$B$6+'Small Signal'!$B$5),IMPRODUCT(IMPOWER(M95,2),'Small Signal'!$B$58*'Small Signal'!$B$59*'Small Signal'!$B$8*'Small Signal'!$B$7*('Small Signal'!$B$5+'Small Signal'!$B$6)+('Small Signal'!$B$5+'Small Signal'!$B$6)*('Small Signal'!$B$9*'Small Signal'!$B$8*'Small Signal'!$B$59*'Small Signal'!$B$7)))),-1)</f>
        <v>-1.51614315059022+4.50521479663485i</v>
      </c>
      <c r="X95" s="292">
        <f t="shared" si="37"/>
        <v>0</v>
      </c>
      <c r="Y95" s="292">
        <f t="shared" si="38"/>
        <v>0</v>
      </c>
      <c r="Z95" s="292" t="str">
        <f t="shared" si="39"/>
        <v>1.00002034575498+0.00638423574613686i</v>
      </c>
      <c r="AA95" s="292" t="str">
        <f t="shared" si="40"/>
        <v>3.49782631763647+36.2773629884708i</v>
      </c>
      <c r="AB95" s="289">
        <f t="shared" si="56"/>
        <v>31.2329023979024</v>
      </c>
      <c r="AC95" s="292">
        <f t="shared" si="57"/>
        <v>84.492623965610633</v>
      </c>
      <c r="AD95" s="292" t="str">
        <f t="shared" si="41"/>
        <v>1.06299461435624+23.9733865381655i</v>
      </c>
      <c r="AE95" s="289">
        <f t="shared" si="42"/>
        <v>27.603117993679067</v>
      </c>
      <c r="AF95" s="292">
        <f t="shared" si="43"/>
        <v>87.461133119351373</v>
      </c>
      <c r="AH95" s="292" t="str">
        <f t="shared" si="44"/>
        <v>0.00075-1.19717107001732i</v>
      </c>
      <c r="AI95" s="292">
        <f t="shared" si="45"/>
        <v>0.95</v>
      </c>
      <c r="AJ95" s="292" t="str">
        <f t="shared" si="46"/>
        <v>1000-126421264.993829i</v>
      </c>
      <c r="AK95" s="292" t="str">
        <f t="shared" si="47"/>
        <v>0.58286308588957-0.462293650436804i</v>
      </c>
      <c r="AL95" s="292" t="str">
        <f t="shared" si="48"/>
        <v>1.18810527839615-0.000622359658317744i</v>
      </c>
      <c r="AM95" s="292" t="str">
        <f t="shared" si="49"/>
        <v>0.019+0.0174021356304843i</v>
      </c>
      <c r="AN95" s="292" t="str">
        <f t="shared" si="50"/>
        <v>6.97801256743818-3.17606675404557i</v>
      </c>
      <c r="AO95" s="292">
        <f t="shared" si="58"/>
        <v>17.692300207408486</v>
      </c>
      <c r="AP95" s="292">
        <f t="shared" si="59"/>
        <v>-24.472820512366649</v>
      </c>
      <c r="AR95" s="292" t="str">
        <f t="shared" si="51"/>
        <v>1.18810527839615-0.000622359658317744i</v>
      </c>
      <c r="AS95" s="292" t="str">
        <f t="shared" si="52"/>
        <v>6.97801256743818-3.17606675404557i</v>
      </c>
      <c r="AT95" s="292">
        <f t="shared" si="60"/>
        <v>17.692300207408486</v>
      </c>
      <c r="AU95" s="292">
        <f t="shared" si="61"/>
        <v>-24.472820512366649</v>
      </c>
    </row>
    <row r="96" spans="1:47" x14ac:dyDescent="0.25">
      <c r="A96" s="295"/>
      <c r="B96" s="292"/>
      <c r="C96" s="292"/>
      <c r="D96" s="292"/>
      <c r="F96" s="292">
        <v>94</v>
      </c>
      <c r="G96" s="293">
        <f t="shared" si="32"/>
        <v>169.01172293312797</v>
      </c>
      <c r="H96" s="293">
        <f t="shared" si="33"/>
        <v>168.57881372500071</v>
      </c>
      <c r="I96" s="294">
        <f t="shared" si="34"/>
        <v>1</v>
      </c>
      <c r="J96" s="292">
        <f t="shared" si="53"/>
        <v>1</v>
      </c>
      <c r="K96" s="292">
        <f t="shared" si="53"/>
        <v>1</v>
      </c>
      <c r="L96" s="292">
        <f>10^('Small Signal'!F96/30)</f>
        <v>1359.3563908785268</v>
      </c>
      <c r="M96" s="292" t="str">
        <f t="shared" si="54"/>
        <v>8541.08810238863i</v>
      </c>
      <c r="N96" s="292">
        <f>IF(D$32=1, IF(AND('Small Signal'!$B$63&gt;=1,FCCM=0),U96+0,R96+0), 0)</f>
        <v>0</v>
      </c>
      <c r="O96" s="292">
        <f>IF(D$32=1, IF(AND('Small Signal'!$B$63&gt;=1,FCCM=0),V96,S96), 0)</f>
        <v>0</v>
      </c>
      <c r="P96" s="292">
        <f>IF(AND('Small Signal'!$B$63&gt;=1,FCCM=0),AE96+0,AB96+0)</f>
        <v>30.519085282578217</v>
      </c>
      <c r="Q96" s="292">
        <f>IF(AND('Small Signal'!$B$63&gt;=1,FCCM=0),AF96,AC96)</f>
        <v>84.062006741153269</v>
      </c>
      <c r="R96" s="292">
        <f t="shared" si="55"/>
        <v>17.577534156921722</v>
      </c>
      <c r="S96" s="292">
        <f t="shared" si="55"/>
        <v>-26.1956674980615</v>
      </c>
      <c r="T96" s="292" t="str">
        <f>IMDIV(IMSUM('Small Signal'!$B$76,IMPRODUCT(M96,'Small Signal'!$B$77)),IMSUM(IMPRODUCT('Small Signal'!$B$80,IMPOWER(M96,2)),IMSUM(IMPRODUCT(M96,'Small Signal'!$B$79),'Small Signal'!$B$78)))</f>
        <v>4.61425279300692-1.92943273702693i</v>
      </c>
      <c r="U96" s="292">
        <f t="shared" si="35"/>
        <v>13.981838317357136</v>
      </c>
      <c r="V96" s="292">
        <f t="shared" si="36"/>
        <v>-22.692062836032086</v>
      </c>
      <c r="W96" s="292" t="str">
        <f>IMPRODUCT(IMDIV(IMSUM(IMPRODUCT(M96,'Small Signal'!$B$59*'Small Signal'!$B$6*'Small Signal'!$B$51*'Small Signal'!$B$7*'Small Signal'!$B$8),'Small Signal'!$B$59*'Small Signal'!$B$6*'Small Signal'!$B$51),IMSUM(IMSUM(IMPRODUCT(M96,('Small Signal'!$B$5+'Small Signal'!$B$6)*('Small Signal'!$B$58*'Small Signal'!$B$59)+'Small Signal'!$B$5*'Small Signal'!$B$59*('Small Signal'!$B$8+'Small Signal'!$B$9)+'Small Signal'!$B$6*'Small Signal'!$B$59*('Small Signal'!$B$8+'Small Signal'!$B$9)+'Small Signal'!$B$7*'Small Signal'!$B$8*('Small Signal'!$B$5+'Small Signal'!$B$6)),'Small Signal'!$B$6+'Small Signal'!$B$5),IMPRODUCT(IMPOWER(M96,2),'Small Signal'!$B$58*'Small Signal'!$B$59*'Small Signal'!$B$8*'Small Signal'!$B$7*('Small Signal'!$B$5+'Small Signal'!$B$6)+('Small Signal'!$B$5+'Small Signal'!$B$6)*('Small Signal'!$B$9*'Small Signal'!$B$8*'Small Signal'!$B$59*'Small Signal'!$B$7)))),-1)</f>
        <v>-1.50743635982725+4.1727280045235i</v>
      </c>
      <c r="X96" s="292">
        <f t="shared" si="37"/>
        <v>0</v>
      </c>
      <c r="Y96" s="292">
        <f t="shared" si="38"/>
        <v>0</v>
      </c>
      <c r="Z96" s="292" t="str">
        <f t="shared" si="39"/>
        <v>1.00002372136876+0.00689352757327367i</v>
      </c>
      <c r="AA96" s="292" t="str">
        <f t="shared" si="40"/>
        <v>3.47291067231605+33.3901027349832i</v>
      </c>
      <c r="AB96" s="289">
        <f t="shared" si="56"/>
        <v>30.519085282578217</v>
      </c>
      <c r="AC96" s="292">
        <f t="shared" si="57"/>
        <v>84.062006741153269</v>
      </c>
      <c r="AD96" s="292" t="str">
        <f t="shared" si="41"/>
        <v>1.09530558102362+22.1625189109662i</v>
      </c>
      <c r="AE96" s="289">
        <f t="shared" si="42"/>
        <v>26.92297703908503</v>
      </c>
      <c r="AF96" s="292">
        <f t="shared" si="43"/>
        <v>87.170656992081575</v>
      </c>
      <c r="AH96" s="292" t="str">
        <f t="shared" si="44"/>
        <v>0.00075-1.10872254871702i</v>
      </c>
      <c r="AI96" s="292">
        <f t="shared" si="45"/>
        <v>0.95</v>
      </c>
      <c r="AJ96" s="292" t="str">
        <f t="shared" si="46"/>
        <v>1000-117081101.144518i</v>
      </c>
      <c r="AK96" s="292" t="str">
        <f t="shared" si="47"/>
        <v>0.547761389962718-0.46907285058779i</v>
      </c>
      <c r="AL96" s="292" t="str">
        <f t="shared" si="48"/>
        <v>1.18810522430678-0.000672008470492578i</v>
      </c>
      <c r="AM96" s="292" t="str">
        <f t="shared" si="49"/>
        <v>0.019+0.018790393825255i</v>
      </c>
      <c r="AN96" s="292" t="str">
        <f t="shared" si="50"/>
        <v>6.78907151727518-3.33999969647909i</v>
      </c>
      <c r="AO96" s="292">
        <f t="shared" si="58"/>
        <v>17.577534156921722</v>
      </c>
      <c r="AP96" s="292">
        <f t="shared" si="59"/>
        <v>-26.1956674980615</v>
      </c>
      <c r="AR96" s="292" t="str">
        <f t="shared" si="51"/>
        <v>1.18810522430678-0.000672008470492578i</v>
      </c>
      <c r="AS96" s="292" t="str">
        <f t="shared" si="52"/>
        <v>6.78907151727518-3.33999969647909i</v>
      </c>
      <c r="AT96" s="292">
        <f t="shared" si="60"/>
        <v>17.577534156921722</v>
      </c>
      <c r="AU96" s="292">
        <f t="shared" si="61"/>
        <v>-26.1956674980615</v>
      </c>
    </row>
    <row r="97" spans="1:47" x14ac:dyDescent="0.25">
      <c r="A97" s="295"/>
      <c r="B97" s="292"/>
      <c r="C97" s="292"/>
      <c r="D97" s="292"/>
      <c r="F97" s="292">
        <v>95</v>
      </c>
      <c r="G97" s="293">
        <f t="shared" si="32"/>
        <v>169.04625587383674</v>
      </c>
      <c r="H97" s="293">
        <f t="shared" si="33"/>
        <v>168.57881372500071</v>
      </c>
      <c r="I97" s="294">
        <f t="shared" si="34"/>
        <v>1</v>
      </c>
      <c r="J97" s="292">
        <f t="shared" si="53"/>
        <v>1</v>
      </c>
      <c r="K97" s="292">
        <f t="shared" si="53"/>
        <v>1</v>
      </c>
      <c r="L97" s="292">
        <f>10^('Small Signal'!F97/30)</f>
        <v>1467.7992676220699</v>
      </c>
      <c r="M97" s="292" t="str">
        <f t="shared" si="54"/>
        <v>9222.45479221195i</v>
      </c>
      <c r="N97" s="292">
        <f>IF(D$32=1, IF(AND('Small Signal'!$B$63&gt;=1,FCCM=0),U97+0,R97+0), 0)</f>
        <v>0</v>
      </c>
      <c r="O97" s="292">
        <f>IF(D$32=1, IF(AND('Small Signal'!$B$63&gt;=1,FCCM=0),V97,S97), 0)</f>
        <v>0</v>
      </c>
      <c r="P97" s="292">
        <f>IF(AND('Small Signal'!$B$63&gt;=1,FCCM=0),AE97+0,AB97+0)</f>
        <v>29.799821315395224</v>
      </c>
      <c r="Q97" s="292">
        <f>IF(AND('Small Signal'!$B$63&gt;=1,FCCM=0),AF97,AC97)</f>
        <v>83.631931734349095</v>
      </c>
      <c r="R97" s="292">
        <f t="shared" si="55"/>
        <v>17.447438069068024</v>
      </c>
      <c r="S97" s="292">
        <f t="shared" si="55"/>
        <v>-28.00624729381985</v>
      </c>
      <c r="T97" s="292" t="str">
        <f>IMDIV(IMSUM('Small Signal'!$B$76,IMPRODUCT(M97,'Small Signal'!$B$77)),IMSUM(IMPRODUCT('Small Signal'!$B$80,IMPOWER(M97,2)),IMSUM(IMPRODUCT(M97,'Small Signal'!$B$79),'Small Signal'!$B$78)))</f>
        <v>4.50855198273523-2.03939501596222i</v>
      </c>
      <c r="U97" s="292">
        <f t="shared" si="35"/>
        <v>13.889209137659064</v>
      </c>
      <c r="V97" s="292">
        <f t="shared" si="36"/>
        <v>-24.339106378564271</v>
      </c>
      <c r="W97" s="292" t="str">
        <f>IMPRODUCT(IMDIV(IMSUM(IMPRODUCT(M97,'Small Signal'!$B$59*'Small Signal'!$B$6*'Small Signal'!$B$51*'Small Signal'!$B$7*'Small Signal'!$B$8),'Small Signal'!$B$59*'Small Signal'!$B$6*'Small Signal'!$B$51),IMSUM(IMSUM(IMPRODUCT(M97,('Small Signal'!$B$5+'Small Signal'!$B$6)*('Small Signal'!$B$58*'Small Signal'!$B$59)+'Small Signal'!$B$5*'Small Signal'!$B$59*('Small Signal'!$B$8+'Small Signal'!$B$9)+'Small Signal'!$B$6*'Small Signal'!$B$59*('Small Signal'!$B$8+'Small Signal'!$B$9)+'Small Signal'!$B$7*'Small Signal'!$B$8*('Small Signal'!$B$5+'Small Signal'!$B$6)),'Small Signal'!$B$6+'Small Signal'!$B$5),IMPRODUCT(IMPOWER(M97,2),'Small Signal'!$B$58*'Small Signal'!$B$59*'Small Signal'!$B$8*'Small Signal'!$B$7*('Small Signal'!$B$5+'Small Signal'!$B$6)+('Small Signal'!$B$5+'Small Signal'!$B$6)*('Small Signal'!$B$9*'Small Signal'!$B$8*'Small Signal'!$B$59*'Small Signal'!$B$7)))),-1)</f>
        <v>-1.49996812016163+3.86480354507117i</v>
      </c>
      <c r="X97" s="292">
        <f t="shared" si="37"/>
        <v>0</v>
      </c>
      <c r="Y97" s="292">
        <f t="shared" si="38"/>
        <v>0</v>
      </c>
      <c r="Z97" s="292" t="str">
        <f t="shared" si="39"/>
        <v>1.00002765703112+0.00744344523100736i</v>
      </c>
      <c r="AA97" s="292" t="str">
        <f t="shared" si="40"/>
        <v>3.42753296214969+30.7116478350104i</v>
      </c>
      <c r="AB97" s="289">
        <f t="shared" si="56"/>
        <v>29.799821315395224</v>
      </c>
      <c r="AC97" s="292">
        <f t="shared" si="57"/>
        <v>83.631931734349095</v>
      </c>
      <c r="AD97" s="292" t="str">
        <f t="shared" si="41"/>
        <v>1.11917684529691+20.4836951943726i</v>
      </c>
      <c r="AE97" s="289">
        <f t="shared" si="42"/>
        <v>26.241111561038942</v>
      </c>
      <c r="AF97" s="292">
        <f t="shared" si="43"/>
        <v>86.872614323025246</v>
      </c>
      <c r="AH97" s="292" t="str">
        <f t="shared" si="44"/>
        <v>0.00075-1.02680871666552i</v>
      </c>
      <c r="AI97" s="292">
        <f t="shared" si="45"/>
        <v>0.95</v>
      </c>
      <c r="AJ97" s="292" t="str">
        <f t="shared" si="46"/>
        <v>1000-108431000.479879i</v>
      </c>
      <c r="AK97" s="292" t="str">
        <f t="shared" si="47"/>
        <v>0.511829819588774-0.473223198922169i</v>
      </c>
      <c r="AL97" s="292" t="str">
        <f t="shared" si="48"/>
        <v>1.18810516124321-0.000725618016796558i</v>
      </c>
      <c r="AM97" s="292" t="str">
        <f t="shared" si="49"/>
        <v>0.019+0.0202894005428663i</v>
      </c>
      <c r="AN97" s="292" t="str">
        <f t="shared" si="50"/>
        <v>6.58084479931832-3.50001771096964i</v>
      </c>
      <c r="AO97" s="292">
        <f t="shared" si="58"/>
        <v>17.447438069068024</v>
      </c>
      <c r="AP97" s="292">
        <f t="shared" si="59"/>
        <v>-28.00624729381985</v>
      </c>
      <c r="AR97" s="292" t="str">
        <f t="shared" si="51"/>
        <v>1.18810516124321-0.000725618016796558i</v>
      </c>
      <c r="AS97" s="292" t="str">
        <f t="shared" si="52"/>
        <v>6.58084479931832-3.50001771096964i</v>
      </c>
      <c r="AT97" s="292">
        <f t="shared" si="60"/>
        <v>17.447438069068024</v>
      </c>
      <c r="AU97" s="292">
        <f t="shared" si="61"/>
        <v>-28.00624729381985</v>
      </c>
    </row>
    <row r="98" spans="1:47" x14ac:dyDescent="0.25">
      <c r="A98" s="295"/>
      <c r="B98" s="292"/>
      <c r="C98" s="292"/>
      <c r="D98" s="292"/>
      <c r="F98" s="292">
        <v>96</v>
      </c>
      <c r="G98" s="293">
        <f t="shared" si="32"/>
        <v>169.08354304816839</v>
      </c>
      <c r="H98" s="293">
        <f t="shared" si="33"/>
        <v>168.57881372500071</v>
      </c>
      <c r="I98" s="294">
        <f t="shared" si="34"/>
        <v>1</v>
      </c>
      <c r="J98" s="292">
        <f t="shared" si="53"/>
        <v>1</v>
      </c>
      <c r="K98" s="292">
        <f t="shared" si="53"/>
        <v>1</v>
      </c>
      <c r="L98" s="292">
        <f>10^('Small Signal'!F98/30)</f>
        <v>1584.8931924611156</v>
      </c>
      <c r="M98" s="292" t="str">
        <f t="shared" si="54"/>
        <v>9958.17762032063i</v>
      </c>
      <c r="N98" s="292">
        <f>IF(D$32=1, IF(AND('Small Signal'!$B$63&gt;=1,FCCM=0),U98+0,R98+0), 0)</f>
        <v>0</v>
      </c>
      <c r="O98" s="292">
        <f>IF(D$32=1, IF(AND('Small Signal'!$B$63&gt;=1,FCCM=0),V98,S98), 0)</f>
        <v>0</v>
      </c>
      <c r="P98" s="292">
        <f>IF(AND('Small Signal'!$B$63&gt;=1,FCCM=0),AE98+0,AB98+0)</f>
        <v>29.074846179866828</v>
      </c>
      <c r="Q98" s="292">
        <f>IF(AND('Small Signal'!$B$63&gt;=1,FCCM=0),AF98,AC98)</f>
        <v>83.205936563681135</v>
      </c>
      <c r="R98" s="292">
        <f t="shared" si="55"/>
        <v>17.300507868358203</v>
      </c>
      <c r="S98" s="292">
        <f t="shared" si="55"/>
        <v>-29.90233556833142</v>
      </c>
      <c r="T98" s="292" t="str">
        <f>IMDIV(IMSUM('Small Signal'!$B$76,IMPRODUCT(M98,'Small Signal'!$B$77)),IMSUM(IMPRODUCT('Small Signal'!$B$80,IMPOWER(M98,2)),IMSUM(IMPRODUCT(M98,'Small Signal'!$B$79),'Small Signal'!$B$78)))</f>
        <v>4.39077924579482-2.14920050967341i</v>
      </c>
      <c r="U98" s="292">
        <f t="shared" si="35"/>
        <v>13.78361651583992</v>
      </c>
      <c r="V98" s="292">
        <f t="shared" si="36"/>
        <v>-26.080843585653529</v>
      </c>
      <c r="W98" s="292" t="str">
        <f>IMPRODUCT(IMDIV(IMSUM(IMPRODUCT(M98,'Small Signal'!$B$59*'Small Signal'!$B$6*'Small Signal'!$B$51*'Small Signal'!$B$7*'Small Signal'!$B$8),'Small Signal'!$B$59*'Small Signal'!$B$6*'Small Signal'!$B$51),IMSUM(IMSUM(IMPRODUCT(M98,('Small Signal'!$B$5+'Small Signal'!$B$6)*('Small Signal'!$B$58*'Small Signal'!$B$59)+'Small Signal'!$B$5*'Small Signal'!$B$59*('Small Signal'!$B$8+'Small Signal'!$B$9)+'Small Signal'!$B$6*'Small Signal'!$B$59*('Small Signal'!$B$8+'Small Signal'!$B$9)+'Small Signal'!$B$7*'Small Signal'!$B$8*('Small Signal'!$B$5+'Small Signal'!$B$6)),'Small Signal'!$B$6+'Small Signal'!$B$5),IMPRODUCT(IMPOWER(M98,2),'Small Signal'!$B$58*'Small Signal'!$B$59*'Small Signal'!$B$8*'Small Signal'!$B$7*('Small Signal'!$B$5+'Small Signal'!$B$6)+('Small Signal'!$B$5+'Small Signal'!$B$6)*('Small Signal'!$B$9*'Small Signal'!$B$8*'Small Signal'!$B$59*'Small Signal'!$B$7)))),-1)</f>
        <v>-1.4935622609915+3.57963297466525i</v>
      </c>
      <c r="X98" s="292">
        <f t="shared" si="37"/>
        <v>0</v>
      </c>
      <c r="Y98" s="292">
        <f t="shared" si="38"/>
        <v>0</v>
      </c>
      <c r="Z98" s="292" t="str">
        <f t="shared" si="39"/>
        <v>1.00003224565702+0.008037228872853i</v>
      </c>
      <c r="AA98" s="292" t="str">
        <f t="shared" si="40"/>
        <v>3.36303225694435+28.2281122244095i</v>
      </c>
      <c r="AB98" s="289">
        <f t="shared" si="56"/>
        <v>29.074846179866828</v>
      </c>
      <c r="AC98" s="292">
        <f t="shared" si="57"/>
        <v>83.205936563681135</v>
      </c>
      <c r="AD98" s="292" t="str">
        <f t="shared" si="41"/>
        <v>1.13544683573044+18.9273429452749i</v>
      </c>
      <c r="AE98" s="289">
        <f t="shared" si="42"/>
        <v>25.557394235382379</v>
      </c>
      <c r="AF98" s="292">
        <f t="shared" si="43"/>
        <v>86.566954015875581</v>
      </c>
      <c r="AH98" s="292" t="str">
        <f t="shared" si="44"/>
        <v>0.00075-0.950946782709832i</v>
      </c>
      <c r="AI98" s="292">
        <f t="shared" si="45"/>
        <v>0.95</v>
      </c>
      <c r="AJ98" s="292" t="str">
        <f t="shared" si="46"/>
        <v>1000-100419980.254158i</v>
      </c>
      <c r="AK98" s="292" t="str">
        <f t="shared" si="47"/>
        <v>0.475472925704-0.474625285662887i</v>
      </c>
      <c r="AL98" s="292" t="str">
        <f t="shared" si="48"/>
        <v>1.18810508771651-0.000783504263386711i</v>
      </c>
      <c r="AM98" s="292" t="str">
        <f t="shared" si="49"/>
        <v>0.019+0.0219079907647054i</v>
      </c>
      <c r="AN98" s="292" t="str">
        <f t="shared" si="50"/>
        <v>6.35305459316658-3.65351302784189i</v>
      </c>
      <c r="AO98" s="292">
        <f t="shared" si="58"/>
        <v>17.300507868358203</v>
      </c>
      <c r="AP98" s="292">
        <f t="shared" si="59"/>
        <v>-29.90233556833142</v>
      </c>
      <c r="AR98" s="292" t="str">
        <f t="shared" si="51"/>
        <v>1.18810508771651-0.000783504263386711i</v>
      </c>
      <c r="AS98" s="292" t="str">
        <f t="shared" si="52"/>
        <v>6.35305459316658-3.65351302784189i</v>
      </c>
      <c r="AT98" s="292">
        <f t="shared" si="60"/>
        <v>17.300507868358203</v>
      </c>
      <c r="AU98" s="292">
        <f t="shared" si="61"/>
        <v>-29.90233556833142</v>
      </c>
    </row>
    <row r="99" spans="1:47" x14ac:dyDescent="0.25">
      <c r="A99" s="295"/>
      <c r="B99" s="292"/>
      <c r="C99" s="292"/>
      <c r="D99" s="292"/>
      <c r="F99" s="292">
        <v>97</v>
      </c>
      <c r="G99" s="293">
        <f t="shared" si="32"/>
        <v>169.12380401056208</v>
      </c>
      <c r="H99" s="293">
        <f t="shared" si="33"/>
        <v>168.57881372500071</v>
      </c>
      <c r="I99" s="294">
        <f t="shared" si="34"/>
        <v>1</v>
      </c>
      <c r="J99" s="292">
        <f t="shared" si="53"/>
        <v>1</v>
      </c>
      <c r="K99" s="292">
        <f t="shared" si="53"/>
        <v>1</v>
      </c>
      <c r="L99" s="292">
        <f>10^('Small Signal'!F99/30)</f>
        <v>1711.3283041617822</v>
      </c>
      <c r="M99" s="292" t="str">
        <f t="shared" si="54"/>
        <v>10752.5928564699i</v>
      </c>
      <c r="N99" s="292">
        <f>IF(D$32=1, IF(AND('Small Signal'!$B$63&gt;=1,FCCM=0),U99+0,R99+0), 0)</f>
        <v>0</v>
      </c>
      <c r="O99" s="292">
        <f>IF(D$32=1, IF(AND('Small Signal'!$B$63&gt;=1,FCCM=0),V99,S99), 0)</f>
        <v>0</v>
      </c>
      <c r="P99" s="292">
        <f>IF(AND('Small Signal'!$B$63&gt;=1,FCCM=0),AE99+0,AB99+0)</f>
        <v>28.343980446413788</v>
      </c>
      <c r="Q99" s="292">
        <f>IF(AND('Small Signal'!$B$63&gt;=1,FCCM=0),AF99,AC99)</f>
        <v>82.788150617367791</v>
      </c>
      <c r="R99" s="292">
        <f t="shared" si="55"/>
        <v>17.135234086930705</v>
      </c>
      <c r="S99" s="292">
        <f t="shared" si="55"/>
        <v>-31.880358127926165</v>
      </c>
      <c r="T99" s="292" t="str">
        <f>IMDIV(IMSUM('Small Signal'!$B$76,IMPRODUCT(M99,'Small Signal'!$B$77)),IMSUM(IMPRODUCT('Small Signal'!$B$80,IMPOWER(M99,2)),IMSUM(IMPRODUCT(M99,'Small Signal'!$B$79),'Small Signal'!$B$78)))</f>
        <v>4.26037423699097-2.2574195319915i</v>
      </c>
      <c r="U99" s="292">
        <f t="shared" si="35"/>
        <v>13.663619010793997</v>
      </c>
      <c r="V99" s="292">
        <f t="shared" si="36"/>
        <v>-27.917512245371846</v>
      </c>
      <c r="W99" s="292" t="str">
        <f>IMPRODUCT(IMDIV(IMSUM(IMPRODUCT(M99,'Small Signal'!$B$59*'Small Signal'!$B$6*'Small Signal'!$B$51*'Small Signal'!$B$7*'Small Signal'!$B$8),'Small Signal'!$B$59*'Small Signal'!$B$6*'Small Signal'!$B$51),IMSUM(IMSUM(IMPRODUCT(M99,('Small Signal'!$B$5+'Small Signal'!$B$6)*('Small Signal'!$B$58*'Small Signal'!$B$59)+'Small Signal'!$B$5*'Small Signal'!$B$59*('Small Signal'!$B$8+'Small Signal'!$B$9)+'Small Signal'!$B$6*'Small Signal'!$B$59*('Small Signal'!$B$8+'Small Signal'!$B$9)+'Small Signal'!$B$7*'Small Signal'!$B$8*('Small Signal'!$B$5+'Small Signal'!$B$6)),'Small Signal'!$B$6+'Small Signal'!$B$5),IMPRODUCT(IMPOWER(M99,2),'Small Signal'!$B$58*'Small Signal'!$B$59*'Small Signal'!$B$8*'Small Signal'!$B$7*('Small Signal'!$B$5+'Small Signal'!$B$6)+('Small Signal'!$B$5+'Small Signal'!$B$6)*('Small Signal'!$B$9*'Small Signal'!$B$8*'Small Signal'!$B$59*'Small Signal'!$B$7)))),-1)</f>
        <v>-1.48806765340206+3.3155406367962i</v>
      </c>
      <c r="X99" s="292">
        <f t="shared" si="37"/>
        <v>0</v>
      </c>
      <c r="Y99" s="292">
        <f t="shared" si="38"/>
        <v>0</v>
      </c>
      <c r="Z99" s="292" t="str">
        <f t="shared" si="39"/>
        <v>1.00003759557549+0.00867837693448108i</v>
      </c>
      <c r="AA99" s="292" t="str">
        <f t="shared" si="40"/>
        <v>3.2807689732667+25.926837847687i</v>
      </c>
      <c r="AB99" s="289">
        <f t="shared" si="56"/>
        <v>28.343980446413788</v>
      </c>
      <c r="AC99" s="292">
        <f t="shared" si="57"/>
        <v>82.788150617367791</v>
      </c>
      <c r="AD99" s="292" t="str">
        <f t="shared" si="41"/>
        <v>1.14484109916153+17.4846368964177i</v>
      </c>
      <c r="AE99" s="289">
        <f t="shared" si="42"/>
        <v>24.871711776774408</v>
      </c>
      <c r="AF99" s="292">
        <f t="shared" si="43"/>
        <v>86.253793302631124</v>
      </c>
      <c r="AH99" s="292" t="str">
        <f t="shared" si="44"/>
        <v>0.00075-0.880689624921398i</v>
      </c>
      <c r="AI99" s="292">
        <f t="shared" si="45"/>
        <v>0.95</v>
      </c>
      <c r="AJ99" s="292" t="str">
        <f t="shared" si="46"/>
        <v>1000-93000824.3916995i</v>
      </c>
      <c r="AK99" s="292" t="str">
        <f t="shared" si="47"/>
        <v>0.439114879103384-0.47323820273083i</v>
      </c>
      <c r="AL99" s="292" t="str">
        <f t="shared" si="48"/>
        <v>1.18810500199067-0.000846008382140447i</v>
      </c>
      <c r="AM99" s="292" t="str">
        <f t="shared" si="49"/>
        <v>0.019+0.0236557042842338i</v>
      </c>
      <c r="AN99" s="292" t="str">
        <f t="shared" si="50"/>
        <v>6.10586991593727-3.797665751294i</v>
      </c>
      <c r="AO99" s="292">
        <f t="shared" si="58"/>
        <v>17.135234086930705</v>
      </c>
      <c r="AP99" s="292">
        <f t="shared" si="59"/>
        <v>-31.880358127926165</v>
      </c>
      <c r="AR99" s="292" t="str">
        <f t="shared" si="51"/>
        <v>1.18810500199067-0.000846008382140447i</v>
      </c>
      <c r="AS99" s="292" t="str">
        <f t="shared" si="52"/>
        <v>6.10586991593727-3.797665751294i</v>
      </c>
      <c r="AT99" s="292">
        <f t="shared" si="60"/>
        <v>17.135234086930705</v>
      </c>
      <c r="AU99" s="292">
        <f t="shared" si="61"/>
        <v>-31.880358127926165</v>
      </c>
    </row>
    <row r="100" spans="1:47" x14ac:dyDescent="0.25">
      <c r="A100" s="295"/>
      <c r="B100" s="292"/>
      <c r="C100" s="292"/>
      <c r="D100" s="292"/>
      <c r="F100" s="292">
        <v>98</v>
      </c>
      <c r="G100" s="293">
        <f t="shared" si="32"/>
        <v>169.16727578773845</v>
      </c>
      <c r="H100" s="293">
        <f t="shared" si="33"/>
        <v>168.57881372500071</v>
      </c>
      <c r="I100" s="294">
        <f t="shared" si="34"/>
        <v>1</v>
      </c>
      <c r="J100" s="292">
        <f t="shared" si="53"/>
        <v>1</v>
      </c>
      <c r="K100" s="292">
        <f t="shared" si="53"/>
        <v>1</v>
      </c>
      <c r="L100" s="292">
        <f>10^('Small Signal'!F100/30)</f>
        <v>1847.8497974222912</v>
      </c>
      <c r="M100" s="292" t="str">
        <f t="shared" si="54"/>
        <v>11610.3826970385i</v>
      </c>
      <c r="N100" s="292">
        <f>IF(D$32=1, IF(AND('Small Signal'!$B$63&gt;=1,FCCM=0),U100+0,R100+0), 0)</f>
        <v>0</v>
      </c>
      <c r="O100" s="292">
        <f>IF(D$32=1, IF(AND('Small Signal'!$B$63&gt;=1,FCCM=0),V100,S100), 0)</f>
        <v>0</v>
      </c>
      <c r="P100" s="292">
        <f>IF(AND('Small Signal'!$B$63&gt;=1,FCCM=0),AE100+0,AB100+0)</f>
        <v>27.607154937263886</v>
      </c>
      <c r="Q100" s="292">
        <f>IF(AND('Small Signal'!$B$63&gt;=1,FCCM=0),AF100,AC100)</f>
        <v>82.383218605700677</v>
      </c>
      <c r="R100" s="292">
        <f t="shared" si="55"/>
        <v>16.950139207941238</v>
      </c>
      <c r="S100" s="292">
        <f t="shared" si="55"/>
        <v>-33.935306646880441</v>
      </c>
      <c r="T100" s="292" t="str">
        <f>IMDIV(IMSUM('Small Signal'!$B$76,IMPRODUCT(M100,'Small Signal'!$B$77)),IMSUM(IMPRODUCT('Small Signal'!$B$80,IMPOWER(M100,2)),IMSUM(IMPRODUCT(M100,'Small Signal'!$B$79),'Small Signal'!$B$78)))</f>
        <v>4.11697855464719-2.36242287398604i</v>
      </c>
      <c r="U100" s="292">
        <f t="shared" si="35"/>
        <v>13.527718755635451</v>
      </c>
      <c r="V100" s="292">
        <f t="shared" si="36"/>
        <v>-29.848256920578525</v>
      </c>
      <c r="W100" s="292" t="str">
        <f>IMPRODUCT(IMDIV(IMSUM(IMPRODUCT(M100,'Small Signal'!$B$59*'Small Signal'!$B$6*'Small Signal'!$B$51*'Small Signal'!$B$7*'Small Signal'!$B$8),'Small Signal'!$B$59*'Small Signal'!$B$6*'Small Signal'!$B$51),IMSUM(IMSUM(IMPRODUCT(M100,('Small Signal'!$B$5+'Small Signal'!$B$6)*('Small Signal'!$B$58*'Small Signal'!$B$59)+'Small Signal'!$B$5*'Small Signal'!$B$59*('Small Signal'!$B$8+'Small Signal'!$B$9)+'Small Signal'!$B$6*'Small Signal'!$B$59*('Small Signal'!$B$8+'Small Signal'!$B$9)+'Small Signal'!$B$7*'Small Signal'!$B$8*('Small Signal'!$B$5+'Small Signal'!$B$6)),'Small Signal'!$B$6+'Small Signal'!$B$5),IMPRODUCT(IMPOWER(M100,2),'Small Signal'!$B$58*'Small Signal'!$B$59*'Small Signal'!$B$8*'Small Signal'!$B$7*('Small Signal'!$B$5+'Small Signal'!$B$6)+('Small Signal'!$B$5+'Small Signal'!$B$6)*('Small Signal'!$B$9*'Small Signal'!$B$8*'Small Signal'!$B$59*'Small Signal'!$B$7)))),-1)</f>
        <v>-1.48335465291651+3.07097405760815i</v>
      </c>
      <c r="X100" s="292">
        <f t="shared" si="37"/>
        <v>0</v>
      </c>
      <c r="Y100" s="292">
        <f t="shared" si="38"/>
        <v>0</v>
      </c>
      <c r="Z100" s="292" t="str">
        <f t="shared" si="39"/>
        <v>1.0000438330864+0.00937066668601952i</v>
      </c>
      <c r="AA100" s="292" t="str">
        <f t="shared" si="40"/>
        <v>3.18219415684958+23.7962683591278i</v>
      </c>
      <c r="AB100" s="289">
        <f t="shared" si="56"/>
        <v>27.607154937263886</v>
      </c>
      <c r="AC100" s="292">
        <f t="shared" si="57"/>
        <v>82.383218605700677</v>
      </c>
      <c r="AD100" s="292" t="str">
        <f t="shared" si="41"/>
        <v>1.14800006411782+16.1474452993342i</v>
      </c>
      <c r="AE100" s="289">
        <f t="shared" si="42"/>
        <v>24.183972462766441</v>
      </c>
      <c r="AF100" s="292">
        <f t="shared" si="43"/>
        <v>85.933407924657516</v>
      </c>
      <c r="AH100" s="292" t="str">
        <f t="shared" si="44"/>
        <v>0.00075-0.81562315530843i</v>
      </c>
      <c r="AI100" s="292">
        <f t="shared" si="45"/>
        <v>0.95</v>
      </c>
      <c r="AJ100" s="292" t="str">
        <f t="shared" si="46"/>
        <v>1000-86129805.2005705i</v>
      </c>
      <c r="AK100" s="292" t="str">
        <f t="shared" si="47"/>
        <v>0.403179904221838-0.469102421969803i</v>
      </c>
      <c r="AL100" s="292" t="str">
        <f t="shared" si="48"/>
        <v>1.18810490204169-0.000913498761308484i</v>
      </c>
      <c r="AM100" s="292" t="str">
        <f t="shared" si="49"/>
        <v>0.019+0.0255428419334847i</v>
      </c>
      <c r="AN100" s="292" t="str">
        <f t="shared" si="50"/>
        <v>5.83998226353854-3.92953106289609i</v>
      </c>
      <c r="AO100" s="292">
        <f t="shared" si="58"/>
        <v>16.950139207941238</v>
      </c>
      <c r="AP100" s="292">
        <f t="shared" si="59"/>
        <v>-33.935306646880441</v>
      </c>
      <c r="AR100" s="292" t="str">
        <f t="shared" si="51"/>
        <v>1.18810490204169-0.000913498761308484i</v>
      </c>
      <c r="AS100" s="292" t="str">
        <f t="shared" si="52"/>
        <v>5.83998226353854-3.92953106289609i</v>
      </c>
      <c r="AT100" s="292">
        <f t="shared" si="60"/>
        <v>16.950139207941238</v>
      </c>
      <c r="AU100" s="292">
        <f t="shared" si="61"/>
        <v>-33.935306646880441</v>
      </c>
    </row>
    <row r="101" spans="1:47" x14ac:dyDescent="0.25">
      <c r="A101" s="295"/>
      <c r="B101" s="292"/>
      <c r="C101" s="292"/>
      <c r="D101" s="292"/>
      <c r="F101" s="292">
        <v>99</v>
      </c>
      <c r="G101" s="293">
        <f t="shared" si="32"/>
        <v>169.21421426150059</v>
      </c>
      <c r="H101" s="293">
        <f t="shared" si="33"/>
        <v>168.57881372500071</v>
      </c>
      <c r="I101" s="294">
        <f t="shared" si="34"/>
        <v>1</v>
      </c>
      <c r="J101" s="292">
        <f t="shared" si="53"/>
        <v>1</v>
      </c>
      <c r="K101" s="292">
        <f t="shared" si="53"/>
        <v>1</v>
      </c>
      <c r="L101" s="292">
        <f>10^('Small Signal'!F101/30)</f>
        <v>1995.2623149688804</v>
      </c>
      <c r="M101" s="292" t="str">
        <f t="shared" si="54"/>
        <v>12536.6028613816i</v>
      </c>
      <c r="N101" s="292">
        <f>IF(D$32=1, IF(AND('Small Signal'!$B$63&gt;=1,FCCM=0),U101+0,R101+0), 0)</f>
        <v>0</v>
      </c>
      <c r="O101" s="292">
        <f>IF(D$32=1, IF(AND('Small Signal'!$B$63&gt;=1,FCCM=0),V101,S101), 0)</f>
        <v>0</v>
      </c>
      <c r="P101" s="292">
        <f>IF(AND('Small Signal'!$B$63&gt;=1,FCCM=0),AE101+0,AB101+0)</f>
        <v>26.864435243723182</v>
      </c>
      <c r="Q101" s="292">
        <f>IF(AND('Small Signal'!$B$63&gt;=1,FCCM=0),AF101,AC101)</f>
        <v>81.996174093334446</v>
      </c>
      <c r="R101" s="292">
        <f t="shared" si="55"/>
        <v>16.743820137656705</v>
      </c>
      <c r="S101" s="292">
        <f t="shared" si="55"/>
        <v>-36.060705857073188</v>
      </c>
      <c r="T101" s="292" t="str">
        <f>IMDIV(IMSUM('Small Signal'!$B$76,IMPRODUCT(M101,'Small Signal'!$B$77)),IMSUM(IMPRODUCT('Small Signal'!$B$80,IMPOWER(M101,2)),IMSUM(IMPRODUCT(M101,'Small Signal'!$B$79),'Small Signal'!$B$78)))</f>
        <v>3.96049409126004-2.46240932152496i</v>
      </c>
      <c r="U101" s="292">
        <f t="shared" si="35"/>
        <v>13.37438756389119</v>
      </c>
      <c r="V101" s="292">
        <f t="shared" si="36"/>
        <v>-31.870991948246083</v>
      </c>
      <c r="W101" s="292" t="str">
        <f>IMPRODUCT(IMDIV(IMSUM(IMPRODUCT(M101,'Small Signal'!$B$59*'Small Signal'!$B$6*'Small Signal'!$B$51*'Small Signal'!$B$7*'Small Signal'!$B$8),'Small Signal'!$B$59*'Small Signal'!$B$6*'Small Signal'!$B$51),IMSUM(IMSUM(IMPRODUCT(M101,('Small Signal'!$B$5+'Small Signal'!$B$6)*('Small Signal'!$B$58*'Small Signal'!$B$59)+'Small Signal'!$B$5*'Small Signal'!$B$59*('Small Signal'!$B$8+'Small Signal'!$B$9)+'Small Signal'!$B$6*'Small Signal'!$B$59*('Small Signal'!$B$8+'Small Signal'!$B$9)+'Small Signal'!$B$7*'Small Signal'!$B$8*('Small Signal'!$B$5+'Small Signal'!$B$6)),'Small Signal'!$B$6+'Small Signal'!$B$5),IMPRODUCT(IMPOWER(M101,2),'Small Signal'!$B$58*'Small Signal'!$B$59*'Small Signal'!$B$8*'Small Signal'!$B$7*('Small Signal'!$B$5+'Small Signal'!$B$6)+('Small Signal'!$B$5+'Small Signal'!$B$6)*('Small Signal'!$B$9*'Small Signal'!$B$8*'Small Signal'!$B$59*'Small Signal'!$B$7)))),-1)</f>
        <v>-1.47931204660788+2.84449501165011i</v>
      </c>
      <c r="X101" s="292">
        <f t="shared" si="37"/>
        <v>0</v>
      </c>
      <c r="Y101" s="292">
        <f t="shared" si="38"/>
        <v>0</v>
      </c>
      <c r="Z101" s="292" t="str">
        <f t="shared" si="39"/>
        <v>1.00005110544116+0.0101181764104067i</v>
      </c>
      <c r="AA101" s="292" t="str">
        <f t="shared" si="40"/>
        <v>3.06890440815278+21.8258145597333i</v>
      </c>
      <c r="AB101" s="289">
        <f t="shared" si="56"/>
        <v>26.864435243723182</v>
      </c>
      <c r="AC101" s="292">
        <f t="shared" si="57"/>
        <v>81.996174093334446</v>
      </c>
      <c r="AD101" s="292" t="str">
        <f t="shared" si="41"/>
        <v>1.14550441199817+14.9082774592703i</v>
      </c>
      <c r="AE101" s="289">
        <f t="shared" si="42"/>
        <v>23.494114233466412</v>
      </c>
      <c r="AF101" s="292">
        <f t="shared" si="43"/>
        <v>85.606208602738363</v>
      </c>
      <c r="AH101" s="292" t="str">
        <f t="shared" si="44"/>
        <v>0.00075-0.755363879226636i</v>
      </c>
      <c r="AI101" s="292">
        <f t="shared" si="45"/>
        <v>0.95</v>
      </c>
      <c r="AJ101" s="292" t="str">
        <f t="shared" si="46"/>
        <v>1000-79766425.6463329i</v>
      </c>
      <c r="AK101" s="292" t="str">
        <f t="shared" si="47"/>
        <v>0.368072707681247-0.462336947460122i</v>
      </c>
      <c r="AL101" s="292" t="str">
        <f t="shared" si="48"/>
        <v>1.18810478550977-0.000986373176532386i</v>
      </c>
      <c r="AM101" s="292" t="str">
        <f t="shared" si="49"/>
        <v>0.019+0.0275805262950395i</v>
      </c>
      <c r="AN101" s="292" t="str">
        <f t="shared" si="50"/>
        <v>5.55666181353686-4.0461531676067i</v>
      </c>
      <c r="AO101" s="292">
        <f t="shared" si="58"/>
        <v>16.743820137656705</v>
      </c>
      <c r="AP101" s="292">
        <f t="shared" si="59"/>
        <v>-36.060705857073188</v>
      </c>
      <c r="AR101" s="292" t="str">
        <f t="shared" si="51"/>
        <v>1.18810478550977-0.000986373176532386i</v>
      </c>
      <c r="AS101" s="292" t="str">
        <f t="shared" si="52"/>
        <v>5.55666181353686-4.0461531676067i</v>
      </c>
      <c r="AT101" s="292">
        <f t="shared" si="60"/>
        <v>16.743820137656705</v>
      </c>
      <c r="AU101" s="292">
        <f t="shared" si="61"/>
        <v>-36.060705857073188</v>
      </c>
    </row>
    <row r="102" spans="1:47" x14ac:dyDescent="0.25">
      <c r="A102" s="295"/>
      <c r="B102" s="292"/>
      <c r="C102" s="292"/>
      <c r="D102" s="292"/>
      <c r="F102" s="292">
        <v>100</v>
      </c>
      <c r="G102" s="293">
        <f t="shared" si="32"/>
        <v>169.26489565898885</v>
      </c>
      <c r="H102" s="293">
        <f t="shared" si="33"/>
        <v>168.57881372500071</v>
      </c>
      <c r="I102" s="294">
        <f t="shared" si="34"/>
        <v>1</v>
      </c>
      <c r="J102" s="292">
        <f t="shared" si="53"/>
        <v>1</v>
      </c>
      <c r="K102" s="292">
        <f t="shared" si="53"/>
        <v>1</v>
      </c>
      <c r="L102" s="292">
        <f>10^('Small Signal'!F102/30)</f>
        <v>2154.4346900318851</v>
      </c>
      <c r="M102" s="292" t="str">
        <f t="shared" si="54"/>
        <v>13536.7123896863i</v>
      </c>
      <c r="N102" s="292">
        <f>IF(D$32=1, IF(AND('Small Signal'!$B$63&gt;=1,FCCM=0),U102+0,R102+0), 0)</f>
        <v>0</v>
      </c>
      <c r="O102" s="292">
        <f>IF(D$32=1, IF(AND('Small Signal'!$B$63&gt;=1,FCCM=0),V102,S102), 0)</f>
        <v>0</v>
      </c>
      <c r="P102" s="292">
        <f>IF(AND('Small Signal'!$B$63&gt;=1,FCCM=0),AE102+0,AB102+0)</f>
        <v>26.116042954443891</v>
      </c>
      <c r="Q102" s="292">
        <f>IF(AND('Small Signal'!$B$63&gt;=1,FCCM=0),AF102,AC102)</f>
        <v>81.632260544256724</v>
      </c>
      <c r="R102" s="292">
        <f t="shared" si="55"/>
        <v>16.51499391559754</v>
      </c>
      <c r="S102" s="292">
        <f t="shared" si="55"/>
        <v>-38.248644757938557</v>
      </c>
      <c r="T102" s="292" t="str">
        <f>IMDIV(IMSUM('Small Signal'!$B$76,IMPRODUCT(M102,'Small Signal'!$B$77)),IMSUM(IMPRODUCT('Small Signal'!$B$80,IMPOWER(M102,2)),IMSUM(IMPRODUCT(M102,'Small Signal'!$B$79),'Small Signal'!$B$78)))</f>
        <v>3.7911388971588-2.55545108230685i</v>
      </c>
      <c r="U102" s="292">
        <f t="shared" si="35"/>
        <v>13.202099579831865</v>
      </c>
      <c r="V102" s="292">
        <f t="shared" si="36"/>
        <v>-33.982292328670383</v>
      </c>
      <c r="W102" s="292" t="str">
        <f>IMPRODUCT(IMDIV(IMSUM(IMPRODUCT(M102,'Small Signal'!$B$59*'Small Signal'!$B$6*'Small Signal'!$B$51*'Small Signal'!$B$7*'Small Signal'!$B$8),'Small Signal'!$B$59*'Small Signal'!$B$6*'Small Signal'!$B$51),IMSUM(IMSUM(IMPRODUCT(M102,('Small Signal'!$B$5+'Small Signal'!$B$6)*('Small Signal'!$B$58*'Small Signal'!$B$59)+'Small Signal'!$B$5*'Small Signal'!$B$59*('Small Signal'!$B$8+'Small Signal'!$B$9)+'Small Signal'!$B$6*'Small Signal'!$B$59*('Small Signal'!$B$8+'Small Signal'!$B$9)+'Small Signal'!$B$7*'Small Signal'!$B$8*('Small Signal'!$B$5+'Small Signal'!$B$6)),'Small Signal'!$B$6+'Small Signal'!$B$5),IMPRODUCT(IMPOWER(M102,2),'Small Signal'!$B$58*'Small Signal'!$B$59*'Small Signal'!$B$8*'Small Signal'!$B$7*('Small Signal'!$B$5+'Small Signal'!$B$6)+('Small Signal'!$B$5+'Small Signal'!$B$6)*('Small Signal'!$B$9*'Small Signal'!$B$8*'Small Signal'!$B$59*'Small Signal'!$B$7)))),-1)</f>
        <v>-1.47584443325615+2.63477121663411i</v>
      </c>
      <c r="X102" s="292">
        <f t="shared" si="37"/>
        <v>0</v>
      </c>
      <c r="Y102" s="292">
        <f t="shared" si="38"/>
        <v>0</v>
      </c>
      <c r="Z102" s="292" t="str">
        <f t="shared" si="39"/>
        <v>1.00005958431763+0.0109253093340151i</v>
      </c>
      <c r="AA102" s="292" t="str">
        <f t="shared" si="40"/>
        <v>2.94267784140217+20.0057137220131i</v>
      </c>
      <c r="AB102" s="289">
        <f t="shared" si="56"/>
        <v>26.116042954443891</v>
      </c>
      <c r="AC102" s="292">
        <f t="shared" si="57"/>
        <v>81.632260544256724</v>
      </c>
      <c r="AD102" s="292" t="str">
        <f t="shared" si="41"/>
        <v>1.1378977201059+13.760231898777i</v>
      </c>
      <c r="AE102" s="289">
        <f t="shared" si="42"/>
        <v>22.802112799739472</v>
      </c>
      <c r="AF102" s="292">
        <f t="shared" si="43"/>
        <v>85.272701054515593</v>
      </c>
      <c r="AH102" s="292" t="str">
        <f t="shared" si="44"/>
        <v>0.00075-0.699556635103809i</v>
      </c>
      <c r="AI102" s="292">
        <f t="shared" si="45"/>
        <v>0.95</v>
      </c>
      <c r="AJ102" s="292" t="str">
        <f t="shared" si="46"/>
        <v>1000-73873180.6669621i</v>
      </c>
      <c r="AK102" s="292" t="str">
        <f t="shared" si="47"/>
        <v>0.334160789620843-0.453131108813619i</v>
      </c>
      <c r="AL102" s="292" t="str">
        <f t="shared" si="48"/>
        <v>1.18810464964355-0.00106506113501042i</v>
      </c>
      <c r="AM102" s="292" t="str">
        <f t="shared" si="49"/>
        <v>0.019+0.0297807672573099i</v>
      </c>
      <c r="AN102" s="292" t="str">
        <f t="shared" si="50"/>
        <v>5.25778416920414-4.14470117542086i</v>
      </c>
      <c r="AO102" s="292">
        <f t="shared" si="58"/>
        <v>16.51499391559754</v>
      </c>
      <c r="AP102" s="292">
        <f t="shared" si="59"/>
        <v>-38.248644757938557</v>
      </c>
      <c r="AR102" s="292" t="str">
        <f t="shared" si="51"/>
        <v>1.18810464964355-0.00106506113501042i</v>
      </c>
      <c r="AS102" s="292" t="str">
        <f t="shared" si="52"/>
        <v>5.25778416920414-4.14470117542086i</v>
      </c>
      <c r="AT102" s="292">
        <f t="shared" si="60"/>
        <v>16.51499391559754</v>
      </c>
      <c r="AU102" s="292">
        <f t="shared" si="61"/>
        <v>-38.248644757938557</v>
      </c>
    </row>
    <row r="103" spans="1:47" x14ac:dyDescent="0.25">
      <c r="F103" s="292">
        <v>101</v>
      </c>
      <c r="G103" s="293">
        <f t="shared" si="32"/>
        <v>169.3196181582224</v>
      </c>
      <c r="H103" s="293">
        <f t="shared" si="33"/>
        <v>168.57881372500071</v>
      </c>
      <c r="I103" s="294">
        <f t="shared" si="34"/>
        <v>1</v>
      </c>
      <c r="J103" s="292">
        <f t="shared" si="53"/>
        <v>1</v>
      </c>
      <c r="K103" s="292">
        <f t="shared" si="53"/>
        <v>1</v>
      </c>
      <c r="L103" s="292">
        <f>10^('Small Signal'!F103/30)</f>
        <v>2326.3050671536284</v>
      </c>
      <c r="M103" s="292" t="str">
        <f t="shared" si="54"/>
        <v>14616.6058179571i</v>
      </c>
      <c r="N103" s="292">
        <f>IF(D$32=1, IF(AND('Small Signal'!$B$63&gt;=1,FCCM=0),U103+0,R103+0), 0)</f>
        <v>0</v>
      </c>
      <c r="O103" s="292">
        <f>IF(D$32=1, IF(AND('Small Signal'!$B$63&gt;=1,FCCM=0),V103,S103), 0)</f>
        <v>0</v>
      </c>
      <c r="P103" s="292">
        <f>IF(AND('Small Signal'!$B$63&gt;=1,FCCM=0),AE103+0,AB103+0)</f>
        <v>25.36237082584119</v>
      </c>
      <c r="Q103" s="292">
        <f>IF(AND('Small Signal'!$B$63&gt;=1,FCCM=0),AF103,AC103)</f>
        <v>81.296703092337651</v>
      </c>
      <c r="R103" s="292">
        <f t="shared" si="55"/>
        <v>16.262544038961181</v>
      </c>
      <c r="S103" s="292">
        <f t="shared" si="55"/>
        <v>-40.489880921900088</v>
      </c>
      <c r="T103" s="292" t="str">
        <f>IMDIV(IMSUM('Small Signal'!$B$76,IMPRODUCT(M103,'Small Signal'!$B$77)),IMSUM(IMPRODUCT('Small Signal'!$B$80,IMPOWER(M103,2)),IMSUM(IMPRODUCT(M103,'Small Signal'!$B$79),'Small Signal'!$B$78)))</f>
        <v>3.60949462885577-2.63955785176467i</v>
      </c>
      <c r="U103" s="292">
        <f t="shared" si="35"/>
        <v>13.0093698433289</v>
      </c>
      <c r="V103" s="292">
        <f t="shared" si="36"/>
        <v>-36.177326491723299</v>
      </c>
      <c r="W103" s="292" t="str">
        <f>IMPRODUCT(IMDIV(IMSUM(IMPRODUCT(M103,'Small Signal'!$B$59*'Small Signal'!$B$6*'Small Signal'!$B$51*'Small Signal'!$B$7*'Small Signal'!$B$8),'Small Signal'!$B$59*'Small Signal'!$B$6*'Small Signal'!$B$51),IMSUM(IMSUM(IMPRODUCT(M103,('Small Signal'!$B$5+'Small Signal'!$B$6)*('Small Signal'!$B$58*'Small Signal'!$B$59)+'Small Signal'!$B$5*'Small Signal'!$B$59*('Small Signal'!$B$8+'Small Signal'!$B$9)+'Small Signal'!$B$6*'Small Signal'!$B$59*('Small Signal'!$B$8+'Small Signal'!$B$9)+'Small Signal'!$B$7*'Small Signal'!$B$8*('Small Signal'!$B$5+'Small Signal'!$B$6)),'Small Signal'!$B$6+'Small Signal'!$B$5),IMPRODUCT(IMPOWER(M103,2),'Small Signal'!$B$58*'Small Signal'!$B$59*'Small Signal'!$B$8*'Small Signal'!$B$7*('Small Signal'!$B$5+'Small Signal'!$B$6)+('Small Signal'!$B$5+'Small Signal'!$B$6)*('Small Signal'!$B$9*'Small Signal'!$B$8*'Small Signal'!$B$59*'Small Signal'!$B$7)))),-1)</f>
        <v>-1.47286997525797+2.4405686173613i</v>
      </c>
      <c r="X103" s="292">
        <f t="shared" si="37"/>
        <v>0</v>
      </c>
      <c r="Y103" s="292">
        <f t="shared" si="38"/>
        <v>0</v>
      </c>
      <c r="Z103" s="292" t="str">
        <f t="shared" si="39"/>
        <v>1.0000694698712+0.0117968194449313i</v>
      </c>
      <c r="AA103" s="292" t="str">
        <f t="shared" si="40"/>
        <v>2.805487074908+18.326887095945i</v>
      </c>
      <c r="AB103" s="289">
        <f t="shared" si="56"/>
        <v>25.36237082584119</v>
      </c>
      <c r="AC103" s="292">
        <f t="shared" si="57"/>
        <v>81.296703092337651</v>
      </c>
      <c r="AD103" s="292" t="str">
        <f t="shared" si="41"/>
        <v>1.12570579202989+12.6969448235402i</v>
      </c>
      <c r="AE103" s="289">
        <f t="shared" si="42"/>
        <v>22.107988983842066</v>
      </c>
      <c r="AF103" s="292">
        <f t="shared" si="43"/>
        <v>84.933427853701659</v>
      </c>
      <c r="AH103" s="292" t="str">
        <f t="shared" si="44"/>
        <v>0.00075-0.647872501156394i</v>
      </c>
      <c r="AI103" s="292">
        <f t="shared" si="45"/>
        <v>0.95</v>
      </c>
      <c r="AJ103" s="292" t="str">
        <f t="shared" si="46"/>
        <v>1000-68415336.1221152i</v>
      </c>
      <c r="AK103" s="292" t="str">
        <f t="shared" si="47"/>
        <v>0.301760220425042-0.441732025633956i</v>
      </c>
      <c r="AL103" s="292" t="str">
        <f t="shared" si="48"/>
        <v>1.18810449123521-0.00115002640661338i</v>
      </c>
      <c r="AM103" s="292" t="str">
        <f t="shared" si="49"/>
        <v>0.019+0.0321565327995056i</v>
      </c>
      <c r="AN103" s="292" t="str">
        <f t="shared" si="50"/>
        <v>4.94581895513853-4.22261801548077i</v>
      </c>
      <c r="AO103" s="292">
        <f t="shared" si="58"/>
        <v>16.262544038961181</v>
      </c>
      <c r="AP103" s="292">
        <f t="shared" si="59"/>
        <v>-40.489880921900088</v>
      </c>
      <c r="AR103" s="292" t="str">
        <f t="shared" si="51"/>
        <v>1.18810449123521-0.00115002640661338i</v>
      </c>
      <c r="AS103" s="292" t="str">
        <f t="shared" si="52"/>
        <v>4.94581895513853-4.22261801548077i</v>
      </c>
      <c r="AT103" s="292">
        <f t="shared" si="60"/>
        <v>16.262544038961181</v>
      </c>
      <c r="AU103" s="292">
        <f t="shared" si="61"/>
        <v>-40.489880921900088</v>
      </c>
    </row>
    <row r="104" spans="1:47" x14ac:dyDescent="0.25">
      <c r="F104" s="292">
        <v>102</v>
      </c>
      <c r="G104" s="293">
        <f t="shared" si="32"/>
        <v>169.3787036171951</v>
      </c>
      <c r="H104" s="293">
        <f t="shared" si="33"/>
        <v>168.57881372500071</v>
      </c>
      <c r="I104" s="294">
        <f t="shared" si="34"/>
        <v>1</v>
      </c>
      <c r="J104" s="292">
        <f t="shared" si="53"/>
        <v>1</v>
      </c>
      <c r="K104" s="292">
        <f t="shared" si="53"/>
        <v>1</v>
      </c>
      <c r="L104" s="292">
        <f>10^('Small Signal'!F104/30)</f>
        <v>2511.8864315095811</v>
      </c>
      <c r="M104" s="292" t="str">
        <f t="shared" si="54"/>
        <v>15782.6479197648i</v>
      </c>
      <c r="N104" s="292">
        <f>IF(D$32=1, IF(AND('Small Signal'!$B$63&gt;=1,FCCM=0),U104+0,R104+0), 0)</f>
        <v>0</v>
      </c>
      <c r="O104" s="292">
        <f>IF(D$32=1, IF(AND('Small Signal'!$B$63&gt;=1,FCCM=0),V104,S104), 0)</f>
        <v>0</v>
      </c>
      <c r="P104" s="292">
        <f>IF(AND('Small Signal'!$B$63&gt;=1,FCCM=0),AE104+0,AB104+0)</f>
        <v>24.603989134169883</v>
      </c>
      <c r="Q104" s="292">
        <f>IF(AND('Small Signal'!$B$63&gt;=1,FCCM=0),AF104,AC104)</f>
        <v>80.994441223104076</v>
      </c>
      <c r="R104" s="292">
        <f t="shared" si="55"/>
        <v>15.985564217457448</v>
      </c>
      <c r="S104" s="292">
        <f t="shared" si="55"/>
        <v>-42.774021473580682</v>
      </c>
      <c r="T104" s="292" t="str">
        <f>IMDIV(IMSUM('Small Signal'!$B$76,IMPRODUCT(M104,'Small Signal'!$B$77)),IMSUM(IMPRODUCT('Small Signal'!$B$80,IMPOWER(M104,2)),IMSUM(IMPRODUCT(M104,'Small Signal'!$B$79),'Small Signal'!$B$78)))</f>
        <v>3.4165389024812-2.71275809227545i</v>
      </c>
      <c r="U104" s="292">
        <f t="shared" si="35"/>
        <v>12.7947974056252</v>
      </c>
      <c r="V104" s="292">
        <f t="shared" si="36"/>
        <v>-38.449844694561385</v>
      </c>
      <c r="W104" s="292" t="str">
        <f>IMPRODUCT(IMDIV(IMSUM(IMPRODUCT(M104,'Small Signal'!$B$59*'Small Signal'!$B$6*'Small Signal'!$B$51*'Small Signal'!$B$7*'Small Signal'!$B$8),'Small Signal'!$B$59*'Small Signal'!$B$6*'Small Signal'!$B$51),IMSUM(IMSUM(IMPRODUCT(M104,('Small Signal'!$B$5+'Small Signal'!$B$6)*('Small Signal'!$B$58*'Small Signal'!$B$59)+'Small Signal'!$B$5*'Small Signal'!$B$59*('Small Signal'!$B$8+'Small Signal'!$B$9)+'Small Signal'!$B$6*'Small Signal'!$B$59*('Small Signal'!$B$8+'Small Signal'!$B$9)+'Small Signal'!$B$7*'Small Signal'!$B$8*('Small Signal'!$B$5+'Small Signal'!$B$6)),'Small Signal'!$B$6+'Small Signal'!$B$5),IMPRODUCT(IMPOWER(M104,2),'Small Signal'!$B$58*'Small Signal'!$B$59*'Small Signal'!$B$8*'Small Signal'!$B$7*('Small Signal'!$B$5+'Small Signal'!$B$6)+('Small Signal'!$B$5+'Small Signal'!$B$6)*('Small Signal'!$B$9*'Small Signal'!$B$8*'Small Signal'!$B$59*'Small Signal'!$B$7)))),-1)</f>
        <v>-1.47031846962502+2.26074422058007i</v>
      </c>
      <c r="X104" s="292">
        <f t="shared" si="37"/>
        <v>0</v>
      </c>
      <c r="Y104" s="292">
        <f t="shared" si="38"/>
        <v>0</v>
      </c>
      <c r="Z104" s="292" t="str">
        <f t="shared" si="39"/>
        <v>1.00008099545727+0.0127378393439379i</v>
      </c>
      <c r="AA104" s="292" t="str">
        <f t="shared" si="40"/>
        <v>2.65948682526252+16.7808018100111i</v>
      </c>
      <c r="AB104" s="289">
        <f t="shared" si="56"/>
        <v>24.603989134169883</v>
      </c>
      <c r="AC104" s="292">
        <f t="shared" si="57"/>
        <v>80.994441223104076</v>
      </c>
      <c r="AD104" s="292" t="str">
        <f t="shared" si="41"/>
        <v>1.10945192843304+11.7125389048687i</v>
      </c>
      <c r="AE104" s="289">
        <f t="shared" si="42"/>
        <v>21.411814350622457</v>
      </c>
      <c r="AF104" s="292">
        <f t="shared" si="43"/>
        <v>84.588892133804947</v>
      </c>
      <c r="AH104" s="292" t="str">
        <f t="shared" si="44"/>
        <v>0.00075-0.60000685676058i</v>
      </c>
      <c r="AI104" s="292">
        <f t="shared" si="45"/>
        <v>0.95</v>
      </c>
      <c r="AJ104" s="292" t="str">
        <f t="shared" si="46"/>
        <v>1000-63360724.0739172i</v>
      </c>
      <c r="AK104" s="292" t="str">
        <f t="shared" si="47"/>
        <v>0.271125927659227-0.428429234215316i</v>
      </c>
      <c r="AL104" s="292" t="str">
        <f t="shared" si="48"/>
        <v>1.18810430654468-0.00124176975684931i</v>
      </c>
      <c r="AM104" s="292" t="str">
        <f t="shared" si="49"/>
        <v>0.019+0.0347218254234826i</v>
      </c>
      <c r="AN104" s="292" t="str">
        <f t="shared" si="50"/>
        <v>4.62377474346223-4.27776981158207i</v>
      </c>
      <c r="AO104" s="292">
        <f t="shared" si="58"/>
        <v>15.985564217457448</v>
      </c>
      <c r="AP104" s="292">
        <f t="shared" si="59"/>
        <v>-42.774021473580682</v>
      </c>
      <c r="AR104" s="292" t="str">
        <f t="shared" si="51"/>
        <v>1.18810430654468-0.00124176975684931i</v>
      </c>
      <c r="AS104" s="292" t="str">
        <f t="shared" si="52"/>
        <v>4.62377474346223-4.27776981158207i</v>
      </c>
      <c r="AT104" s="292">
        <f t="shared" si="60"/>
        <v>15.985564217457448</v>
      </c>
      <c r="AU104" s="292">
        <f t="shared" si="61"/>
        <v>-42.774021473580682</v>
      </c>
    </row>
    <row r="105" spans="1:47" x14ac:dyDescent="0.25">
      <c r="F105" s="292">
        <v>103</v>
      </c>
      <c r="G105" s="293">
        <f t="shared" si="32"/>
        <v>169.4424994352112</v>
      </c>
      <c r="H105" s="293">
        <f t="shared" si="33"/>
        <v>168.57881372500071</v>
      </c>
      <c r="I105" s="294">
        <f t="shared" si="34"/>
        <v>1</v>
      </c>
      <c r="J105" s="292">
        <f t="shared" si="53"/>
        <v>1</v>
      </c>
      <c r="K105" s="292">
        <f t="shared" si="53"/>
        <v>1</v>
      </c>
      <c r="L105" s="292">
        <f>10^('Small Signal'!F105/30)</f>
        <v>2712.2725793320301</v>
      </c>
      <c r="M105" s="292" t="str">
        <f t="shared" si="54"/>
        <v>17041.7112195251i</v>
      </c>
      <c r="N105" s="292">
        <f>IF(D$32=1, IF(AND('Small Signal'!$B$63&gt;=1,FCCM=0),U105+0,R105+0), 0)</f>
        <v>0</v>
      </c>
      <c r="O105" s="292">
        <f>IF(D$32=1, IF(AND('Small Signal'!$B$63&gt;=1,FCCM=0),V105,S105), 0)</f>
        <v>0</v>
      </c>
      <c r="P105" s="292">
        <f>IF(AND('Small Signal'!$B$63&gt;=1,FCCM=0),AE105+0,AB105+0)</f>
        <v>23.841640903037732</v>
      </c>
      <c r="Q105" s="292">
        <f>IF(AND('Small Signal'!$B$63&gt;=1,FCCM=0),AF105,AC105)</f>
        <v>80.729839853248265</v>
      </c>
      <c r="R105" s="292">
        <f t="shared" si="55"/>
        <v>15.683396125481782</v>
      </c>
      <c r="S105" s="292">
        <f t="shared" si="55"/>
        <v>-45.089777259283004</v>
      </c>
      <c r="T105" s="292" t="str">
        <f>IMDIV(IMSUM('Small Signal'!$B$76,IMPRODUCT(M105,'Small Signal'!$B$77)),IMSUM(IMPRODUCT('Small Signal'!$B$80,IMPOWER(M105,2)),IMSUM(IMPRODUCT(M105,'Small Signal'!$B$79),'Small Signal'!$B$78)))</f>
        <v>3.21365598910134-2.77319346885669i</v>
      </c>
      <c r="U105" s="292">
        <f t="shared" si="35"/>
        <v>12.557110858396104</v>
      </c>
      <c r="V105" s="292">
        <f t="shared" si="36"/>
        <v>-40.792234735116331</v>
      </c>
      <c r="W105" s="292" t="str">
        <f>IMPRODUCT(IMDIV(IMSUM(IMPRODUCT(M105,'Small Signal'!$B$59*'Small Signal'!$B$6*'Small Signal'!$B$51*'Small Signal'!$B$7*'Small Signal'!$B$8),'Small Signal'!$B$59*'Small Signal'!$B$6*'Small Signal'!$B$51),IMSUM(IMSUM(IMPRODUCT(M105,('Small Signal'!$B$5+'Small Signal'!$B$6)*('Small Signal'!$B$58*'Small Signal'!$B$59)+'Small Signal'!$B$5*'Small Signal'!$B$59*('Small Signal'!$B$8+'Small Signal'!$B$9)+'Small Signal'!$B$6*'Small Signal'!$B$59*('Small Signal'!$B$8+'Small Signal'!$B$9)+'Small Signal'!$B$7*'Small Signal'!$B$8*('Small Signal'!$B$5+'Small Signal'!$B$6)),'Small Signal'!$B$6+'Small Signal'!$B$5),IMPRODUCT(IMPOWER(M105,2),'Small Signal'!$B$58*'Small Signal'!$B$59*'Small Signal'!$B$8*'Small Signal'!$B$7*('Small Signal'!$B$5+'Small Signal'!$B$6)+('Small Signal'!$B$5+'Small Signal'!$B$6)*('Small Signal'!$B$9*'Small Signal'!$B$8*'Small Signal'!$B$59*'Small Signal'!$B$7)))),-1)</f>
        <v>-1.468129692831+2.09423944429956i</v>
      </c>
      <c r="X105" s="292">
        <f t="shared" si="37"/>
        <v>0</v>
      </c>
      <c r="Y105" s="292">
        <f t="shared" si="38"/>
        <v>0</v>
      </c>
      <c r="Z105" s="292" t="str">
        <f t="shared" si="39"/>
        <v>1.0000944331366+0.0137539102833821i</v>
      </c>
      <c r="AA105" s="292" t="str">
        <f t="shared" si="40"/>
        <v>2.50697612676927+15.3593446101697i</v>
      </c>
      <c r="AB105" s="289">
        <f t="shared" si="56"/>
        <v>23.841640903037732</v>
      </c>
      <c r="AC105" s="292">
        <f t="shared" si="57"/>
        <v>80.729839853248265</v>
      </c>
      <c r="AD105" s="292" t="str">
        <f t="shared" si="41"/>
        <v>1.08966736900975+10.8015728083791i</v>
      </c>
      <c r="AE105" s="289">
        <f t="shared" si="42"/>
        <v>20.713714116605178</v>
      </c>
      <c r="AF105" s="292">
        <f t="shared" si="43"/>
        <v>84.23946544807373</v>
      </c>
      <c r="AH105" s="292" t="str">
        <f t="shared" si="44"/>
        <v>0.00075-0.555677587051664i</v>
      </c>
      <c r="AI105" s="292">
        <f t="shared" si="45"/>
        <v>0.95</v>
      </c>
      <c r="AJ105" s="292" t="str">
        <f t="shared" si="46"/>
        <v>1000-58679553.1926557i</v>
      </c>
      <c r="AK105" s="292" t="str">
        <f t="shared" si="47"/>
        <v>0.242446891130005-0.413538154646765i</v>
      </c>
      <c r="AL105" s="292" t="str">
        <f t="shared" si="48"/>
        <v>1.18810409121142-0.00134083189776179i</v>
      </c>
      <c r="AM105" s="292" t="str">
        <f t="shared" si="49"/>
        <v>0.019+0.0374917646829552i</v>
      </c>
      <c r="AN105" s="292" t="str">
        <f t="shared" si="50"/>
        <v>4.29509961958637-4.30858081292535i</v>
      </c>
      <c r="AO105" s="292">
        <f t="shared" si="58"/>
        <v>15.683396125481782</v>
      </c>
      <c r="AP105" s="292">
        <f t="shared" si="59"/>
        <v>-45.089777259283004</v>
      </c>
      <c r="AR105" s="292" t="str">
        <f t="shared" si="51"/>
        <v>1.18810409121142-0.00134083189776179i</v>
      </c>
      <c r="AS105" s="292" t="str">
        <f t="shared" si="52"/>
        <v>4.29509961958637-4.30858081292535i</v>
      </c>
      <c r="AT105" s="292">
        <f t="shared" si="60"/>
        <v>15.683396125481782</v>
      </c>
      <c r="AU105" s="292">
        <f t="shared" si="61"/>
        <v>-45.089777259283004</v>
      </c>
    </row>
    <row r="106" spans="1:47" x14ac:dyDescent="0.25">
      <c r="F106" s="292">
        <v>104</v>
      </c>
      <c r="G106" s="293">
        <f t="shared" si="32"/>
        <v>169.51138055554003</v>
      </c>
      <c r="H106" s="293">
        <f t="shared" si="33"/>
        <v>168.57881372500071</v>
      </c>
      <c r="I106" s="294">
        <f t="shared" si="34"/>
        <v>1</v>
      </c>
      <c r="J106" s="292">
        <f t="shared" si="53"/>
        <v>1</v>
      </c>
      <c r="K106" s="292">
        <f t="shared" si="53"/>
        <v>1</v>
      </c>
      <c r="L106" s="292">
        <f>10^('Small Signal'!F106/30)</f>
        <v>2928.6445646252391</v>
      </c>
      <c r="M106" s="292" t="str">
        <f t="shared" si="54"/>
        <v>18401.2164984047i</v>
      </c>
      <c r="N106" s="292">
        <f>IF(D$32=1, IF(AND('Small Signal'!$B$63&gt;=1,FCCM=0),U106+0,R106+0), 0)</f>
        <v>0</v>
      </c>
      <c r="O106" s="292">
        <f>IF(D$32=1, IF(AND('Small Signal'!$B$63&gt;=1,FCCM=0),V106,S106), 0)</f>
        <v>0</v>
      </c>
      <c r="P106" s="292">
        <f>IF(AND('Small Signal'!$B$63&gt;=1,FCCM=0),AE106+0,AB106+0)</f>
        <v>23.076224638692008</v>
      </c>
      <c r="Q106" s="292">
        <f>IF(AND('Small Signal'!$B$63&gt;=1,FCCM=0),AF106,AC106)</f>
        <v>80.506402548797524</v>
      </c>
      <c r="R106" s="292">
        <f t="shared" si="55"/>
        <v>15.355657885892937</v>
      </c>
      <c r="S106" s="292">
        <f t="shared" si="55"/>
        <v>-47.425278988797089</v>
      </c>
      <c r="T106" s="292" t="str">
        <f>IMDIV(IMSUM('Small Signal'!$B$76,IMPRODUCT(M106,'Small Signal'!$B$77)),IMSUM(IMPRODUCT('Small Signal'!$B$80,IMPOWER(M106,2)),IMSUM(IMPRODUCT(M106,'Small Signal'!$B$79),'Small Signal'!$B$78)))</f>
        <v>3.00262055208914-2.81921966770755i</v>
      </c>
      <c r="U106" s="292">
        <f t="shared" si="35"/>
        <v>12.295213441705153</v>
      </c>
      <c r="V106" s="292">
        <f t="shared" si="36"/>
        <v>-43.195652531995087</v>
      </c>
      <c r="W106" s="292" t="str">
        <f>IMPRODUCT(IMDIV(IMSUM(IMPRODUCT(M106,'Small Signal'!$B$59*'Small Signal'!$B$6*'Small Signal'!$B$51*'Small Signal'!$B$7*'Small Signal'!$B$8),'Small Signal'!$B$59*'Small Signal'!$B$6*'Small Signal'!$B$51),IMSUM(IMSUM(IMPRODUCT(M106,('Small Signal'!$B$5+'Small Signal'!$B$6)*('Small Signal'!$B$58*'Small Signal'!$B$59)+'Small Signal'!$B$5*'Small Signal'!$B$59*('Small Signal'!$B$8+'Small Signal'!$B$9)+'Small Signal'!$B$6*'Small Signal'!$B$59*('Small Signal'!$B$8+'Small Signal'!$B$9)+'Small Signal'!$B$7*'Small Signal'!$B$8*('Small Signal'!$B$5+'Small Signal'!$B$6)),'Small Signal'!$B$6+'Small Signal'!$B$5),IMPRODUCT(IMPOWER(M106,2),'Small Signal'!$B$58*'Small Signal'!$B$59*'Small Signal'!$B$8*'Small Signal'!$B$7*('Small Signal'!$B$5+'Small Signal'!$B$6)+('Small Signal'!$B$5+'Small Signal'!$B$6)*('Small Signal'!$B$9*'Small Signal'!$B$8*'Small Signal'!$B$59*'Small Signal'!$B$7)))),-1)</f>
        <v>-1.46625198065287+1.94007394693282i</v>
      </c>
      <c r="X106" s="292">
        <f t="shared" si="37"/>
        <v>0</v>
      </c>
      <c r="Y106" s="292">
        <f t="shared" si="38"/>
        <v>0</v>
      </c>
      <c r="Z106" s="292" t="str">
        <f t="shared" si="39"/>
        <v>1.00011010009282+0.0148510145596882i</v>
      </c>
      <c r="AA106" s="292" t="str">
        <f t="shared" si="40"/>
        <v>2.3503381749468+14.0547149985166i</v>
      </c>
      <c r="AB106" s="289">
        <f t="shared" si="56"/>
        <v>23.076224638692008</v>
      </c>
      <c r="AC106" s="292">
        <f t="shared" si="57"/>
        <v>80.506402548797524</v>
      </c>
      <c r="AD106" s="292" t="str">
        <f t="shared" si="41"/>
        <v>1.0668962963503+9.9589923273049i</v>
      </c>
      <c r="AE106" s="289">
        <f t="shared" si="42"/>
        <v>20.01386639842292</v>
      </c>
      <c r="AF106" s="292">
        <f t="shared" si="43"/>
        <v>83.885284750929856</v>
      </c>
      <c r="AH106" s="292" t="str">
        <f t="shared" si="44"/>
        <v>0.00075-0.514623420169962i</v>
      </c>
      <c r="AI106" s="292">
        <f t="shared" si="45"/>
        <v>0.95</v>
      </c>
      <c r="AJ106" s="292" t="str">
        <f t="shared" si="46"/>
        <v>1000-54344233.169948i</v>
      </c>
      <c r="AK106" s="292" t="str">
        <f t="shared" si="47"/>
        <v>0.215846022132955-0.397383988902618i</v>
      </c>
      <c r="AL106" s="292" t="str">
        <f t="shared" si="48"/>
        <v>1.18810384015138-0.00144779667412378i</v>
      </c>
      <c r="AM106" s="292" t="str">
        <f t="shared" si="49"/>
        <v>0.019+0.0404826762964903i</v>
      </c>
      <c r="AN106" s="292" t="str">
        <f t="shared" si="50"/>
        <v>3.96354252660105-4.31413877525429i</v>
      </c>
      <c r="AO106" s="292">
        <f t="shared" si="58"/>
        <v>15.355657885892937</v>
      </c>
      <c r="AP106" s="292">
        <f t="shared" si="59"/>
        <v>-47.425278988797089</v>
      </c>
      <c r="AR106" s="292" t="str">
        <f t="shared" si="51"/>
        <v>1.18810384015138-0.00144779667412378i</v>
      </c>
      <c r="AS106" s="292" t="str">
        <f t="shared" si="52"/>
        <v>3.96354252660105-4.31413877525429i</v>
      </c>
      <c r="AT106" s="292">
        <f t="shared" si="60"/>
        <v>15.355657885892937</v>
      </c>
      <c r="AU106" s="292">
        <f t="shared" si="61"/>
        <v>-47.425278988797089</v>
      </c>
    </row>
    <row r="107" spans="1:47" x14ac:dyDescent="0.25">
      <c r="F107" s="292">
        <v>105</v>
      </c>
      <c r="G107" s="293">
        <f t="shared" si="32"/>
        <v>169.58575161881151</v>
      </c>
      <c r="H107" s="293">
        <f t="shared" si="33"/>
        <v>168.57881372500071</v>
      </c>
      <c r="I107" s="294">
        <f t="shared" si="34"/>
        <v>1</v>
      </c>
      <c r="J107" s="292">
        <f t="shared" si="53"/>
        <v>1</v>
      </c>
      <c r="K107" s="292">
        <f t="shared" si="53"/>
        <v>1</v>
      </c>
      <c r="L107" s="292">
        <f>10^('Small Signal'!F107/30)</f>
        <v>3162.2776601683804</v>
      </c>
      <c r="M107" s="292" t="str">
        <f t="shared" si="54"/>
        <v>19869.1765315922i</v>
      </c>
      <c r="N107" s="292">
        <f>IF(D$32=1, IF(AND('Small Signal'!$B$63&gt;=1,FCCM=0),U107+0,R107+0), 0)</f>
        <v>0</v>
      </c>
      <c r="O107" s="292">
        <f>IF(D$32=1, IF(AND('Small Signal'!$B$63&gt;=1,FCCM=0),V107,S107), 0)</f>
        <v>0</v>
      </c>
      <c r="P107" s="292">
        <f>IF(AND('Small Signal'!$B$63&gt;=1,FCCM=0),AE107+0,AB107+0)</f>
        <v>22.308764559070994</v>
      </c>
      <c r="Q107" s="292">
        <f>IF(AND('Small Signal'!$B$63&gt;=1,FCCM=0),AF107,AC107)</f>
        <v>80.326514308202107</v>
      </c>
      <c r="R107" s="292">
        <f t="shared" si="55"/>
        <v>15.002260641407293</v>
      </c>
      <c r="S107" s="292">
        <f t="shared" si="55"/>
        <v>-49.768436939973782</v>
      </c>
      <c r="T107" s="292" t="str">
        <f>IMDIV(IMSUM('Small Signal'!$B$76,IMPRODUCT(M107,'Small Signal'!$B$77)),IMSUM(IMPRODUCT('Small Signal'!$B$80,IMPOWER(M107,2)),IMSUM(IMPRODUCT(M107,'Small Signal'!$B$79),'Small Signal'!$B$78)))</f>
        <v>2.78555161784518-2.8495045763387i</v>
      </c>
      <c r="U107" s="292">
        <f t="shared" si="35"/>
        <v>12.008224416041923</v>
      </c>
      <c r="V107" s="292">
        <f t="shared" si="36"/>
        <v>-45.650229061416951</v>
      </c>
      <c r="W107" s="292" t="str">
        <f>IMPRODUCT(IMDIV(IMSUM(IMPRODUCT(M107,'Small Signal'!$B$59*'Small Signal'!$B$6*'Small Signal'!$B$51*'Small Signal'!$B$7*'Small Signal'!$B$8),'Small Signal'!$B$59*'Small Signal'!$B$6*'Small Signal'!$B$51),IMSUM(IMSUM(IMPRODUCT(M107,('Small Signal'!$B$5+'Small Signal'!$B$6)*('Small Signal'!$B$58*'Small Signal'!$B$59)+'Small Signal'!$B$5*'Small Signal'!$B$59*('Small Signal'!$B$8+'Small Signal'!$B$9)+'Small Signal'!$B$6*'Small Signal'!$B$59*('Small Signal'!$B$8+'Small Signal'!$B$9)+'Small Signal'!$B$7*'Small Signal'!$B$8*('Small Signal'!$B$5+'Small Signal'!$B$6)),'Small Signal'!$B$6+'Small Signal'!$B$5),IMPRODUCT(IMPOWER(M107,2),'Small Signal'!$B$58*'Small Signal'!$B$59*'Small Signal'!$B$8*'Small Signal'!$B$7*('Small Signal'!$B$5+'Small Signal'!$B$6)+('Small Signal'!$B$5+'Small Signal'!$B$6)*('Small Signal'!$B$9*'Small Signal'!$B$8*'Small Signal'!$B$59*'Small Signal'!$B$7)))),-1)</f>
        <v>-1.46464100964086+1.79733990353259i</v>
      </c>
      <c r="X107" s="292">
        <f t="shared" si="37"/>
        <v>0</v>
      </c>
      <c r="Y107" s="292">
        <f t="shared" si="38"/>
        <v>0</v>
      </c>
      <c r="Z107" s="292" t="str">
        <f t="shared" si="39"/>
        <v>1.00012836611328+0.0160356104362266i</v>
      </c>
      <c r="AA107" s="292" t="str">
        <f t="shared" si="40"/>
        <v>2.19196374170909+12.8593441218489i</v>
      </c>
      <c r="AB107" s="289">
        <f t="shared" si="56"/>
        <v>22.308764559070994</v>
      </c>
      <c r="AC107" s="292">
        <f t="shared" si="57"/>
        <v>80.326514308202107</v>
      </c>
      <c r="AD107" s="292" t="str">
        <f t="shared" si="41"/>
        <v>1.04169514638478+9.18008433576787i</v>
      </c>
      <c r="AE107" s="289">
        <f t="shared" si="42"/>
        <v>19.312497113187245</v>
      </c>
      <c r="AF107" s="292">
        <f t="shared" si="43"/>
        <v>83.526146019868662</v>
      </c>
      <c r="AH107" s="292" t="str">
        <f t="shared" si="44"/>
        <v>0.00075-0.476602387353096i</v>
      </c>
      <c r="AI107" s="292">
        <f t="shared" si="45"/>
        <v>0.95</v>
      </c>
      <c r="AJ107" s="292" t="str">
        <f t="shared" si="46"/>
        <v>1000-50329212.104487i</v>
      </c>
      <c r="AK107" s="292" t="str">
        <f t="shared" si="47"/>
        <v>0.191384014107862-0.380287337935256i</v>
      </c>
      <c r="AL107" s="292" t="str">
        <f t="shared" si="48"/>
        <v>1.18810354743698-0.0015632945036689i</v>
      </c>
      <c r="AM107" s="292" t="str">
        <f t="shared" si="49"/>
        <v>0.019+0.0437121883695028i</v>
      </c>
      <c r="AN107" s="292" t="str">
        <f t="shared" si="50"/>
        <v>3.63298628764498-4.29425804825439i</v>
      </c>
      <c r="AO107" s="292">
        <f t="shared" si="58"/>
        <v>15.002260641407293</v>
      </c>
      <c r="AP107" s="292">
        <f t="shared" si="59"/>
        <v>-49.768436939973782</v>
      </c>
      <c r="AR107" s="292" t="str">
        <f t="shared" si="51"/>
        <v>1.18810354743698-0.0015632945036689i</v>
      </c>
      <c r="AS107" s="292" t="str">
        <f t="shared" si="52"/>
        <v>3.63298628764498-4.29425804825439i</v>
      </c>
      <c r="AT107" s="292">
        <f t="shared" si="60"/>
        <v>15.002260641407293</v>
      </c>
      <c r="AU107" s="292">
        <f t="shared" si="61"/>
        <v>-49.768436939973782</v>
      </c>
    </row>
    <row r="108" spans="1:47" x14ac:dyDescent="0.25">
      <c r="F108" s="292">
        <v>106</v>
      </c>
      <c r="G108" s="293">
        <f t="shared" si="32"/>
        <v>169.66604927685057</v>
      </c>
      <c r="H108" s="293">
        <f t="shared" si="33"/>
        <v>168.57881372500071</v>
      </c>
      <c r="I108" s="294">
        <f t="shared" si="34"/>
        <v>1</v>
      </c>
      <c r="J108" s="292">
        <f t="shared" si="53"/>
        <v>1</v>
      </c>
      <c r="K108" s="292">
        <f t="shared" si="53"/>
        <v>1</v>
      </c>
      <c r="L108" s="292">
        <f>10^('Small Signal'!F108/30)</f>
        <v>3414.5488738336035</v>
      </c>
      <c r="M108" s="292" t="str">
        <f t="shared" si="54"/>
        <v>21454.2433147179i</v>
      </c>
      <c r="N108" s="292">
        <f>IF(D$32=1, IF(AND('Small Signal'!$B$63&gt;=1,FCCM=0),U108+0,R108+0), 0)</f>
        <v>0</v>
      </c>
      <c r="O108" s="292">
        <f>IF(D$32=1, IF(AND('Small Signal'!$B$63&gt;=1,FCCM=0),V108,S108), 0)</f>
        <v>0</v>
      </c>
      <c r="P108" s="292">
        <f>IF(AND('Small Signal'!$B$63&gt;=1,FCCM=0),AE108+0,AB108+0)</f>
        <v>21.540369883323113</v>
      </c>
      <c r="Q108" s="292">
        <f>IF(AND('Small Signal'!$B$63&gt;=1,FCCM=0),AF108,AC108)</f>
        <v>80.191241184301703</v>
      </c>
      <c r="R108" s="292">
        <f t="shared" si="55"/>
        <v>14.623411592861617</v>
      </c>
      <c r="S108" s="292">
        <f t="shared" si="55"/>
        <v>-52.107320453516181</v>
      </c>
      <c r="T108" s="292" t="str">
        <f>IMDIV(IMSUM('Small Signal'!$B$76,IMPRODUCT(M108,'Small Signal'!$B$77)),IMSUM(IMPRODUCT('Small Signal'!$B$80,IMPOWER(M108,2)),IMSUM(IMPRODUCT(M108,'Small Signal'!$B$79),'Small Signal'!$B$78)))</f>
        <v>2.56483747372954-2.86311363019978i</v>
      </c>
      <c r="U108" s="292">
        <f t="shared" si="35"/>
        <v>11.69551325157946</v>
      </c>
      <c r="V108" s="292">
        <f t="shared" si="36"/>
        <v>-48.145347742314456</v>
      </c>
      <c r="W108" s="292" t="str">
        <f>IMPRODUCT(IMDIV(IMSUM(IMPRODUCT(M108,'Small Signal'!$B$59*'Small Signal'!$B$6*'Small Signal'!$B$51*'Small Signal'!$B$7*'Small Signal'!$B$8),'Small Signal'!$B$59*'Small Signal'!$B$6*'Small Signal'!$B$51),IMSUM(IMSUM(IMPRODUCT(M108,('Small Signal'!$B$5+'Small Signal'!$B$6)*('Small Signal'!$B$58*'Small Signal'!$B$59)+'Small Signal'!$B$5*'Small Signal'!$B$59*('Small Signal'!$B$8+'Small Signal'!$B$9)+'Small Signal'!$B$6*'Small Signal'!$B$59*('Small Signal'!$B$8+'Small Signal'!$B$9)+'Small Signal'!$B$7*'Small Signal'!$B$8*('Small Signal'!$B$5+'Small Signal'!$B$6)),'Small Signal'!$B$6+'Small Signal'!$B$5),IMPRODUCT(IMPOWER(M108,2),'Small Signal'!$B$58*'Small Signal'!$B$59*'Small Signal'!$B$8*'Small Signal'!$B$7*('Small Signal'!$B$5+'Small Signal'!$B$6)+('Small Signal'!$B$5+'Small Signal'!$B$6)*('Small Signal'!$B$9*'Small Signal'!$B$8*'Small Signal'!$B$59*'Small Signal'!$B$7)))),-1)</f>
        <v>-1.46325875156855+1.66519669827038i</v>
      </c>
      <c r="X108" s="292">
        <f t="shared" si="37"/>
        <v>0</v>
      </c>
      <c r="Y108" s="292">
        <f t="shared" si="38"/>
        <v>0</v>
      </c>
      <c r="Z108" s="292" t="str">
        <f t="shared" si="39"/>
        <v>1.000149662309+0.0173146697844913i</v>
      </c>
      <c r="AA108" s="292" t="str">
        <f t="shared" si="40"/>
        <v>2.03416638826753+11.7658433063017i</v>
      </c>
      <c r="AB108" s="289">
        <f t="shared" si="56"/>
        <v>21.540369883323113</v>
      </c>
      <c r="AC108" s="292">
        <f t="shared" si="57"/>
        <v>80.191241184301703</v>
      </c>
      <c r="AD108" s="292" t="str">
        <f t="shared" si="41"/>
        <v>1.01462648399588+8.4604349689796i</v>
      </c>
      <c r="AE108" s="289">
        <f t="shared" si="42"/>
        <v>18.609870268399504</v>
      </c>
      <c r="AF108" s="292">
        <f t="shared" si="43"/>
        <v>83.161403921155824</v>
      </c>
      <c r="AH108" s="292" t="str">
        <f t="shared" si="44"/>
        <v>0.00075-0.441390396798597i</v>
      </c>
      <c r="AI108" s="292">
        <f t="shared" si="45"/>
        <v>0.95</v>
      </c>
      <c r="AJ108" s="292" t="str">
        <f t="shared" si="46"/>
        <v>1000-46610825.9019318i</v>
      </c>
      <c r="AK108" s="292" t="str">
        <f t="shared" si="47"/>
        <v>0.169066155264707-0.362552402147902i</v>
      </c>
      <c r="AL108" s="292" t="str">
        <f t="shared" si="48"/>
        <v>1.18810320615723-0.00168800609158946i</v>
      </c>
      <c r="AM108" s="292" t="str">
        <f t="shared" si="49"/>
        <v>0.019+0.0471993352923794i</v>
      </c>
      <c r="AN108" s="292" t="str">
        <f t="shared" si="50"/>
        <v>3.30726766423356-4.24949237544129i</v>
      </c>
      <c r="AO108" s="292">
        <f t="shared" si="58"/>
        <v>14.623411592861617</v>
      </c>
      <c r="AP108" s="292">
        <f t="shared" si="59"/>
        <v>-52.107320453516181</v>
      </c>
      <c r="AR108" s="292" t="str">
        <f t="shared" si="51"/>
        <v>1.18810320615723-0.00168800609158946i</v>
      </c>
      <c r="AS108" s="292" t="str">
        <f t="shared" si="52"/>
        <v>3.30726766423356-4.24949237544129i</v>
      </c>
      <c r="AT108" s="292">
        <f t="shared" si="60"/>
        <v>14.623411592861617</v>
      </c>
      <c r="AU108" s="292">
        <f t="shared" si="61"/>
        <v>-52.107320453516181</v>
      </c>
    </row>
    <row r="109" spans="1:47" x14ac:dyDescent="0.25">
      <c r="F109" s="292">
        <v>107</v>
      </c>
      <c r="G109" s="293">
        <f t="shared" si="32"/>
        <v>169.7527446768238</v>
      </c>
      <c r="H109" s="293">
        <f t="shared" si="33"/>
        <v>168.57881372500071</v>
      </c>
      <c r="I109" s="294">
        <f t="shared" si="34"/>
        <v>1</v>
      </c>
      <c r="J109" s="292">
        <f t="shared" si="53"/>
        <v>1</v>
      </c>
      <c r="K109" s="292">
        <f t="shared" si="53"/>
        <v>1</v>
      </c>
      <c r="L109" s="292">
        <f>10^('Small Signal'!F109/30)</f>
        <v>3686.9450645195784</v>
      </c>
      <c r="M109" s="292" t="str">
        <f t="shared" si="54"/>
        <v>23165.7590577677i</v>
      </c>
      <c r="N109" s="292">
        <f>IF(D$32=1, IF(AND('Small Signal'!$B$63&gt;=1,FCCM=0),U109+0,R109+0), 0)</f>
        <v>0</v>
      </c>
      <c r="O109" s="292">
        <f>IF(D$32=1, IF(AND('Small Signal'!$B$63&gt;=1,FCCM=0),V109,S109), 0)</f>
        <v>0</v>
      </c>
      <c r="P109" s="292">
        <f>IF(AND('Small Signal'!$B$63&gt;=1,FCCM=0),AE109+0,AB109+0)</f>
        <v>20.772186275684575</v>
      </c>
      <c r="Q109" s="292">
        <f>IF(AND('Small Signal'!$B$63&gt;=1,FCCM=0),AF109,AC109)</f>
        <v>80.100209444244655</v>
      </c>
      <c r="R109" s="292">
        <f t="shared" si="55"/>
        <v>14.219603165470854</v>
      </c>
      <c r="S109" s="292">
        <f t="shared" si="55"/>
        <v>-54.430530946876537</v>
      </c>
      <c r="T109" s="292" t="str">
        <f>IMDIV(IMSUM('Small Signal'!$B$76,IMPRODUCT(M109,'Small Signal'!$B$77)),IMSUM(IMPRODUCT('Small Signal'!$B$80,IMPOWER(M109,2)),IMSUM(IMPRODUCT(M109,'Small Signal'!$B$79),'Small Signal'!$B$78)))</f>
        <v>2.3430361632336-2.85957251013971i</v>
      </c>
      <c r="U109" s="292">
        <f t="shared" si="35"/>
        <v>11.356723492479599</v>
      </c>
      <c r="V109" s="292">
        <f t="shared" si="36"/>
        <v>-50.669978631948808</v>
      </c>
      <c r="W109" s="292" t="str">
        <f>IMPRODUCT(IMDIV(IMSUM(IMPRODUCT(M109,'Small Signal'!$B$59*'Small Signal'!$B$6*'Small Signal'!$B$51*'Small Signal'!$B$7*'Small Signal'!$B$8),'Small Signal'!$B$59*'Small Signal'!$B$6*'Small Signal'!$B$51),IMSUM(IMSUM(IMPRODUCT(M109,('Small Signal'!$B$5+'Small Signal'!$B$6)*('Small Signal'!$B$58*'Small Signal'!$B$59)+'Small Signal'!$B$5*'Small Signal'!$B$59*('Small Signal'!$B$8+'Small Signal'!$B$9)+'Small Signal'!$B$6*'Small Signal'!$B$59*('Small Signal'!$B$8+'Small Signal'!$B$9)+'Small Signal'!$B$7*'Small Signal'!$B$8*('Small Signal'!$B$5+'Small Signal'!$B$6)),'Small Signal'!$B$6+'Small Signal'!$B$5),IMPRODUCT(IMPOWER(M109,2),'Small Signal'!$B$58*'Small Signal'!$B$59*'Small Signal'!$B$8*'Small Signal'!$B$7*('Small Signal'!$B$5+'Small Signal'!$B$6)+('Small Signal'!$B$5+'Small Signal'!$B$6)*('Small Signal'!$B$9*'Small Signal'!$B$8*'Small Signal'!$B$59*'Small Signal'!$B$7)))),-1)</f>
        <v>-1.46207257626676+1.54286600417055i</v>
      </c>
      <c r="X109" s="292">
        <f t="shared" si="37"/>
        <v>0</v>
      </c>
      <c r="Y109" s="292">
        <f t="shared" si="38"/>
        <v>0</v>
      </c>
      <c r="Z109" s="292" t="str">
        <f t="shared" si="39"/>
        <v>1.00017449127855+0.0186957186429335i</v>
      </c>
      <c r="AA109" s="292" t="str">
        <f t="shared" si="40"/>
        <v>1.8790987682034+10.7669828542152i</v>
      </c>
      <c r="AB109" s="289">
        <f t="shared" si="56"/>
        <v>20.772186275684575</v>
      </c>
      <c r="AC109" s="292">
        <f t="shared" si="57"/>
        <v>80.100209444244655</v>
      </c>
      <c r="AD109" s="292" t="str">
        <f t="shared" si="41"/>
        <v>0.986248292890069+7.79589338971689i</v>
      </c>
      <c r="AE109" s="289">
        <f t="shared" si="42"/>
        <v>17.906273928528663</v>
      </c>
      <c r="AF109" s="292">
        <f t="shared" si="43"/>
        <v>82.789887578298632</v>
      </c>
      <c r="AH109" s="292" t="str">
        <f t="shared" si="44"/>
        <v>0.00075-0.408779912891379i</v>
      </c>
      <c r="AI109" s="292">
        <f t="shared" si="45"/>
        <v>0.95</v>
      </c>
      <c r="AJ109" s="292" t="str">
        <f t="shared" si="46"/>
        <v>1000-43167158.8013297i</v>
      </c>
      <c r="AK109" s="292" t="str">
        <f t="shared" si="47"/>
        <v>0.148850996024952-0.34445818244706i</v>
      </c>
      <c r="AL109" s="292" t="str">
        <f t="shared" si="48"/>
        <v>1.18810280825451-0.00182266644113431i</v>
      </c>
      <c r="AM109" s="292" t="str">
        <f t="shared" si="49"/>
        <v>0.019+0.0509646699270889i</v>
      </c>
      <c r="AN109" s="292" t="str">
        <f t="shared" si="50"/>
        <v>2.99000192532858-4.1810957513016i</v>
      </c>
      <c r="AO109" s="292">
        <f t="shared" si="58"/>
        <v>14.219603165470854</v>
      </c>
      <c r="AP109" s="292">
        <f t="shared" si="59"/>
        <v>-54.430530946876537</v>
      </c>
      <c r="AR109" s="292" t="str">
        <f t="shared" si="51"/>
        <v>1.18810280825451-0.00182266644113431i</v>
      </c>
      <c r="AS109" s="292" t="str">
        <f t="shared" si="52"/>
        <v>2.99000192532858-4.1810957513016i</v>
      </c>
      <c r="AT109" s="292">
        <f t="shared" si="60"/>
        <v>14.219603165470854</v>
      </c>
      <c r="AU109" s="292">
        <f t="shared" si="61"/>
        <v>-54.430530946876537</v>
      </c>
    </row>
    <row r="110" spans="1:47" x14ac:dyDescent="0.25">
      <c r="F110" s="292">
        <v>108</v>
      </c>
      <c r="G110" s="293">
        <f t="shared" si="32"/>
        <v>169.84634612560524</v>
      </c>
      <c r="H110" s="293">
        <f t="shared" si="33"/>
        <v>168.57881372500071</v>
      </c>
      <c r="I110" s="294">
        <f t="shared" si="34"/>
        <v>1</v>
      </c>
      <c r="J110" s="292">
        <f t="shared" si="53"/>
        <v>1</v>
      </c>
      <c r="K110" s="292">
        <f t="shared" si="53"/>
        <v>1</v>
      </c>
      <c r="L110" s="292">
        <f>10^('Small Signal'!F110/30)</f>
        <v>3981.0717055349769</v>
      </c>
      <c r="M110" s="292" t="str">
        <f t="shared" si="54"/>
        <v>25013.8112470457i</v>
      </c>
      <c r="N110" s="292">
        <f>IF(D$32=1, IF(AND('Small Signal'!$B$63&gt;=1,FCCM=0),U110+0,R110+0), 0)</f>
        <v>0</v>
      </c>
      <c r="O110" s="292">
        <f>IF(D$32=1, IF(AND('Small Signal'!$B$63&gt;=1,FCCM=0),V110,S110), 0)</f>
        <v>0</v>
      </c>
      <c r="P110" s="292">
        <f>IF(AND('Small Signal'!$B$63&gt;=1,FCCM=0),AE110+0,AB110+0)</f>
        <v>20.005343701484378</v>
      </c>
      <c r="Q110" s="292">
        <f>IF(AND('Small Signal'!$B$63&gt;=1,FCCM=0),AF110,AC110)</f>
        <v>80.051578363464017</v>
      </c>
      <c r="R110" s="292">
        <f t="shared" si="55"/>
        <v>13.791589300100892</v>
      </c>
      <c r="S110" s="292">
        <f t="shared" si="55"/>
        <v>-56.727543043809561</v>
      </c>
      <c r="T110" s="292" t="str">
        <f>IMDIV(IMSUM('Small Signal'!$B$76,IMPRODUCT(M110,'Small Signal'!$B$77)),IMSUM(IMPRODUCT('Small Signal'!$B$80,IMPOWER(M110,2)),IMSUM(IMPRODUCT(M110,'Small Signal'!$B$79),'Small Signal'!$B$78)))</f>
        <v>2.12275992607836-2.83889948025822i</v>
      </c>
      <c r="U110" s="292">
        <f t="shared" si="35"/>
        <v>10.991783907112225</v>
      </c>
      <c r="V110" s="292">
        <f t="shared" si="36"/>
        <v>-53.213049004136693</v>
      </c>
      <c r="W110" s="292" t="str">
        <f>IMPRODUCT(IMDIV(IMSUM(IMPRODUCT(M110,'Small Signal'!$B$59*'Small Signal'!$B$6*'Small Signal'!$B$51*'Small Signal'!$B$7*'Small Signal'!$B$8),'Small Signal'!$B$59*'Small Signal'!$B$6*'Small Signal'!$B$51),IMSUM(IMSUM(IMPRODUCT(M110,('Small Signal'!$B$5+'Small Signal'!$B$6)*('Small Signal'!$B$58*'Small Signal'!$B$59)+'Small Signal'!$B$5*'Small Signal'!$B$59*('Small Signal'!$B$8+'Small Signal'!$B$9)+'Small Signal'!$B$6*'Small Signal'!$B$59*('Small Signal'!$B$8+'Small Signal'!$B$9)+'Small Signal'!$B$7*'Small Signal'!$B$8*('Small Signal'!$B$5+'Small Signal'!$B$6)),'Small Signal'!$B$6+'Small Signal'!$B$5),IMPRODUCT(IMPOWER(M110,2),'Small Signal'!$B$58*'Small Signal'!$B$59*'Small Signal'!$B$8*'Small Signal'!$B$7*('Small Signal'!$B$5+'Small Signal'!$B$6)+('Small Signal'!$B$5+'Small Signal'!$B$6)*('Small Signal'!$B$9*'Small Signal'!$B$8*'Small Signal'!$B$59*'Small Signal'!$B$7)))),-1)</f>
        <v>-1.46105448172444+1.42962722292096i</v>
      </c>
      <c r="X110" s="292">
        <f t="shared" si="37"/>
        <v>0</v>
      </c>
      <c r="Y110" s="292">
        <f t="shared" si="38"/>
        <v>0</v>
      </c>
      <c r="Z110" s="292" t="str">
        <f t="shared" si="39"/>
        <v>1.00020343895456+0.0201868809041821i</v>
      </c>
      <c r="AA110" s="292" t="str">
        <f t="shared" si="40"/>
        <v>1.72867889855552+9.85569826388649i</v>
      </c>
      <c r="AB110" s="289">
        <f t="shared" si="56"/>
        <v>20.005343701484378</v>
      </c>
      <c r="AC110" s="292">
        <f t="shared" si="57"/>
        <v>80.051578363464017</v>
      </c>
      <c r="AD110" s="292" t="str">
        <f t="shared" si="41"/>
        <v>0.957100076491486+7.18254218684376i</v>
      </c>
      <c r="AE110" s="289">
        <f t="shared" si="42"/>
        <v>17.20200272585021</v>
      </c>
      <c r="AF110" s="292">
        <f t="shared" si="43"/>
        <v>82.409841557795517</v>
      </c>
      <c r="AH110" s="292" t="str">
        <f t="shared" si="44"/>
        <v>0.00075-0.378578733011563i</v>
      </c>
      <c r="AI110" s="292">
        <f t="shared" si="45"/>
        <v>0.95</v>
      </c>
      <c r="AJ110" s="292" t="str">
        <f t="shared" si="46"/>
        <v>1000-39977914.2060212i</v>
      </c>
      <c r="AK110" s="292" t="str">
        <f t="shared" si="47"/>
        <v>0.130659831493949-0.3262527057226i</v>
      </c>
      <c r="AL110" s="292" t="str">
        <f t="shared" si="48"/>
        <v>1.18810234433433-0.00196806918387001i</v>
      </c>
      <c r="AM110" s="292" t="str">
        <f t="shared" si="49"/>
        <v>0.019+0.0550303847435005i</v>
      </c>
      <c r="AN110" s="292" t="str">
        <f t="shared" si="50"/>
        <v>2.68442866110198-4.09093635567802i</v>
      </c>
      <c r="AO110" s="292">
        <f t="shared" si="58"/>
        <v>13.791589300100892</v>
      </c>
      <c r="AP110" s="292">
        <f t="shared" si="59"/>
        <v>-56.727543043809561</v>
      </c>
      <c r="AR110" s="292" t="str">
        <f t="shared" si="51"/>
        <v>1.18810234433433-0.00196806918387001i</v>
      </c>
      <c r="AS110" s="292" t="str">
        <f t="shared" si="52"/>
        <v>2.68442866110198-4.09093635567802i</v>
      </c>
      <c r="AT110" s="292">
        <f t="shared" si="60"/>
        <v>13.791589300100892</v>
      </c>
      <c r="AU110" s="292">
        <f t="shared" si="61"/>
        <v>-56.727543043809561</v>
      </c>
    </row>
    <row r="111" spans="1:47" x14ac:dyDescent="0.25">
      <c r="F111" s="292">
        <v>109</v>
      </c>
      <c r="G111" s="293">
        <f t="shared" si="32"/>
        <v>169.9474019441173</v>
      </c>
      <c r="H111" s="293">
        <f t="shared" si="33"/>
        <v>168.57881372500071</v>
      </c>
      <c r="I111" s="294">
        <f t="shared" si="34"/>
        <v>1</v>
      </c>
      <c r="J111" s="292">
        <f t="shared" si="53"/>
        <v>1</v>
      </c>
      <c r="K111" s="292">
        <f t="shared" si="53"/>
        <v>1</v>
      </c>
      <c r="L111" s="292">
        <f>10^('Small Signal'!F111/30)</f>
        <v>4298.6623470822833</v>
      </c>
      <c r="M111" s="292" t="str">
        <f t="shared" si="54"/>
        <v>27009.2920997135i</v>
      </c>
      <c r="N111" s="292">
        <f>IF(D$32=1, IF(AND('Small Signal'!$B$63&gt;=1,FCCM=0),U111+0,R111+0), 0)</f>
        <v>0</v>
      </c>
      <c r="O111" s="292">
        <f>IF(D$32=1, IF(AND('Small Signal'!$B$63&gt;=1,FCCM=0),V111,S111), 0)</f>
        <v>0</v>
      </c>
      <c r="P111" s="292">
        <f>IF(AND('Small Signal'!$B$63&gt;=1,FCCM=0),AE111+0,AB111+0)</f>
        <v>19.240905498718238</v>
      </c>
      <c r="Q111" s="292">
        <f>IF(AND('Small Signal'!$B$63&gt;=1,FCCM=0),AF111,AC111)</f>
        <v>80.042109513021558</v>
      </c>
      <c r="R111" s="292">
        <f t="shared" si="55"/>
        <v>13.340351038630939</v>
      </c>
      <c r="S111" s="292">
        <f t="shared" si="55"/>
        <v>-58.988992473331436</v>
      </c>
      <c r="T111" s="292" t="str">
        <f>IMDIV(IMSUM('Small Signal'!$B$76,IMPRODUCT(M111,'Small Signal'!$B$77)),IMSUM(IMPRODUCT('Small Signal'!$B$80,IMPOWER(M111,2)),IMSUM(IMPRODUCT(M111,'Small Signal'!$B$79),'Small Signal'!$B$78)))</f>
        <v>1.90655449780988-2.80160323925499i</v>
      </c>
      <c r="U111" s="292">
        <f t="shared" si="35"/>
        <v>10.600905654687256</v>
      </c>
      <c r="V111" s="292">
        <f t="shared" si="36"/>
        <v>-55.763825273098448</v>
      </c>
      <c r="W111" s="292" t="str">
        <f>IMPRODUCT(IMDIV(IMSUM(IMPRODUCT(M111,'Small Signal'!$B$59*'Small Signal'!$B$6*'Small Signal'!$B$51*'Small Signal'!$B$7*'Small Signal'!$B$8),'Small Signal'!$B$59*'Small Signal'!$B$6*'Small Signal'!$B$51),IMSUM(IMSUM(IMPRODUCT(M111,('Small Signal'!$B$5+'Small Signal'!$B$6)*('Small Signal'!$B$58*'Small Signal'!$B$59)+'Small Signal'!$B$5*'Small Signal'!$B$59*('Small Signal'!$B$8+'Small Signal'!$B$9)+'Small Signal'!$B$6*'Small Signal'!$B$59*('Small Signal'!$B$8+'Small Signal'!$B$9)+'Small Signal'!$B$7*'Small Signal'!$B$8*('Small Signal'!$B$5+'Small Signal'!$B$6)),'Small Signal'!$B$6+'Small Signal'!$B$5),IMPRODUCT(IMPOWER(M111,2),'Small Signal'!$B$58*'Small Signal'!$B$59*'Small Signal'!$B$8*'Small Signal'!$B$7*('Small Signal'!$B$5+'Small Signal'!$B$6)+('Small Signal'!$B$5+'Small Signal'!$B$6)*('Small Signal'!$B$9*'Small Signal'!$B$8*'Small Signal'!$B$59*'Small Signal'!$B$7)))),-1)</f>
        <v>-1.46018043332731+1.32481325932987i</v>
      </c>
      <c r="X111" s="292">
        <f t="shared" si="37"/>
        <v>0</v>
      </c>
      <c r="Y111" s="292">
        <f t="shared" si="38"/>
        <v>0</v>
      </c>
      <c r="Z111" s="292" t="str">
        <f t="shared" si="39"/>
        <v>1.00023718841054+0.0217969253524973i</v>
      </c>
      <c r="AA111" s="292" t="str">
        <f t="shared" si="40"/>
        <v>1.58453347511806+9.02511810347453i</v>
      </c>
      <c r="AB111" s="289">
        <f t="shared" si="56"/>
        <v>19.240905498718238</v>
      </c>
      <c r="AC111" s="292">
        <f t="shared" si="57"/>
        <v>80.042109513021558</v>
      </c>
      <c r="AD111" s="292" t="str">
        <f t="shared" si="41"/>
        <v>0.927687545972362+6.61667491024008i</v>
      </c>
      <c r="AE111" s="289">
        <f t="shared" si="42"/>
        <v>16.497338275759283</v>
      </c>
      <c r="AF111" s="292">
        <f t="shared" si="43"/>
        <v>82.018898617060927</v>
      </c>
      <c r="AH111" s="292" t="str">
        <f t="shared" si="44"/>
        <v>0.00075-0.350608854713279i</v>
      </c>
      <c r="AI111" s="292">
        <f t="shared" si="45"/>
        <v>0.95</v>
      </c>
      <c r="AJ111" s="292" t="str">
        <f t="shared" si="46"/>
        <v>1000-37024295.0577223i</v>
      </c>
      <c r="AK111" s="292" t="str">
        <f t="shared" si="47"/>
        <v>0.114386136396394-0.308150004660099i</v>
      </c>
      <c r="AL111" s="292" t="str">
        <f t="shared" si="48"/>
        <v>1.18810180344356-0.00212507125503346i</v>
      </c>
      <c r="AM111" s="292" t="str">
        <f t="shared" si="49"/>
        <v>0.019+0.0594204426193697i</v>
      </c>
      <c r="AN111" s="292" t="str">
        <f t="shared" si="50"/>
        <v>2.39329215892329-3.98137424778364i</v>
      </c>
      <c r="AO111" s="292">
        <f t="shared" si="58"/>
        <v>13.340351038630939</v>
      </c>
      <c r="AP111" s="292">
        <f t="shared" si="59"/>
        <v>-58.988992473331436</v>
      </c>
      <c r="AR111" s="292" t="str">
        <f t="shared" si="51"/>
        <v>1.18810180344356-0.00212507125503346i</v>
      </c>
      <c r="AS111" s="292" t="str">
        <f t="shared" si="52"/>
        <v>2.39329215892329-3.98137424778364i</v>
      </c>
      <c r="AT111" s="292">
        <f t="shared" si="60"/>
        <v>13.340351038630939</v>
      </c>
      <c r="AU111" s="292">
        <f t="shared" si="61"/>
        <v>-58.988992473331436</v>
      </c>
    </row>
    <row r="112" spans="1:47" x14ac:dyDescent="0.25">
      <c r="F112" s="292">
        <v>110</v>
      </c>
      <c r="G112" s="293">
        <f t="shared" si="32"/>
        <v>170.05650352099332</v>
      </c>
      <c r="H112" s="293">
        <f t="shared" si="33"/>
        <v>168.57881372500071</v>
      </c>
      <c r="I112" s="294">
        <f t="shared" si="34"/>
        <v>1</v>
      </c>
      <c r="J112" s="292">
        <f t="shared" si="53"/>
        <v>1</v>
      </c>
      <c r="K112" s="292">
        <f t="shared" si="53"/>
        <v>1</v>
      </c>
      <c r="L112" s="292">
        <f>10^('Small Signal'!F112/30)</f>
        <v>4641.5888336127782</v>
      </c>
      <c r="M112" s="292" t="str">
        <f t="shared" si="54"/>
        <v>29163.9627613246i</v>
      </c>
      <c r="N112" s="292">
        <f>IF(D$32=1, IF(AND('Small Signal'!$B$63&gt;=1,FCCM=0),U112+0,R112+0), 0)</f>
        <v>0</v>
      </c>
      <c r="O112" s="292">
        <f>IF(D$32=1, IF(AND('Small Signal'!$B$63&gt;=1,FCCM=0),V112,S112), 0)</f>
        <v>0</v>
      </c>
      <c r="P112" s="292">
        <f>IF(AND('Small Signal'!$B$63&gt;=1,FCCM=0),AE112+0,AB112+0)</f>
        <v>18.47982327178488</v>
      </c>
      <c r="Q112" s="292">
        <f>IF(AND('Small Signal'!$B$63&gt;=1,FCCM=0),AF112,AC112)</f>
        <v>80.06732361777496</v>
      </c>
      <c r="R112" s="292">
        <f t="shared" si="55"/>
        <v>12.867054402534926</v>
      </c>
      <c r="S112" s="292">
        <f t="shared" si="55"/>
        <v>-61.206895834815413</v>
      </c>
      <c r="T112" s="292" t="str">
        <f>IMDIV(IMSUM('Small Signal'!$B$76,IMPRODUCT(M112,'Small Signal'!$B$77)),IMSUM(IMPRODUCT('Small Signal'!$B$80,IMPOWER(M112,2)),IMSUM(IMPRODUCT(M112,'Small Signal'!$B$79),'Small Signal'!$B$78)))</f>
        <v>1.69678503015974-2.74864657152137i</v>
      </c>
      <c r="U112" s="292">
        <f t="shared" si="35"/>
        <v>10.184565519208764</v>
      </c>
      <c r="V112" s="292">
        <f t="shared" si="36"/>
        <v>-58.312279694267446</v>
      </c>
      <c r="W112" s="292" t="str">
        <f>IMPRODUCT(IMDIV(IMSUM(IMPRODUCT(M112,'Small Signal'!$B$59*'Small Signal'!$B$6*'Small Signal'!$B$51*'Small Signal'!$B$7*'Small Signal'!$B$8),'Small Signal'!$B$59*'Small Signal'!$B$6*'Small Signal'!$B$51),IMSUM(IMSUM(IMPRODUCT(M112,('Small Signal'!$B$5+'Small Signal'!$B$6)*('Small Signal'!$B$58*'Small Signal'!$B$59)+'Small Signal'!$B$5*'Small Signal'!$B$59*('Small Signal'!$B$8+'Small Signal'!$B$9)+'Small Signal'!$B$6*'Small Signal'!$B$59*('Small Signal'!$B$8+'Small Signal'!$B$9)+'Small Signal'!$B$7*'Small Signal'!$B$8*('Small Signal'!$B$5+'Small Signal'!$B$6)),'Small Signal'!$B$6+'Small Signal'!$B$5),IMPRODUCT(IMPOWER(M112,2),'Small Signal'!$B$58*'Small Signal'!$B$59*'Small Signal'!$B$8*'Small Signal'!$B$7*('Small Signal'!$B$5+'Small Signal'!$B$6)+('Small Signal'!$B$5+'Small Signal'!$B$6)*('Small Signal'!$B$9*'Small Signal'!$B$8*'Small Signal'!$B$59*'Small Signal'!$B$7)))),-1)</f>
        <v>-1.45942979666926+1.22780660667279i</v>
      </c>
      <c r="X112" s="292">
        <f t="shared" si="37"/>
        <v>0</v>
      </c>
      <c r="Y112" s="292">
        <f t="shared" si="38"/>
        <v>0</v>
      </c>
      <c r="Z112" s="292" t="str">
        <f t="shared" si="39"/>
        <v>1.00027653595138+0.0235353162838453i</v>
      </c>
      <c r="AA112" s="292" t="str">
        <f t="shared" si="40"/>
        <v>1.44796254423062+8.26860591670095i</v>
      </c>
      <c r="AB112" s="289">
        <f t="shared" si="56"/>
        <v>18.47982327178488</v>
      </c>
      <c r="AC112" s="292">
        <f t="shared" si="57"/>
        <v>80.06732361777496</v>
      </c>
      <c r="AD112" s="292" t="str">
        <f t="shared" si="41"/>
        <v>0.898467788364978+6.09478057712471i</v>
      </c>
      <c r="AE112" s="289">
        <f t="shared" si="42"/>
        <v>15.792529149545398</v>
      </c>
      <c r="AF112" s="292">
        <f t="shared" si="43"/>
        <v>81.61408695354055</v>
      </c>
      <c r="AH112" s="292" t="str">
        <f t="shared" si="44"/>
        <v>0.00075-0.324705426597756i</v>
      </c>
      <c r="AI112" s="292">
        <f t="shared" si="45"/>
        <v>0.95</v>
      </c>
      <c r="AJ112" s="292" t="str">
        <f t="shared" si="46"/>
        <v>1000-34288893.048723i</v>
      </c>
      <c r="AK112" s="292" t="str">
        <f t="shared" si="47"/>
        <v>0.0999043188667646-0.290329401190073i</v>
      </c>
      <c r="AL112" s="292" t="str">
        <f t="shared" si="48"/>
        <v>1.18810117281186-0.00229459794141304i</v>
      </c>
      <c r="AM112" s="292" t="str">
        <f t="shared" si="49"/>
        <v>0.019+0.0641607180749141i</v>
      </c>
      <c r="AN112" s="292" t="str">
        <f t="shared" si="50"/>
        <v>2.1187643851474-3.85511709450719i</v>
      </c>
      <c r="AO112" s="292">
        <f t="shared" si="58"/>
        <v>12.867054402534926</v>
      </c>
      <c r="AP112" s="292">
        <f t="shared" si="59"/>
        <v>-61.206895834815413</v>
      </c>
      <c r="AR112" s="292" t="str">
        <f t="shared" si="51"/>
        <v>1.18810117281186-0.00229459794141304i</v>
      </c>
      <c r="AS112" s="292" t="str">
        <f t="shared" si="52"/>
        <v>2.1187643851474-3.85511709450719i</v>
      </c>
      <c r="AT112" s="292">
        <f t="shared" si="60"/>
        <v>12.867054402534926</v>
      </c>
      <c r="AU112" s="292">
        <f t="shared" si="61"/>
        <v>-61.206895834815413</v>
      </c>
    </row>
    <row r="113" spans="6:47" x14ac:dyDescent="0.25">
      <c r="F113" s="292">
        <v>111</v>
      </c>
      <c r="G113" s="293">
        <f t="shared" si="32"/>
        <v>170.17428857416979</v>
      </c>
      <c r="H113" s="293">
        <f t="shared" si="33"/>
        <v>168.57881372500071</v>
      </c>
      <c r="I113" s="294">
        <f t="shared" si="34"/>
        <v>1</v>
      </c>
      <c r="J113" s="292">
        <f t="shared" si="53"/>
        <v>1</v>
      </c>
      <c r="K113" s="292">
        <f t="shared" si="53"/>
        <v>1</v>
      </c>
      <c r="L113" s="292">
        <f>10^('Small Signal'!F113/30)</f>
        <v>5011.8723362727324</v>
      </c>
      <c r="M113" s="292" t="str">
        <f t="shared" si="54"/>
        <v>31490.5226247287i</v>
      </c>
      <c r="N113" s="292">
        <f>IF(D$32=1, IF(AND('Small Signal'!$B$63&gt;=1,FCCM=0),U113+0,R113+0), 0)</f>
        <v>0</v>
      </c>
      <c r="O113" s="292">
        <f>IF(D$32=1, IF(AND('Small Signal'!$B$63&gt;=1,FCCM=0),V113,S113), 0)</f>
        <v>0</v>
      </c>
      <c r="P113" s="292">
        <f>IF(AND('Small Signal'!$B$63&gt;=1,FCCM=0),AE113+0,AB113+0)</f>
        <v>17.722901319495303</v>
      </c>
      <c r="Q113" s="292">
        <f>IF(AND('Small Signal'!$B$63&gt;=1,FCCM=0),AF113,AC113)</f>
        <v>80.121725972150671</v>
      </c>
      <c r="R113" s="292">
        <f t="shared" si="55"/>
        <v>12.373003953105906</v>
      </c>
      <c r="S113" s="292">
        <f t="shared" si="55"/>
        <v>-63.374794950234261</v>
      </c>
      <c r="T113" s="292" t="str">
        <f>IMDIV(IMSUM('Small Signal'!$B$76,IMPRODUCT(M113,'Small Signal'!$B$77)),IMSUM(IMPRODUCT('Small Signal'!$B$80,IMPOWER(M113,2)),IMSUM(IMPRODUCT(M113,'Small Signal'!$B$79),'Small Signal'!$B$78)))</f>
        <v>1.4955393122695-2.68138044024051i</v>
      </c>
      <c r="U113" s="292">
        <f t="shared" si="35"/>
        <v>9.7434765686903386</v>
      </c>
      <c r="V113" s="292">
        <f t="shared" si="36"/>
        <v>-60.849417118215662</v>
      </c>
      <c r="W113" s="292" t="str">
        <f>IMPRODUCT(IMDIV(IMSUM(IMPRODUCT(M113,'Small Signal'!$B$59*'Small Signal'!$B$6*'Small Signal'!$B$51*'Small Signal'!$B$7*'Small Signal'!$B$8),'Small Signal'!$B$59*'Small Signal'!$B$6*'Small Signal'!$B$51),IMSUM(IMSUM(IMPRODUCT(M113,('Small Signal'!$B$5+'Small Signal'!$B$6)*('Small Signal'!$B$58*'Small Signal'!$B$59)+'Small Signal'!$B$5*'Small Signal'!$B$59*('Small Signal'!$B$8+'Small Signal'!$B$9)+'Small Signal'!$B$6*'Small Signal'!$B$59*('Small Signal'!$B$8+'Small Signal'!$B$9)+'Small Signal'!$B$7*'Small Signal'!$B$8*('Small Signal'!$B$5+'Small Signal'!$B$6)),'Small Signal'!$B$6+'Small Signal'!$B$5),IMPRODUCT(IMPOWER(M113,2),'Small Signal'!$B$58*'Small Signal'!$B$59*'Small Signal'!$B$8*'Small Signal'!$B$7*('Small Signal'!$B$5+'Small Signal'!$B$6)+('Small Signal'!$B$5+'Small Signal'!$B$6)*('Small Signal'!$B$9*'Small Signal'!$B$8*'Small Signal'!$B$59*'Small Signal'!$B$7)))),-1)</f>
        <v>-1.4587848505709+1.13803572076875i</v>
      </c>
      <c r="X113" s="292">
        <f t="shared" si="37"/>
        <v>0</v>
      </c>
      <c r="Y113" s="292">
        <f t="shared" si="38"/>
        <v>0</v>
      </c>
      <c r="Z113" s="292" t="str">
        <f t="shared" si="39"/>
        <v>1.00032240986409+0.0254122679505125i</v>
      </c>
      <c r="AA113" s="292" t="str">
        <f t="shared" si="40"/>
        <v>1.31992673251107+7.57980801366299i</v>
      </c>
      <c r="AB113" s="289">
        <f t="shared" si="56"/>
        <v>17.722901319495303</v>
      </c>
      <c r="AC113" s="292">
        <f t="shared" si="57"/>
        <v>80.121725972150671</v>
      </c>
      <c r="AD113" s="292" t="str">
        <f t="shared" si="41"/>
        <v>0.869836629792368+5.61353432401661i</v>
      </c>
      <c r="AE113" s="289">
        <f t="shared" si="42"/>
        <v>15.087772080032861</v>
      </c>
      <c r="AF113" s="292">
        <f t="shared" si="43"/>
        <v>81.191870384696273</v>
      </c>
      <c r="AH113" s="292" t="str">
        <f t="shared" si="44"/>
        <v>0.00075-0.30071577669723i</v>
      </c>
      <c r="AI113" s="292">
        <f t="shared" si="45"/>
        <v>0.95</v>
      </c>
      <c r="AJ113" s="292" t="str">
        <f t="shared" si="46"/>
        <v>1000-31755586.0192274i</v>
      </c>
      <c r="AK113" s="292" t="str">
        <f t="shared" si="47"/>
        <v>0.0870773921057844-0.272936565668201i</v>
      </c>
      <c r="AL113" s="292" t="str">
        <f t="shared" si="48"/>
        <v>1.18810043755011-0.00247764833136137i</v>
      </c>
      <c r="AM113" s="292" t="str">
        <f t="shared" si="49"/>
        <v>0.019+0.0692791497744031i</v>
      </c>
      <c r="AN113" s="292" t="str">
        <f t="shared" si="50"/>
        <v>1.86241266923088-3.71506924212862i</v>
      </c>
      <c r="AO113" s="292">
        <f t="shared" si="58"/>
        <v>12.373003953105906</v>
      </c>
      <c r="AP113" s="292">
        <f t="shared" si="59"/>
        <v>-63.374794950234261</v>
      </c>
      <c r="AR113" s="292" t="str">
        <f t="shared" si="51"/>
        <v>1.18810043755011-0.00247764833136137i</v>
      </c>
      <c r="AS113" s="292" t="str">
        <f t="shared" si="52"/>
        <v>1.86241266923088-3.71506924212862i</v>
      </c>
      <c r="AT113" s="292">
        <f t="shared" si="60"/>
        <v>12.373003953105906</v>
      </c>
      <c r="AU113" s="292">
        <f t="shared" si="61"/>
        <v>-63.374794950234261</v>
      </c>
    </row>
    <row r="114" spans="6:47" x14ac:dyDescent="0.25">
      <c r="F114" s="292">
        <v>112</v>
      </c>
      <c r="G114" s="293">
        <f t="shared" si="32"/>
        <v>170.30144462784023</v>
      </c>
      <c r="H114" s="293">
        <f t="shared" si="33"/>
        <v>168.57881372500071</v>
      </c>
      <c r="I114" s="294">
        <f t="shared" si="34"/>
        <v>1</v>
      </c>
      <c r="J114" s="292">
        <f t="shared" si="53"/>
        <v>1</v>
      </c>
      <c r="K114" s="292">
        <f t="shared" si="53"/>
        <v>1</v>
      </c>
      <c r="L114" s="292">
        <f>10^('Small Signal'!F114/30)</f>
        <v>5411.6952654646393</v>
      </c>
      <c r="M114" s="292" t="str">
        <f t="shared" si="54"/>
        <v>34002.6841789008i</v>
      </c>
      <c r="N114" s="292">
        <f>IF(D$32=1, IF(AND('Small Signal'!$B$63&gt;=1,FCCM=0),U114+0,R114+0), 0)</f>
        <v>0</v>
      </c>
      <c r="O114" s="292">
        <f>IF(D$32=1, IF(AND('Small Signal'!$B$63&gt;=1,FCCM=0),V114,S114), 0)</f>
        <v>0</v>
      </c>
      <c r="P114" s="292">
        <f>IF(AND('Small Signal'!$B$63&gt;=1,FCCM=0),AE114+0,AB114+0)</f>
        <v>16.970772917377069</v>
      </c>
      <c r="Q114" s="292">
        <f>IF(AND('Small Signal'!$B$63&gt;=1,FCCM=0),AF114,AC114)</f>
        <v>80.199074784647905</v>
      </c>
      <c r="R114" s="292">
        <f t="shared" si="55"/>
        <v>11.859595365311256</v>
      </c>
      <c r="S114" s="292">
        <f t="shared" si="55"/>
        <v>-65.487826041835447</v>
      </c>
      <c r="T114" s="292" t="str">
        <f>IMDIV(IMSUM('Small Signal'!$B$76,IMPRODUCT(M114,'Small Signal'!$B$77)),IMSUM(IMPRODUCT('Small Signal'!$B$80,IMPOWER(M114,2)),IMSUM(IMPRODUCT(M114,'Small Signal'!$B$79),'Small Signal'!$B$78)))</f>
        <v>1.30455622821886-2.60145659364682i</v>
      </c>
      <c r="U114" s="292">
        <f t="shared" si="35"/>
        <v>9.278548680523711</v>
      </c>
      <c r="V114" s="292">
        <f t="shared" si="36"/>
        <v>-63.367541910024642</v>
      </c>
      <c r="W114" s="292" t="str">
        <f>IMPRODUCT(IMDIV(IMSUM(IMPRODUCT(M114,'Small Signal'!$B$59*'Small Signal'!$B$6*'Small Signal'!$B$51*'Small Signal'!$B$7*'Small Signal'!$B$8),'Small Signal'!$B$59*'Small Signal'!$B$6*'Small Signal'!$B$51),IMSUM(IMSUM(IMPRODUCT(M114,('Small Signal'!$B$5+'Small Signal'!$B$6)*('Small Signal'!$B$58*'Small Signal'!$B$59)+'Small Signal'!$B$5*'Small Signal'!$B$59*('Small Signal'!$B$8+'Small Signal'!$B$9)+'Small Signal'!$B$6*'Small Signal'!$B$59*('Small Signal'!$B$8+'Small Signal'!$B$9)+'Small Signal'!$B$7*'Small Signal'!$B$8*('Small Signal'!$B$5+'Small Signal'!$B$6)),'Small Signal'!$B$6+'Small Signal'!$B$5),IMPRODUCT(IMPOWER(M114,2),'Small Signal'!$B$58*'Small Signal'!$B$59*'Small Signal'!$B$8*'Small Signal'!$B$7*('Small Signal'!$B$5+'Small Signal'!$B$6)+('Small Signal'!$B$5+'Small Signal'!$B$6)*('Small Signal'!$B$9*'Small Signal'!$B$8*'Small Signal'!$B$59*'Small Signal'!$B$7)))),-1)</f>
        <v>-1.45823036882706+1.05497166213886i</v>
      </c>
      <c r="X114" s="292">
        <f t="shared" si="37"/>
        <v>0</v>
      </c>
      <c r="Y114" s="292">
        <f t="shared" si="38"/>
        <v>0</v>
      </c>
      <c r="Z114" s="292" t="str">
        <f t="shared" si="39"/>
        <v>1.00037589226654+0.0274388030801544i</v>
      </c>
      <c r="AA114" s="292" t="str">
        <f t="shared" si="40"/>
        <v>1.20105539603062+6.95269972663389i</v>
      </c>
      <c r="AB114" s="289">
        <f t="shared" si="56"/>
        <v>16.970772917377069</v>
      </c>
      <c r="AC114" s="292">
        <f t="shared" si="57"/>
        <v>80.199074784647905</v>
      </c>
      <c r="AD114" s="292" t="str">
        <f t="shared" si="41"/>
        <v>0.842119476750456+5.16979286047884i</v>
      </c>
      <c r="AE114" s="289">
        <f t="shared" si="42"/>
        <v>14.383195821837241</v>
      </c>
      <c r="AF114" s="292">
        <f t="shared" si="43"/>
        <v>80.748215956544797</v>
      </c>
      <c r="AH114" s="292" t="str">
        <f t="shared" si="44"/>
        <v>0.00075-0.278498512643101i</v>
      </c>
      <c r="AI114" s="292">
        <f t="shared" si="45"/>
        <v>0.95</v>
      </c>
      <c r="AJ114" s="292" t="str">
        <f t="shared" si="46"/>
        <v>1000-29409442.9351115i</v>
      </c>
      <c r="AK114" s="292" t="str">
        <f t="shared" si="47"/>
        <v>0.0757633669688003-0.256085826658229i</v>
      </c>
      <c r="AL114" s="292" t="str">
        <f t="shared" si="48"/>
        <v>1.18809958029901-0.002675301198873i</v>
      </c>
      <c r="AM114" s="292" t="str">
        <f t="shared" si="49"/>
        <v>0.019+0.0748059051935818i</v>
      </c>
      <c r="AN114" s="292" t="str">
        <f t="shared" si="50"/>
        <v>1.6252087555846-3.56418806796483i</v>
      </c>
      <c r="AO114" s="292">
        <f t="shared" si="58"/>
        <v>11.859595365311256</v>
      </c>
      <c r="AP114" s="292">
        <f t="shared" si="59"/>
        <v>-65.487826041835447</v>
      </c>
      <c r="AR114" s="292" t="str">
        <f t="shared" si="51"/>
        <v>1.18809958029901-0.002675301198873i</v>
      </c>
      <c r="AS114" s="292" t="str">
        <f t="shared" si="52"/>
        <v>1.6252087555846-3.56418806796483i</v>
      </c>
      <c r="AT114" s="292">
        <f t="shared" si="60"/>
        <v>11.859595365311256</v>
      </c>
      <c r="AU114" s="292">
        <f t="shared" si="61"/>
        <v>-65.487826041835447</v>
      </c>
    </row>
    <row r="115" spans="6:47" x14ac:dyDescent="0.25">
      <c r="F115" s="292">
        <v>113</v>
      </c>
      <c r="G115" s="293">
        <f t="shared" si="32"/>
        <v>170.43871271046186</v>
      </c>
      <c r="H115" s="293">
        <f t="shared" si="33"/>
        <v>168.57881372500071</v>
      </c>
      <c r="I115" s="294">
        <f t="shared" si="34"/>
        <v>1</v>
      </c>
      <c r="J115" s="292">
        <f t="shared" si="53"/>
        <v>1</v>
      </c>
      <c r="K115" s="292">
        <f t="shared" si="53"/>
        <v>1</v>
      </c>
      <c r="L115" s="292">
        <f>10^('Small Signal'!F115/30)</f>
        <v>5843.4141337351803</v>
      </c>
      <c r="M115" s="292" t="str">
        <f t="shared" si="54"/>
        <v>36715.2538288504i</v>
      </c>
      <c r="N115" s="292">
        <f>IF(D$32=1, IF(AND('Small Signal'!$B$63&gt;=1,FCCM=0),U115+0,R115+0), 0)</f>
        <v>0</v>
      </c>
      <c r="O115" s="292">
        <f>IF(D$32=1, IF(AND('Small Signal'!$B$63&gt;=1,FCCM=0),V115,S115), 0)</f>
        <v>0</v>
      </c>
      <c r="P115" s="292">
        <f>IF(AND('Small Signal'!$B$63&gt;=1,FCCM=0),AE115+0,AB115+0)</f>
        <v>16.223889178788973</v>
      </c>
      <c r="Q115" s="292">
        <f>IF(AND('Small Signal'!$B$63&gt;=1,FCCM=0),AF115,AC115)</f>
        <v>80.292664573469565</v>
      </c>
      <c r="R115" s="292">
        <f t="shared" si="55"/>
        <v>11.328269921571152</v>
      </c>
      <c r="S115" s="292">
        <f t="shared" si="55"/>
        <v>-67.542720308514205</v>
      </c>
      <c r="T115" s="292" t="str">
        <f>IMDIV(IMSUM('Small Signal'!$B$76,IMPRODUCT(M115,'Small Signal'!$B$77)),IMSUM(IMPRODUCT('Small Signal'!$B$80,IMPOWER(M115,2)),IMSUM(IMPRODUCT(M115,'Small Signal'!$B$79),'Small Signal'!$B$78)))</f>
        <v>1.1251836252123-2.51072865215915i</v>
      </c>
      <c r="U115" s="292">
        <f t="shared" si="35"/>
        <v>8.7908420761986861</v>
      </c>
      <c r="V115" s="292">
        <f t="shared" si="36"/>
        <v>-65.860452015478756</v>
      </c>
      <c r="W115" s="292" t="str">
        <f>IMPRODUCT(IMDIV(IMSUM(IMPRODUCT(M115,'Small Signal'!$B$59*'Small Signal'!$B$6*'Small Signal'!$B$51*'Small Signal'!$B$7*'Small Signal'!$B$8),'Small Signal'!$B$59*'Small Signal'!$B$6*'Small Signal'!$B$51),IMSUM(IMSUM(IMPRODUCT(M115,('Small Signal'!$B$5+'Small Signal'!$B$6)*('Small Signal'!$B$58*'Small Signal'!$B$59)+'Small Signal'!$B$5*'Small Signal'!$B$59*('Small Signal'!$B$8+'Small Signal'!$B$9)+'Small Signal'!$B$6*'Small Signal'!$B$59*('Small Signal'!$B$8+'Small Signal'!$B$9)+'Small Signal'!$B$7*'Small Signal'!$B$8*('Small Signal'!$B$5+'Small Signal'!$B$6)),'Small Signal'!$B$6+'Small Signal'!$B$5),IMPRODUCT(IMPOWER(M115,2),'Small Signal'!$B$58*'Small Signal'!$B$59*'Small Signal'!$B$8*'Small Signal'!$B$7*('Small Signal'!$B$5+'Small Signal'!$B$6)+('Small Signal'!$B$5+'Small Signal'!$B$6)*('Small Signal'!$B$9*'Small Signal'!$B$8*'Small Signal'!$B$59*'Small Signal'!$B$7)))),-1)</f>
        <v>-1.45775326082222+0.978124987029897i</v>
      </c>
      <c r="X115" s="292">
        <f t="shared" si="37"/>
        <v>0</v>
      </c>
      <c r="Y115" s="292">
        <f t="shared" si="38"/>
        <v>0</v>
      </c>
      <c r="Z115" s="292" t="str">
        <f t="shared" si="39"/>
        <v>1.00043824456368+0.0296268157248695i</v>
      </c>
      <c r="AA115" s="292" t="str">
        <f t="shared" si="40"/>
        <v>1.0916719394976+6.38162434973177i</v>
      </c>
      <c r="AB115" s="289">
        <f t="shared" si="56"/>
        <v>16.223889178788973</v>
      </c>
      <c r="AC115" s="292">
        <f t="shared" si="57"/>
        <v>80.292664573469565</v>
      </c>
      <c r="AD115" s="292" t="str">
        <f t="shared" si="41"/>
        <v>0.815566331651763+4.76059309854181i</v>
      </c>
      <c r="AE115" s="289">
        <f t="shared" si="42"/>
        <v>13.678848619395955</v>
      </c>
      <c r="AF115" s="292">
        <f t="shared" si="43"/>
        <v>80.27868069908763</v>
      </c>
      <c r="AH115" s="292" t="str">
        <f t="shared" si="44"/>
        <v>0.00075-0.25792268831479i</v>
      </c>
      <c r="AI115" s="292">
        <f t="shared" si="45"/>
        <v>0.95</v>
      </c>
      <c r="AJ115" s="292" t="str">
        <f t="shared" si="46"/>
        <v>1000-27236635.8860418i</v>
      </c>
      <c r="AK115" s="292" t="str">
        <f t="shared" si="47"/>
        <v>0.0658203277749019-0.239863261485592i</v>
      </c>
      <c r="AL115" s="292" t="str">
        <f t="shared" si="48"/>
        <v>1.18809858081916-0.00288872135617139i</v>
      </c>
      <c r="AM115" s="292" t="str">
        <f t="shared" si="49"/>
        <v>0.019+0.0807735584234709i</v>
      </c>
      <c r="AN115" s="292" t="str">
        <f t="shared" si="50"/>
        <v>1.40757185519722-3.40535841972727i</v>
      </c>
      <c r="AO115" s="292">
        <f t="shared" si="58"/>
        <v>11.328269921571152</v>
      </c>
      <c r="AP115" s="292">
        <f t="shared" si="59"/>
        <v>-67.542720308514205</v>
      </c>
      <c r="AR115" s="292" t="str">
        <f t="shared" si="51"/>
        <v>1.18809858081916-0.00288872135617139i</v>
      </c>
      <c r="AS115" s="292" t="str">
        <f t="shared" si="52"/>
        <v>1.40757185519722-3.40535841972727i</v>
      </c>
      <c r="AT115" s="292">
        <f t="shared" si="60"/>
        <v>11.328269921571152</v>
      </c>
      <c r="AU115" s="292">
        <f t="shared" si="61"/>
        <v>-67.542720308514205</v>
      </c>
    </row>
    <row r="116" spans="6:47" x14ac:dyDescent="0.25">
      <c r="F116" s="292">
        <v>114</v>
      </c>
      <c r="G116" s="293">
        <f t="shared" si="32"/>
        <v>170.58689127704289</v>
      </c>
      <c r="H116" s="293">
        <f t="shared" si="33"/>
        <v>168.57881372500071</v>
      </c>
      <c r="I116" s="294">
        <f t="shared" si="34"/>
        <v>1</v>
      </c>
      <c r="J116" s="292">
        <f t="shared" si="53"/>
        <v>1</v>
      </c>
      <c r="K116" s="292">
        <f t="shared" si="53"/>
        <v>1</v>
      </c>
      <c r="L116" s="292">
        <f>10^('Small Signal'!F116/30)</f>
        <v>6309.5734448019384</v>
      </c>
      <c r="M116" s="292" t="str">
        <f t="shared" si="54"/>
        <v>39644.21916295i</v>
      </c>
      <c r="N116" s="292">
        <f>IF(D$32=1, IF(AND('Small Signal'!$B$63&gt;=1,FCCM=0),U116+0,R116+0), 0)</f>
        <v>0</v>
      </c>
      <c r="O116" s="292">
        <f>IF(D$32=1, IF(AND('Small Signal'!$B$63&gt;=1,FCCM=0),V116,S116), 0)</f>
        <v>0</v>
      </c>
      <c r="P116" s="292">
        <f>IF(AND('Small Signal'!$B$63&gt;=1,FCCM=0),AE116+0,AB116+0)</f>
        <v>15.482519724787432</v>
      </c>
      <c r="Q116" s="292">
        <f>IF(AND('Small Signal'!$B$63&gt;=1,FCCM=0),AF116,AC116)</f>
        <v>80.39559871637907</v>
      </c>
      <c r="R116" s="292">
        <f t="shared" si="55"/>
        <v>10.780473163621364</v>
      </c>
      <c r="S116" s="292">
        <f t="shared" si="55"/>
        <v>-69.537746955286934</v>
      </c>
      <c r="T116" s="292" t="str">
        <f>IMDIV(IMSUM('Small Signal'!$B$76,IMPRODUCT(M116,'Small Signal'!$B$77)),IMSUM(IMPRODUCT('Small Signal'!$B$80,IMPOWER(M116,2)),IMSUM(IMPRODUCT(M116,'Small Signal'!$B$79),'Small Signal'!$B$78)))</f>
        <v>0.958365809438381-2.41115181494601i</v>
      </c>
      <c r="U116" s="292">
        <f t="shared" si="35"/>
        <v>8.2815172606130787</v>
      </c>
      <c r="V116" s="292">
        <f t="shared" si="36"/>
        <v>-68.323554791012313</v>
      </c>
      <c r="W116" s="292" t="str">
        <f>IMPRODUCT(IMDIV(IMSUM(IMPRODUCT(M116,'Small Signal'!$B$59*'Small Signal'!$B$6*'Small Signal'!$B$51*'Small Signal'!$B$7*'Small Signal'!$B$8),'Small Signal'!$B$59*'Small Signal'!$B$6*'Small Signal'!$B$51),IMSUM(IMSUM(IMPRODUCT(M116,('Small Signal'!$B$5+'Small Signal'!$B$6)*('Small Signal'!$B$58*'Small Signal'!$B$59)+'Small Signal'!$B$5*'Small Signal'!$B$59*('Small Signal'!$B$8+'Small Signal'!$B$9)+'Small Signal'!$B$6*'Small Signal'!$B$59*('Small Signal'!$B$8+'Small Signal'!$B$9)+'Small Signal'!$B$7*'Small Signal'!$B$8*('Small Signal'!$B$5+'Small Signal'!$B$6)),'Small Signal'!$B$6+'Small Signal'!$B$5),IMPRODUCT(IMPOWER(M116,2),'Small Signal'!$B$58*'Small Signal'!$B$59*'Small Signal'!$B$8*'Small Signal'!$B$7*('Small Signal'!$B$5+'Small Signal'!$B$6)+('Small Signal'!$B$5+'Small Signal'!$B$6)*('Small Signal'!$B$9*'Small Signal'!$B$8*'Small Signal'!$B$59*'Small Signal'!$B$7)))),-1)</f>
        <v>-1.45734226253929+0.907042869433503i</v>
      </c>
      <c r="X116" s="292">
        <f t="shared" si="37"/>
        <v>0</v>
      </c>
      <c r="Y116" s="292">
        <f t="shared" si="38"/>
        <v>0</v>
      </c>
      <c r="Z116" s="292" t="str">
        <f t="shared" si="39"/>
        <v>1.00051093710334+0.0319891386983779i</v>
      </c>
      <c r="AA116" s="292" t="str">
        <f t="shared" si="40"/>
        <v>0.991831388185268+5.86132107023954i</v>
      </c>
      <c r="AB116" s="289">
        <f t="shared" si="56"/>
        <v>15.482519724787432</v>
      </c>
      <c r="AC116" s="292">
        <f t="shared" si="57"/>
        <v>80.39559871637907</v>
      </c>
      <c r="AD116" s="292" t="str">
        <f t="shared" si="41"/>
        <v>0.790351063801199+4.38315231507908i</v>
      </c>
      <c r="AE116" s="289">
        <f t="shared" si="42"/>
        <v>12.97468966030047</v>
      </c>
      <c r="AF116" s="292">
        <f t="shared" si="43"/>
        <v>79.778508077821684</v>
      </c>
      <c r="AH116" s="292" t="str">
        <f t="shared" si="44"/>
        <v>0.00075-0.238867032057652i</v>
      </c>
      <c r="AI116" s="292">
        <f t="shared" si="45"/>
        <v>0.95</v>
      </c>
      <c r="AJ116" s="292" t="str">
        <f t="shared" si="46"/>
        <v>1000-25224358.5852881i</v>
      </c>
      <c r="AK116" s="292" t="str">
        <f t="shared" si="47"/>
        <v>0.0571102644111557-0.224330180466284i</v>
      </c>
      <c r="AL116" s="292" t="str">
        <f t="shared" si="48"/>
        <v>1.18809741551333-0.00311916651194879i</v>
      </c>
      <c r="AM116" s="292" t="str">
        <f t="shared" si="49"/>
        <v>0.019+0.08721728215849i</v>
      </c>
      <c r="AN116" s="292" t="str">
        <f t="shared" si="50"/>
        <v>1.20943610577995-3.24129195512372i</v>
      </c>
      <c r="AO116" s="292">
        <f t="shared" si="58"/>
        <v>10.780473163621364</v>
      </c>
      <c r="AP116" s="292">
        <f t="shared" si="59"/>
        <v>-69.537746955286934</v>
      </c>
      <c r="AR116" s="292" t="str">
        <f t="shared" si="51"/>
        <v>1.18809741551333-0.00311916651194879i</v>
      </c>
      <c r="AS116" s="292" t="str">
        <f t="shared" si="52"/>
        <v>1.20943610577995-3.24129195512372i</v>
      </c>
      <c r="AT116" s="292">
        <f t="shared" si="60"/>
        <v>10.780473163621364</v>
      </c>
      <c r="AU116" s="292">
        <f t="shared" si="61"/>
        <v>-69.537746955286934</v>
      </c>
    </row>
    <row r="117" spans="6:47" x14ac:dyDescent="0.25">
      <c r="F117" s="292">
        <v>115</v>
      </c>
      <c r="G117" s="293">
        <f t="shared" si="32"/>
        <v>170.74684035554512</v>
      </c>
      <c r="H117" s="293">
        <f t="shared" si="33"/>
        <v>168.57881372500071</v>
      </c>
      <c r="I117" s="294">
        <f t="shared" si="34"/>
        <v>1</v>
      </c>
      <c r="J117" s="292">
        <f t="shared" si="53"/>
        <v>1</v>
      </c>
      <c r="K117" s="292">
        <f t="shared" si="53"/>
        <v>1</v>
      </c>
      <c r="L117" s="292">
        <f>10^('Small Signal'!F117/30)</f>
        <v>6812.9206905796218</v>
      </c>
      <c r="M117" s="292" t="str">
        <f t="shared" si="54"/>
        <v>42806.8431820297i</v>
      </c>
      <c r="N117" s="292">
        <f>IF(D$32=1, IF(AND('Small Signal'!$B$63&gt;=1,FCCM=0),U117+0,R117+0), 0)</f>
        <v>0</v>
      </c>
      <c r="O117" s="292">
        <f>IF(D$32=1, IF(AND('Small Signal'!$B$63&gt;=1,FCCM=0),V117,S117), 0)</f>
        <v>0</v>
      </c>
      <c r="P117" s="292">
        <f>IF(AND('Small Signal'!$B$63&gt;=1,FCCM=0),AE117+0,AB117+0)</f>
        <v>14.746763237242517</v>
      </c>
      <c r="Q117" s="292">
        <f>IF(AND('Small Signal'!$B$63&gt;=1,FCCM=0),AF117,AC117)</f>
        <v>80.501030478344134</v>
      </c>
      <c r="R117" s="292">
        <f t="shared" si="55"/>
        <v>10.21761917038976</v>
      </c>
      <c r="S117" s="292">
        <f t="shared" si="55"/>
        <v>-71.472612140434691</v>
      </c>
      <c r="T117" s="292" t="str">
        <f>IMDIV(IMSUM('Small Signal'!$B$76,IMPRODUCT(M117,'Small Signal'!$B$77)),IMSUM(IMPRODUCT('Small Signal'!$B$80,IMPOWER(M117,2)),IMSUM(IMPRODUCT(M117,'Small Signal'!$B$79),'Small Signal'!$B$78)))</f>
        <v>0.80465748464627-2.30468998839718i</v>
      </c>
      <c r="U117" s="292">
        <f t="shared" si="35"/>
        <v>7.7517845861758472</v>
      </c>
      <c r="V117" s="292">
        <f t="shared" si="36"/>
        <v>-70.753906364611581</v>
      </c>
      <c r="W117" s="292" t="str">
        <f>IMPRODUCT(IMDIV(IMSUM(IMPRODUCT(M117,'Small Signal'!$B$59*'Small Signal'!$B$6*'Small Signal'!$B$51*'Small Signal'!$B$7*'Small Signal'!$B$8),'Small Signal'!$B$59*'Small Signal'!$B$6*'Small Signal'!$B$51),IMSUM(IMSUM(IMPRODUCT(M117,('Small Signal'!$B$5+'Small Signal'!$B$6)*('Small Signal'!$B$58*'Small Signal'!$B$59)+'Small Signal'!$B$5*'Small Signal'!$B$59*('Small Signal'!$B$8+'Small Signal'!$B$9)+'Small Signal'!$B$6*'Small Signal'!$B$59*('Small Signal'!$B$8+'Small Signal'!$B$9)+'Small Signal'!$B$7*'Small Signal'!$B$8*('Small Signal'!$B$5+'Small Signal'!$B$6)),'Small Signal'!$B$6+'Small Signal'!$B$5),IMPRODUCT(IMPOWER(M117,2),'Small Signal'!$B$58*'Small Signal'!$B$59*'Small Signal'!$B$8*'Small Signal'!$B$7*('Small Signal'!$B$5+'Small Signal'!$B$6)+('Small Signal'!$B$5+'Small Signal'!$B$6)*('Small Signal'!$B$9*'Small Signal'!$B$8*'Small Signal'!$B$59*'Small Signal'!$B$7)))),-1)</f>
        <v>-1.45698767067416+0.841306437497703i</v>
      </c>
      <c r="X117" s="292">
        <f t="shared" si="37"/>
        <v>0</v>
      </c>
      <c r="Y117" s="292">
        <f t="shared" si="38"/>
        <v>0</v>
      </c>
      <c r="Z117" s="292" t="str">
        <f t="shared" si="39"/>
        <v>1.00059568372001+0.0345396158574777i</v>
      </c>
      <c r="AA117" s="292" t="str">
        <f t="shared" si="40"/>
        <v>0.901365045200043+5.38694029212247i</v>
      </c>
      <c r="AB117" s="289">
        <f t="shared" si="56"/>
        <v>14.746763237242517</v>
      </c>
      <c r="AC117" s="292">
        <f t="shared" si="57"/>
        <v>80.501030478344134</v>
      </c>
      <c r="AD117" s="292" t="str">
        <f t="shared" si="41"/>
        <v>0.766574489429756+4.03486841963448i</v>
      </c>
      <c r="AE117" s="289">
        <f t="shared" si="42"/>
        <v>12.270584329825127</v>
      </c>
      <c r="AF117" s="292">
        <f t="shared" si="43"/>
        <v>79.242725176863544</v>
      </c>
      <c r="AH117" s="292" t="str">
        <f t="shared" si="44"/>
        <v>0.00075-0.221219231921132i</v>
      </c>
      <c r="AI117" s="292">
        <f t="shared" si="45"/>
        <v>0.95</v>
      </c>
      <c r="AJ117" s="292" t="str">
        <f t="shared" si="46"/>
        <v>1000-23360750.8908716i</v>
      </c>
      <c r="AK117" s="292" t="str">
        <f t="shared" si="47"/>
        <v>0.049501800755367-0.209526708493089i</v>
      </c>
      <c r="AL117" s="292" t="str">
        <f t="shared" si="48"/>
        <v>1.18809605686937-0.00336799467530567i</v>
      </c>
      <c r="AM117" s="292" t="str">
        <f t="shared" si="49"/>
        <v>0.019+0.0941750550004653i</v>
      </c>
      <c r="AN117" s="292" t="str">
        <f t="shared" si="50"/>
        <v>1.03033238763063-3.07445419036461i</v>
      </c>
      <c r="AO117" s="292">
        <f t="shared" si="58"/>
        <v>10.21761917038976</v>
      </c>
      <c r="AP117" s="292">
        <f t="shared" si="59"/>
        <v>-71.472612140434691</v>
      </c>
      <c r="AR117" s="292" t="str">
        <f t="shared" si="51"/>
        <v>1.18809605686937-0.00336799467530567i</v>
      </c>
      <c r="AS117" s="292" t="str">
        <f t="shared" si="52"/>
        <v>1.03033238763063-3.07445419036461i</v>
      </c>
      <c r="AT117" s="292">
        <f t="shared" si="60"/>
        <v>10.21761917038976</v>
      </c>
      <c r="AU117" s="292">
        <f t="shared" si="61"/>
        <v>-71.472612140434691</v>
      </c>
    </row>
    <row r="118" spans="6:47" x14ac:dyDescent="0.25">
      <c r="F118" s="292">
        <v>116</v>
      </c>
      <c r="G118" s="293">
        <f t="shared" si="32"/>
        <v>170.91948591266896</v>
      </c>
      <c r="H118" s="293">
        <f t="shared" si="33"/>
        <v>168.57881372500071</v>
      </c>
      <c r="I118" s="294">
        <f t="shared" si="34"/>
        <v>1</v>
      </c>
      <c r="J118" s="292">
        <f t="shared" si="53"/>
        <v>1</v>
      </c>
      <c r="K118" s="292">
        <f t="shared" si="53"/>
        <v>1</v>
      </c>
      <c r="L118" s="292">
        <f>10^('Small Signal'!F118/30)</f>
        <v>7356.4225445964248</v>
      </c>
      <c r="M118" s="292" t="str">
        <f t="shared" si="54"/>
        <v>46221.7660456129i</v>
      </c>
      <c r="N118" s="292">
        <f>IF(D$32=1, IF(AND('Small Signal'!$B$63&gt;=1,FCCM=0),U118+0,R118+0), 0)</f>
        <v>0</v>
      </c>
      <c r="O118" s="292">
        <f>IF(D$32=1, IF(AND('Small Signal'!$B$63&gt;=1,FCCM=0),V118,S118), 0)</f>
        <v>0</v>
      </c>
      <c r="P118" s="292">
        <f>IF(AND('Small Signal'!$B$63&gt;=1,FCCM=0),AE118+0,AB118+0)</f>
        <v>14.016565280323348</v>
      </c>
      <c r="Q118" s="292">
        <f>IF(AND('Small Signal'!$B$63&gt;=1,FCCM=0),AF118,AC118)</f>
        <v>80.602358845191688</v>
      </c>
      <c r="R118" s="292">
        <f t="shared" si="55"/>
        <v>9.6410611803724482</v>
      </c>
      <c r="S118" s="292">
        <f t="shared" si="55"/>
        <v>-73.348327812189652</v>
      </c>
      <c r="T118" s="292" t="str">
        <f>IMDIV(IMSUM('Small Signal'!$B$76,IMPRODUCT(M118,'Small Signal'!$B$77)),IMSUM(IMPRODUCT('Small Signal'!$B$80,IMPOWER(M118,2)),IMSUM(IMPRODUCT(M118,'Small Signal'!$B$79),'Small Signal'!$B$78)))</f>
        <v>0.664258601986569-2.19323680126728i</v>
      </c>
      <c r="U118" s="292">
        <f t="shared" si="35"/>
        <v>7.2028561565420182</v>
      </c>
      <c r="V118" s="292">
        <f t="shared" si="36"/>
        <v>-73.150181994389172</v>
      </c>
      <c r="W118" s="292" t="str">
        <f>IMPRODUCT(IMDIV(IMSUM(IMPRODUCT(M118,'Small Signal'!$B$59*'Small Signal'!$B$6*'Small Signal'!$B$51*'Small Signal'!$B$7*'Small Signal'!$B$8),'Small Signal'!$B$59*'Small Signal'!$B$6*'Small Signal'!$B$51),IMSUM(IMSUM(IMPRODUCT(M118,('Small Signal'!$B$5+'Small Signal'!$B$6)*('Small Signal'!$B$58*'Small Signal'!$B$59)+'Small Signal'!$B$5*'Small Signal'!$B$59*('Small Signal'!$B$8+'Small Signal'!$B$9)+'Small Signal'!$B$6*'Small Signal'!$B$59*('Small Signal'!$B$8+'Small Signal'!$B$9)+'Small Signal'!$B$7*'Small Signal'!$B$8*('Small Signal'!$B$5+'Small Signal'!$B$6)),'Small Signal'!$B$6+'Small Signal'!$B$5),IMPRODUCT(IMPOWER(M118,2),'Small Signal'!$B$58*'Small Signal'!$B$59*'Small Signal'!$B$8*'Small Signal'!$B$7*('Small Signal'!$B$5+'Small Signal'!$B$6)+('Small Signal'!$B$5+'Small Signal'!$B$6)*('Small Signal'!$B$9*'Small Signal'!$B$8*'Small Signal'!$B$59*'Small Signal'!$B$7)))),-1)</f>
        <v>-1.45668111358421+0.78052830891489i</v>
      </c>
      <c r="X118" s="292">
        <f t="shared" si="37"/>
        <v>0</v>
      </c>
      <c r="Y118" s="292">
        <f t="shared" si="38"/>
        <v>0</v>
      </c>
      <c r="Z118" s="292" t="str">
        <f t="shared" si="39"/>
        <v>1.00069448196574+0.0372931794761188i</v>
      </c>
      <c r="AA118" s="292" t="str">
        <f t="shared" si="40"/>
        <v>0.81992753835791+4.95404651850436i</v>
      </c>
      <c r="AB118" s="289">
        <f t="shared" si="56"/>
        <v>14.016565280323348</v>
      </c>
      <c r="AC118" s="292">
        <f t="shared" si="57"/>
        <v>80.602358845191688</v>
      </c>
      <c r="AD118" s="292" t="str">
        <f t="shared" si="41"/>
        <v>0.744270451493367+3.71331926931464i</v>
      </c>
      <c r="AE118" s="289">
        <f t="shared" si="42"/>
        <v>11.566302635705421</v>
      </c>
      <c r="AF118" s="292">
        <f t="shared" si="43"/>
        <v>78.666233469421655</v>
      </c>
      <c r="AH118" s="292" t="str">
        <f t="shared" si="44"/>
        <v>0.00075-0.204875273704428i</v>
      </c>
      <c r="AI118" s="292">
        <f t="shared" si="45"/>
        <v>0.95</v>
      </c>
      <c r="AJ118" s="292" t="str">
        <f t="shared" si="46"/>
        <v>1000-21634828.9031876i</v>
      </c>
      <c r="AK118" s="292" t="str">
        <f t="shared" si="47"/>
        <v>0.0428719912522122-0.195475253557731i</v>
      </c>
      <c r="AL118" s="292" t="str">
        <f t="shared" si="48"/>
        <v>1.18809447281074-0.00363667214855694i</v>
      </c>
      <c r="AM118" s="292" t="str">
        <f t="shared" si="49"/>
        <v>0.019+0.101687885300348i</v>
      </c>
      <c r="AN118" s="292" t="str">
        <f t="shared" si="50"/>
        <v>0.869475366296894-2.90701868925905i</v>
      </c>
      <c r="AO118" s="292">
        <f t="shared" si="58"/>
        <v>9.6410611803724482</v>
      </c>
      <c r="AP118" s="292">
        <f t="shared" si="59"/>
        <v>-73.348327812189652</v>
      </c>
      <c r="AR118" s="292" t="str">
        <f t="shared" si="51"/>
        <v>1.18809447281074-0.00363667214855694i</v>
      </c>
      <c r="AS118" s="292" t="str">
        <f t="shared" si="52"/>
        <v>0.869475366296894-2.90701868925905i</v>
      </c>
      <c r="AT118" s="292">
        <f t="shared" si="60"/>
        <v>9.6410611803724482</v>
      </c>
      <c r="AU118" s="292">
        <f t="shared" si="61"/>
        <v>-73.348327812189652</v>
      </c>
    </row>
    <row r="119" spans="6:47" x14ac:dyDescent="0.25">
      <c r="F119" s="292">
        <v>117</v>
      </c>
      <c r="G119" s="293">
        <f t="shared" si="32"/>
        <v>171.10582442822894</v>
      </c>
      <c r="H119" s="293">
        <f t="shared" si="33"/>
        <v>168.57881372500071</v>
      </c>
      <c r="I119" s="294">
        <f t="shared" si="34"/>
        <v>1</v>
      </c>
      <c r="J119" s="292">
        <f t="shared" si="53"/>
        <v>1</v>
      </c>
      <c r="K119" s="292">
        <f t="shared" si="53"/>
        <v>1</v>
      </c>
      <c r="L119" s="292">
        <f>10^('Small Signal'!F119/30)</f>
        <v>7943.2823472428154</v>
      </c>
      <c r="M119" s="292" t="str">
        <f t="shared" si="54"/>
        <v>49909.114934975i</v>
      </c>
      <c r="N119" s="292">
        <f>IF(D$32=1, IF(AND('Small Signal'!$B$63&gt;=1,FCCM=0),U119+0,R119+0), 0)</f>
        <v>0</v>
      </c>
      <c r="O119" s="292">
        <f>IF(D$32=1, IF(AND('Small Signal'!$B$63&gt;=1,FCCM=0),V119,S119), 0)</f>
        <v>0</v>
      </c>
      <c r="P119" s="292">
        <f>IF(AND('Small Signal'!$B$63&gt;=1,FCCM=0),AE119+0,AB119+0)</f>
        <v>13.291740562093084</v>
      </c>
      <c r="Q119" s="292">
        <f>IF(AND('Small Signal'!$B$63&gt;=1,FCCM=0),AF119,AC119)</f>
        <v>80.693372792348953</v>
      </c>
      <c r="R119" s="292">
        <f t="shared" si="55"/>
        <v>9.0520686353957309</v>
      </c>
      <c r="S119" s="292">
        <f t="shared" si="55"/>
        <v>-75.167063427406859</v>
      </c>
      <c r="T119" s="292" t="str">
        <f>IMDIV(IMSUM('Small Signal'!$B$76,IMPRODUCT(M119,'Small Signal'!$B$77)),IMSUM(IMPRODUCT('Small Signal'!$B$80,IMPOWER(M119,2)),IMSUM(IMPRODUCT(M119,'Small Signal'!$B$79),'Small Signal'!$B$78)))</f>
        <v>0.537063474630202-2.07855423878605i</v>
      </c>
      <c r="U119" s="292">
        <f t="shared" si="35"/>
        <v>6.6359020851778414</v>
      </c>
      <c r="V119" s="292">
        <f t="shared" si="36"/>
        <v>-75.512588610338071</v>
      </c>
      <c r="W119" s="292" t="str">
        <f>IMPRODUCT(IMDIV(IMSUM(IMPRODUCT(M119,'Small Signal'!$B$59*'Small Signal'!$B$6*'Small Signal'!$B$51*'Small Signal'!$B$7*'Small Signal'!$B$8),'Small Signal'!$B$59*'Small Signal'!$B$6*'Small Signal'!$B$51),IMSUM(IMSUM(IMPRODUCT(M119,('Small Signal'!$B$5+'Small Signal'!$B$6)*('Small Signal'!$B$58*'Small Signal'!$B$59)+'Small Signal'!$B$5*'Small Signal'!$B$59*('Small Signal'!$B$8+'Small Signal'!$B$9)+'Small Signal'!$B$6*'Small Signal'!$B$59*('Small Signal'!$B$8+'Small Signal'!$B$9)+'Small Signal'!$B$7*'Small Signal'!$B$8*('Small Signal'!$B$5+'Small Signal'!$B$6)),'Small Signal'!$B$6+'Small Signal'!$B$5),IMPRODUCT(IMPOWER(M119,2),'Small Signal'!$B$58*'Small Signal'!$B$59*'Small Signal'!$B$8*'Small Signal'!$B$7*('Small Signal'!$B$5+'Small Signal'!$B$6)+('Small Signal'!$B$5+'Small Signal'!$B$6)*('Small Signal'!$B$9*'Small Signal'!$B$8*'Small Signal'!$B$59*'Small Signal'!$B$7)))),-1)</f>
        <v>-1.45641535366712+0.724350310982393i</v>
      </c>
      <c r="X119" s="292">
        <f t="shared" si="37"/>
        <v>0</v>
      </c>
      <c r="Y119" s="292">
        <f t="shared" si="38"/>
        <v>0</v>
      </c>
      <c r="Z119" s="292" t="str">
        <f t="shared" si="39"/>
        <v>1.00080965995596+0.0402659329447501i</v>
      </c>
      <c r="AA119" s="292" t="str">
        <f t="shared" si="40"/>
        <v>0.747042481449484+4.55861022426086i</v>
      </c>
      <c r="AB119" s="289">
        <f t="shared" si="56"/>
        <v>13.291740562093084</v>
      </c>
      <c r="AC119" s="292">
        <f t="shared" si="57"/>
        <v>80.693372792348953</v>
      </c>
      <c r="AD119" s="292" t="str">
        <f t="shared" si="41"/>
        <v>0.723413918913208+3.41626040166355i</v>
      </c>
      <c r="AE119" s="289">
        <f t="shared" si="42"/>
        <v>10.861519899085376</v>
      </c>
      <c r="AF119" s="292">
        <f t="shared" si="43"/>
        <v>78.043888643947895</v>
      </c>
      <c r="AH119" s="292" t="str">
        <f t="shared" si="44"/>
        <v>0.00075-0.189738827908183i</v>
      </c>
      <c r="AI119" s="292">
        <f t="shared" si="45"/>
        <v>0.95</v>
      </c>
      <c r="AJ119" s="292" t="str">
        <f t="shared" si="46"/>
        <v>1000-20036420.2271042i</v>
      </c>
      <c r="AK119" s="292" t="str">
        <f t="shared" si="47"/>
        <v>0.0371073638966453-0.182183725629872i</v>
      </c>
      <c r="AL119" s="292" t="str">
        <f t="shared" si="48"/>
        <v>1.1880926259393-0.00392678215541916i</v>
      </c>
      <c r="AM119" s="292" t="str">
        <f t="shared" si="49"/>
        <v>0.019+0.109800052856945i</v>
      </c>
      <c r="AN119" s="292" t="str">
        <f t="shared" si="50"/>
        <v>0.725848417783041-2.74084541169441i</v>
      </c>
      <c r="AO119" s="292">
        <f t="shared" si="58"/>
        <v>9.0520686353957309</v>
      </c>
      <c r="AP119" s="292">
        <f t="shared" si="59"/>
        <v>-75.167063427406859</v>
      </c>
      <c r="AR119" s="292" t="str">
        <f t="shared" si="51"/>
        <v>1.1880926259393-0.00392678215541916i</v>
      </c>
      <c r="AS119" s="292" t="str">
        <f t="shared" si="52"/>
        <v>0.725848417783041-2.74084541169441i</v>
      </c>
      <c r="AT119" s="292">
        <f t="shared" si="60"/>
        <v>9.0520686353957309</v>
      </c>
      <c r="AU119" s="292">
        <f t="shared" si="61"/>
        <v>-75.167063427406859</v>
      </c>
    </row>
    <row r="120" spans="6:47" x14ac:dyDescent="0.25">
      <c r="F120" s="292">
        <v>118</v>
      </c>
      <c r="G120" s="293">
        <f t="shared" si="32"/>
        <v>171.30692765939671</v>
      </c>
      <c r="H120" s="293">
        <f t="shared" si="33"/>
        <v>168.57881372500071</v>
      </c>
      <c r="I120" s="294">
        <f t="shared" si="34"/>
        <v>1</v>
      </c>
      <c r="J120" s="292">
        <f t="shared" si="53"/>
        <v>1</v>
      </c>
      <c r="K120" s="292">
        <f t="shared" si="53"/>
        <v>1</v>
      </c>
      <c r="L120" s="292">
        <f>10^('Small Signal'!F120/30)</f>
        <v>8576.9589859089447</v>
      </c>
      <c r="M120" s="292" t="str">
        <f t="shared" si="54"/>
        <v>53890.622680545i</v>
      </c>
      <c r="N120" s="292">
        <f>IF(D$32=1, IF(AND('Small Signal'!$B$63&gt;=1,FCCM=0),U120+0,R120+0), 0)</f>
        <v>0</v>
      </c>
      <c r="O120" s="292">
        <f>IF(D$32=1, IF(AND('Small Signal'!$B$63&gt;=1,FCCM=0),V120,S120), 0)</f>
        <v>0</v>
      </c>
      <c r="P120" s="292">
        <f>IF(AND('Small Signal'!$B$63&gt;=1,FCCM=0),AE120+0,AB120+0)</f>
        <v>12.571996989606902</v>
      </c>
      <c r="Q120" s="292">
        <f>IF(AND('Small Signal'!$B$63&gt;=1,FCCM=0),AF120,AC120)</f>
        <v>80.768344033008873</v>
      </c>
      <c r="R120" s="292">
        <f t="shared" si="55"/>
        <v>8.4518102350712123</v>
      </c>
      <c r="S120" s="292">
        <f t="shared" si="55"/>
        <v>-76.931991593355846</v>
      </c>
      <c r="T120" s="292" t="str">
        <f>IMDIV(IMSUM('Small Signal'!$B$76,IMPRODUCT(M120,'Small Signal'!$B$77)),IMSUM(IMPRODUCT('Small Signal'!$B$80,IMPOWER(M120,2)),IMSUM(IMPRODUCT(M120,'Small Signal'!$B$79),'Small Signal'!$B$78)))</f>
        <v>0.422717515218129-1.96223003963016i</v>
      </c>
      <c r="U120" s="292">
        <f t="shared" si="35"/>
        <v>6.0520123693381525</v>
      </c>
      <c r="V120" s="292">
        <f t="shared" si="36"/>
        <v>-77.84273237890929</v>
      </c>
      <c r="W120" s="292" t="str">
        <f>IMPRODUCT(IMDIV(IMSUM(IMPRODUCT(M120,'Small Signal'!$B$59*'Small Signal'!$B$6*'Small Signal'!$B$51*'Small Signal'!$B$7*'Small Signal'!$B$8),'Small Signal'!$B$59*'Small Signal'!$B$6*'Small Signal'!$B$51),IMSUM(IMSUM(IMPRODUCT(M120,('Small Signal'!$B$5+'Small Signal'!$B$6)*('Small Signal'!$B$58*'Small Signal'!$B$59)+'Small Signal'!$B$5*'Small Signal'!$B$59*('Small Signal'!$B$8+'Small Signal'!$B$9)+'Small Signal'!$B$6*'Small Signal'!$B$59*('Small Signal'!$B$8+'Small Signal'!$B$9)+'Small Signal'!$B$7*'Small Signal'!$B$8*('Small Signal'!$B$5+'Small Signal'!$B$6)),'Small Signal'!$B$6+'Small Signal'!$B$5),IMPRODUCT(IMPOWER(M120,2),'Small Signal'!$B$58*'Small Signal'!$B$59*'Small Signal'!$B$8*'Small Signal'!$B$7*('Small Signal'!$B$5+'Small Signal'!$B$6)+('Small Signal'!$B$5+'Small Signal'!$B$6)*('Small Signal'!$B$9*'Small Signal'!$B$8*'Small Signal'!$B$59*'Small Signal'!$B$7)))),-1)</f>
        <v>-1.45618411650772+0.672441372070887i</v>
      </c>
      <c r="X120" s="292">
        <f t="shared" si="37"/>
        <v>0</v>
      </c>
      <c r="Y120" s="292">
        <f t="shared" si="38"/>
        <v>0</v>
      </c>
      <c r="Z120" s="292" t="str">
        <f t="shared" si="39"/>
        <v>1.00094393090639+0.0434752390015752i</v>
      </c>
      <c r="AA120" s="292" t="str">
        <f t="shared" si="40"/>
        <v>0.682144076392372+4.19699088009648i</v>
      </c>
      <c r="AB120" s="289">
        <f t="shared" si="56"/>
        <v>12.571996989606902</v>
      </c>
      <c r="AC120" s="292">
        <f t="shared" si="57"/>
        <v>80.768344033008873</v>
      </c>
      <c r="AD120" s="292" t="str">
        <f t="shared" si="41"/>
        <v>0.703930128737366+3.14162096257543i</v>
      </c>
      <c r="AE120" s="289">
        <f t="shared" si="42"/>
        <v>10.155818720294201</v>
      </c>
      <c r="AF120" s="292">
        <f t="shared" si="43"/>
        <v>77.370567776840346</v>
      </c>
      <c r="AH120" s="292" t="str">
        <f t="shared" si="44"/>
        <v>0.00075-0.175720681978975i</v>
      </c>
      <c r="AI120" s="292">
        <f t="shared" si="45"/>
        <v>0.95</v>
      </c>
      <c r="AJ120" s="292" t="str">
        <f t="shared" si="46"/>
        <v>1000-18556104.0169797i</v>
      </c>
      <c r="AK120" s="292" t="str">
        <f t="shared" si="47"/>
        <v>0.0321043778270437-0.169648428281642i</v>
      </c>
      <c r="AL120" s="292" t="str">
        <f t="shared" si="48"/>
        <v>1.18809047265254-0.00424003415468539i</v>
      </c>
      <c r="AM120" s="292" t="str">
        <f t="shared" si="49"/>
        <v>0.019+0.118559369897199i</v>
      </c>
      <c r="AN120" s="292" t="str">
        <f t="shared" si="50"/>
        <v>0.598281223067888-2.57747885380149i</v>
      </c>
      <c r="AO120" s="292">
        <f t="shared" si="58"/>
        <v>8.4518102350712123</v>
      </c>
      <c r="AP120" s="292">
        <f t="shared" si="59"/>
        <v>-76.931991593355846</v>
      </c>
      <c r="AR120" s="292" t="str">
        <f t="shared" si="51"/>
        <v>1.18809047265254-0.00424003415468539i</v>
      </c>
      <c r="AS120" s="292" t="str">
        <f t="shared" si="52"/>
        <v>0.598281223067888-2.57747885380149i</v>
      </c>
      <c r="AT120" s="292">
        <f t="shared" si="60"/>
        <v>8.4518102350712123</v>
      </c>
      <c r="AU120" s="292">
        <f t="shared" si="61"/>
        <v>-76.931991593355846</v>
      </c>
    </row>
    <row r="121" spans="6:47" x14ac:dyDescent="0.25">
      <c r="F121" s="292">
        <v>119</v>
      </c>
      <c r="G121" s="293">
        <f t="shared" si="32"/>
        <v>171.52394756581072</v>
      </c>
      <c r="H121" s="293">
        <f t="shared" si="33"/>
        <v>168.57881372500071</v>
      </c>
      <c r="I121" s="294">
        <f t="shared" si="34"/>
        <v>1</v>
      </c>
      <c r="J121" s="292">
        <f t="shared" si="53"/>
        <v>1</v>
      </c>
      <c r="K121" s="292">
        <f t="shared" si="53"/>
        <v>1</v>
      </c>
      <c r="L121" s="292">
        <f>10^('Small Signal'!F121/30)</f>
        <v>9261.187281287941</v>
      </c>
      <c r="M121" s="292" t="str">
        <f t="shared" si="54"/>
        <v>58189.7558528268i</v>
      </c>
      <c r="N121" s="292">
        <f>IF(D$32=1, IF(AND('Small Signal'!$B$63&gt;=1,FCCM=0),U121+0,R121+0), 0)</f>
        <v>0</v>
      </c>
      <c r="O121" s="292">
        <f>IF(D$32=1, IF(AND('Small Signal'!$B$63&gt;=1,FCCM=0),V121,S121), 0)</f>
        <v>0</v>
      </c>
      <c r="P121" s="292">
        <f>IF(AND('Small Signal'!$B$63&gt;=1,FCCM=0),AE121+0,AB121+0)</f>
        <v>11.856959317730769</v>
      </c>
      <c r="Q121" s="292">
        <f>IF(AND('Small Signal'!$B$63&gt;=1,FCCM=0),AF121,AC121)</f>
        <v>80.822073113889772</v>
      </c>
      <c r="R121" s="292">
        <f t="shared" si="55"/>
        <v>7.8413422681275993</v>
      </c>
      <c r="S121" s="292">
        <f t="shared" si="55"/>
        <v>-78.647136243751788</v>
      </c>
      <c r="T121" s="292" t="str">
        <f>IMDIV(IMSUM('Small Signal'!$B$76,IMPRODUCT(M121,'Small Signal'!$B$77)),IMSUM(IMPRODUCT('Small Signal'!$B$80,IMPOWER(M121,2)),IMSUM(IMPRODUCT(M121,'Small Signal'!$B$79),'Small Signal'!$B$78)))</f>
        <v>0.320675782741216-1.84565292124878i</v>
      </c>
      <c r="U121" s="292">
        <f t="shared" si="35"/>
        <v>5.4521649454284562</v>
      </c>
      <c r="V121" s="292">
        <f t="shared" si="36"/>
        <v>-80.143453986393709</v>
      </c>
      <c r="W121" s="292" t="str">
        <f>IMPRODUCT(IMDIV(IMSUM(IMPRODUCT(M121,'Small Signal'!$B$59*'Small Signal'!$B$6*'Small Signal'!$B$51*'Small Signal'!$B$7*'Small Signal'!$B$8),'Small Signal'!$B$59*'Small Signal'!$B$6*'Small Signal'!$B$51),IMSUM(IMSUM(IMPRODUCT(M121,('Small Signal'!$B$5+'Small Signal'!$B$6)*('Small Signal'!$B$58*'Small Signal'!$B$59)+'Small Signal'!$B$5*'Small Signal'!$B$59*('Small Signal'!$B$8+'Small Signal'!$B$9)+'Small Signal'!$B$6*'Small Signal'!$B$59*('Small Signal'!$B$8+'Small Signal'!$B$9)+'Small Signal'!$B$7*'Small Signal'!$B$8*('Small Signal'!$B$5+'Small Signal'!$B$6)),'Small Signal'!$B$6+'Small Signal'!$B$5),IMPRODUCT(IMPOWER(M121,2),'Small Signal'!$B$58*'Small Signal'!$B$59*'Small Signal'!$B$8*'Small Signal'!$B$7*('Small Signal'!$B$5+'Small Signal'!$B$6)+('Small Signal'!$B$5+'Small Signal'!$B$6)*('Small Signal'!$B$9*'Small Signal'!$B$8*'Small Signal'!$B$59*'Small Signal'!$B$7)))),-1)</f>
        <v>-1.45598194276146+0.624495572206324i</v>
      </c>
      <c r="X121" s="292">
        <f t="shared" si="37"/>
        <v>0</v>
      </c>
      <c r="Y121" s="292">
        <f t="shared" si="38"/>
        <v>0</v>
      </c>
      <c r="Z121" s="292" t="str">
        <f t="shared" si="39"/>
        <v>1.0011004566077+0.0469398136629i</v>
      </c>
      <c r="AA121" s="292" t="str">
        <f t="shared" si="40"/>
        <v>0.624613055798178+3.86591355388613i</v>
      </c>
      <c r="AB121" s="289">
        <f t="shared" si="56"/>
        <v>11.856959317730769</v>
      </c>
      <c r="AC121" s="292">
        <f t="shared" si="57"/>
        <v>80.822073113889772</v>
      </c>
      <c r="AD121" s="292" t="str">
        <f t="shared" si="41"/>
        <v>0.685703927997423+2.88749793237885i</v>
      </c>
      <c r="AE121" s="289">
        <f t="shared" si="42"/>
        <v>9.4486913014338345</v>
      </c>
      <c r="AF121" s="292">
        <f t="shared" si="43"/>
        <v>76.641224696176465</v>
      </c>
      <c r="AH121" s="292" t="str">
        <f t="shared" si="44"/>
        <v>0.00075-0.162738214500292i</v>
      </c>
      <c r="AI121" s="292">
        <f t="shared" si="45"/>
        <v>0.95</v>
      </c>
      <c r="AJ121" s="292" t="str">
        <f t="shared" si="46"/>
        <v>1000-17185155.4512309i</v>
      </c>
      <c r="AK121" s="292" t="str">
        <f t="shared" si="47"/>
        <v>0.0277694444185304-0.157856589591339i</v>
      </c>
      <c r="AL121" s="292" t="str">
        <f t="shared" si="48"/>
        <v>1.18808796211435-0.0045782738933403i</v>
      </c>
      <c r="AM121" s="292" t="str">
        <f t="shared" si="49"/>
        <v>0.019+0.128017462876219i</v>
      </c>
      <c r="AN121" s="292" t="str">
        <f t="shared" si="50"/>
        <v>0.485516892601492-2.41816112055412i</v>
      </c>
      <c r="AO121" s="292">
        <f t="shared" si="58"/>
        <v>7.8413422681275993</v>
      </c>
      <c r="AP121" s="292">
        <f t="shared" si="59"/>
        <v>-78.647136243751788</v>
      </c>
      <c r="AR121" s="292" t="str">
        <f t="shared" si="51"/>
        <v>1.18808796211435-0.0045782738933403i</v>
      </c>
      <c r="AS121" s="292" t="str">
        <f t="shared" si="52"/>
        <v>0.485516892601492-2.41816112055412i</v>
      </c>
      <c r="AT121" s="292">
        <f t="shared" si="60"/>
        <v>7.8413422681275993</v>
      </c>
      <c r="AU121" s="292">
        <f t="shared" si="61"/>
        <v>-78.647136243751788</v>
      </c>
    </row>
    <row r="122" spans="6:47" x14ac:dyDescent="0.25">
      <c r="F122" s="292">
        <v>120</v>
      </c>
      <c r="G122" s="293">
        <f t="shared" si="32"/>
        <v>171.75812135335252</v>
      </c>
      <c r="H122" s="293">
        <f t="shared" si="33"/>
        <v>168.57881372500071</v>
      </c>
      <c r="I122" s="294">
        <f t="shared" si="34"/>
        <v>1</v>
      </c>
      <c r="J122" s="292">
        <f t="shared" si="53"/>
        <v>1</v>
      </c>
      <c r="K122" s="292">
        <f t="shared" si="53"/>
        <v>1</v>
      </c>
      <c r="L122" s="292">
        <f>10^('Small Signal'!F122/30)</f>
        <v>10000</v>
      </c>
      <c r="M122" s="292" t="str">
        <f t="shared" si="54"/>
        <v>62831.8530717959i</v>
      </c>
      <c r="N122" s="292">
        <f>IF(D$32=1, IF(AND('Small Signal'!$B$63&gt;=1,FCCM=0),U122+0,R122+0), 0)</f>
        <v>0</v>
      </c>
      <c r="O122" s="292">
        <f>IF(D$32=1, IF(AND('Small Signal'!$B$63&gt;=1,FCCM=0),V122,S122), 0)</f>
        <v>0</v>
      </c>
      <c r="P122" s="292">
        <f>IF(AND('Small Signal'!$B$63&gt;=1,FCCM=0),AE122+0,AB122+0)</f>
        <v>11.146190766412452</v>
      </c>
      <c r="Q122" s="292">
        <f>IF(AND('Small Signal'!$B$63&gt;=1,FCCM=0),AF122,AC122)</f>
        <v>80.849896733602776</v>
      </c>
      <c r="R122" s="292">
        <f t="shared" si="55"/>
        <v>7.2216013132233794</v>
      </c>
      <c r="S122" s="292">
        <f t="shared" si="55"/>
        <v>-80.317229448516642</v>
      </c>
      <c r="T122" s="292" t="str">
        <f>IMDIV(IMSUM('Small Signal'!$B$76,IMPRODUCT(M122,'Small Signal'!$B$77)),IMSUM(IMPRODUCT('Small Signal'!$B$80,IMPOWER(M122,2)),IMSUM(IMPRODUCT(M122,'Small Signal'!$B$79),'Small Signal'!$B$78)))</f>
        <v>0.230258818797218-1.73000329544297i</v>
      </c>
      <c r="U122" s="292">
        <f t="shared" si="35"/>
        <v>4.8371999336241291</v>
      </c>
      <c r="V122" s="292">
        <f t="shared" si="36"/>
        <v>-82.41864286819326</v>
      </c>
      <c r="W122" s="292" t="str">
        <f>IMPRODUCT(IMDIV(IMSUM(IMPRODUCT(M122,'Small Signal'!$B$59*'Small Signal'!$B$6*'Small Signal'!$B$51*'Small Signal'!$B$7*'Small Signal'!$B$8),'Small Signal'!$B$59*'Small Signal'!$B$6*'Small Signal'!$B$51),IMSUM(IMSUM(IMPRODUCT(M122,('Small Signal'!$B$5+'Small Signal'!$B$6)*('Small Signal'!$B$58*'Small Signal'!$B$59)+'Small Signal'!$B$5*'Small Signal'!$B$59*('Small Signal'!$B$8+'Small Signal'!$B$9)+'Small Signal'!$B$6*'Small Signal'!$B$59*('Small Signal'!$B$8+'Small Signal'!$B$9)+'Small Signal'!$B$7*'Small Signal'!$B$8*('Small Signal'!$B$5+'Small Signal'!$B$6)),'Small Signal'!$B$6+'Small Signal'!$B$5),IMPRODUCT(IMPOWER(M122,2),'Small Signal'!$B$58*'Small Signal'!$B$59*'Small Signal'!$B$8*'Small Signal'!$B$7*('Small Signal'!$B$5+'Small Signal'!$B$6)+('Small Signal'!$B$5+'Small Signal'!$B$6)*('Small Signal'!$B$9*'Small Signal'!$B$8*'Small Signal'!$B$59*'Small Signal'!$B$7)))),-1)</f>
        <v>-1.45580405927989+0.580230341375864i</v>
      </c>
      <c r="X122" s="292">
        <f t="shared" si="37"/>
        <v>0</v>
      </c>
      <c r="Y122" s="292">
        <f t="shared" si="38"/>
        <v>0</v>
      </c>
      <c r="Z122" s="292" t="str">
        <f t="shared" si="39"/>
        <v>1.00128292128147+0.050679825962933i</v>
      </c>
      <c r="AA122" s="292" t="str">
        <f t="shared" si="40"/>
        <v>0.573806277376735+3.5624414333374i</v>
      </c>
      <c r="AB122" s="289">
        <f t="shared" si="56"/>
        <v>11.146190766412452</v>
      </c>
      <c r="AC122" s="292">
        <f t="shared" si="57"/>
        <v>80.849896733602776</v>
      </c>
      <c r="AD122" s="292" t="str">
        <f t="shared" si="41"/>
        <v>0.668588679606262+2.65214897310898i</v>
      </c>
      <c r="AE122" s="289">
        <f t="shared" si="42"/>
        <v>8.7395413956089065</v>
      </c>
      <c r="AF122" s="292">
        <f t="shared" si="43"/>
        <v>75.850936365384555</v>
      </c>
      <c r="AH122" s="292" t="str">
        <f t="shared" si="44"/>
        <v>0.00075-0.150714908230961i</v>
      </c>
      <c r="AI122" s="292">
        <f t="shared" si="45"/>
        <v>0.95</v>
      </c>
      <c r="AJ122" s="292" t="str">
        <f t="shared" si="46"/>
        <v>1000-15915494.3091895i</v>
      </c>
      <c r="AK122" s="292" t="str">
        <f t="shared" si="47"/>
        <v>0.0240186374792301-0.14678852985161i</v>
      </c>
      <c r="AL122" s="292" t="str">
        <f t="shared" si="48"/>
        <v>1.18808503505512-0.0049434942571831i</v>
      </c>
      <c r="AM122" s="292" t="str">
        <f t="shared" si="49"/>
        <v>0.019+0.138230076757951i</v>
      </c>
      <c r="AN122" s="292" t="str">
        <f t="shared" si="50"/>
        <v>0.386267243685678-2.2638552449195i</v>
      </c>
      <c r="AO122" s="292">
        <f t="shared" si="58"/>
        <v>7.2216013132233794</v>
      </c>
      <c r="AP122" s="292">
        <f t="shared" si="59"/>
        <v>-80.317229448516642</v>
      </c>
      <c r="AR122" s="292" t="str">
        <f t="shared" si="51"/>
        <v>1.18808503505512-0.0049434942571831i</v>
      </c>
      <c r="AS122" s="292" t="str">
        <f t="shared" si="52"/>
        <v>0.386267243685678-2.2638552449195i</v>
      </c>
      <c r="AT122" s="292">
        <f t="shared" si="60"/>
        <v>7.2216013132233794</v>
      </c>
      <c r="AU122" s="292">
        <f t="shared" si="61"/>
        <v>-80.317229448516642</v>
      </c>
    </row>
    <row r="123" spans="6:47" x14ac:dyDescent="0.25">
      <c r="F123" s="292">
        <v>121</v>
      </c>
      <c r="G123" s="293">
        <f t="shared" si="32"/>
        <v>172.01077657756412</v>
      </c>
      <c r="H123" s="293">
        <f t="shared" si="33"/>
        <v>168.57881372500071</v>
      </c>
      <c r="I123" s="294">
        <f t="shared" si="34"/>
        <v>1</v>
      </c>
      <c r="J123" s="292">
        <f t="shared" si="53"/>
        <v>1</v>
      </c>
      <c r="K123" s="292">
        <f t="shared" si="53"/>
        <v>1</v>
      </c>
      <c r="L123" s="292">
        <f>10^('Small Signal'!F123/30)</f>
        <v>10797.751623277109</v>
      </c>
      <c r="M123" s="292" t="str">
        <f t="shared" si="54"/>
        <v>67844.2743499492i</v>
      </c>
      <c r="N123" s="292">
        <f>IF(D$32=1, IF(AND('Small Signal'!$B$63&gt;=1,FCCM=0),U123+0,R123+0), 0)</f>
        <v>0</v>
      </c>
      <c r="O123" s="292">
        <f>IF(D$32=1, IF(AND('Small Signal'!$B$63&gt;=1,FCCM=0),V123,S123), 0)</f>
        <v>0</v>
      </c>
      <c r="P123" s="292">
        <f>IF(AND('Small Signal'!$B$63&gt;=1,FCCM=0),AE123+0,AB123+0)</f>
        <v>10.439211567787481</v>
      </c>
      <c r="Q123" s="292">
        <f>IF(AND('Small Signal'!$B$63&gt;=1,FCCM=0),AF123,AC123)</f>
        <v>80.847665493954381</v>
      </c>
      <c r="R123" s="292">
        <f t="shared" si="55"/>
        <v>6.5934003489085651</v>
      </c>
      <c r="S123" s="292">
        <f t="shared" si="55"/>
        <v>-81.94758063603561</v>
      </c>
      <c r="T123" s="292" t="str">
        <f>IMDIV(IMSUM('Small Signal'!$B$76,IMPRODUCT(M123,'Small Signal'!$B$77)),IMSUM(IMPRODUCT('Small Signal'!$B$80,IMPOWER(M123,2)),IMSUM(IMPRODUCT(M123,'Small Signal'!$B$79),'Small Signal'!$B$78)))</f>
        <v>0.150702684405497-1.61625640185216i</v>
      </c>
      <c r="U123" s="292">
        <f t="shared" si="35"/>
        <v>4.2077996944386982</v>
      </c>
      <c r="V123" s="292">
        <f t="shared" si="36"/>
        <v>-84.673039353079346</v>
      </c>
      <c r="W123" s="292" t="str">
        <f>IMPRODUCT(IMDIV(IMSUM(IMPRODUCT(M123,'Small Signal'!$B$59*'Small Signal'!$B$6*'Small Signal'!$B$51*'Small Signal'!$B$7*'Small Signal'!$B$8),'Small Signal'!$B$59*'Small Signal'!$B$6*'Small Signal'!$B$51),IMSUM(IMSUM(IMPRODUCT(M123,('Small Signal'!$B$5+'Small Signal'!$B$6)*('Small Signal'!$B$58*'Small Signal'!$B$59)+'Small Signal'!$B$5*'Small Signal'!$B$59*('Small Signal'!$B$8+'Small Signal'!$B$9)+'Small Signal'!$B$6*'Small Signal'!$B$59*('Small Signal'!$B$8+'Small Signal'!$B$9)+'Small Signal'!$B$7*'Small Signal'!$B$8*('Small Signal'!$B$5+'Small Signal'!$B$6)),'Small Signal'!$B$6+'Small Signal'!$B$5),IMPRODUCT(IMPOWER(M123,2),'Small Signal'!$B$58*'Small Signal'!$B$59*'Small Signal'!$B$8*'Small Signal'!$B$7*('Small Signal'!$B$5+'Small Signal'!$B$6)+('Small Signal'!$B$5+'Small Signal'!$B$6)*('Small Signal'!$B$9*'Small Signal'!$B$8*'Small Signal'!$B$59*'Small Signal'!$B$7)))),-1)</f>
        <v>-1.45564626643747+0.539384795011597i</v>
      </c>
      <c r="X123" s="292">
        <f t="shared" si="37"/>
        <v>0</v>
      </c>
      <c r="Y123" s="292">
        <f t="shared" si="38"/>
        <v>0</v>
      </c>
      <c r="Z123" s="292" t="str">
        <f t="shared" si="39"/>
        <v>1.00149561748582+0.0547170035342439i</v>
      </c>
      <c r="AA123" s="292" t="str">
        <f t="shared" si="40"/>
        <v>0.52907997258247+3.28394631567289i</v>
      </c>
      <c r="AB123" s="289">
        <f t="shared" si="56"/>
        <v>10.439211567787481</v>
      </c>
      <c r="AC123" s="292">
        <f t="shared" si="57"/>
        <v>80.847665493954381</v>
      </c>
      <c r="AD123" s="292" t="str">
        <f t="shared" si="41"/>
        <v>0.652414328102243+2.43398433349751i</v>
      </c>
      <c r="AE123" s="289">
        <f t="shared" si="42"/>
        <v>8.0276854048418951</v>
      </c>
      <c r="AF123" s="292">
        <f t="shared" si="43"/>
        <v>74.994944413783998</v>
      </c>
      <c r="AH123" s="292" t="str">
        <f t="shared" si="44"/>
        <v>0.00075-0.139579899120906i</v>
      </c>
      <c r="AI123" s="292">
        <f t="shared" si="45"/>
        <v>0.95</v>
      </c>
      <c r="AJ123" s="292" t="str">
        <f t="shared" si="46"/>
        <v>1000-14739637.3471677i</v>
      </c>
      <c r="AK123" s="292" t="str">
        <f t="shared" si="47"/>
        <v>0.0207771944208536-0.136419483815214i</v>
      </c>
      <c r="AL123" s="292" t="str">
        <f t="shared" si="48"/>
        <v>1.18808162237282-0.00533784698141966i</v>
      </c>
      <c r="AM123" s="292" t="str">
        <f t="shared" si="49"/>
        <v>0.019+0.149257403569888i</v>
      </c>
      <c r="AN123" s="292" t="str">
        <f t="shared" si="50"/>
        <v>0.299256189333883-2.11527465690522i</v>
      </c>
      <c r="AO123" s="292">
        <f t="shared" si="58"/>
        <v>6.5934003489085651</v>
      </c>
      <c r="AP123" s="292">
        <f t="shared" si="59"/>
        <v>-81.94758063603561</v>
      </c>
      <c r="AR123" s="292" t="str">
        <f t="shared" si="51"/>
        <v>1.18808162237282-0.00533784698141966i</v>
      </c>
      <c r="AS123" s="292" t="str">
        <f t="shared" si="52"/>
        <v>0.299256189333883-2.11527465690522i</v>
      </c>
      <c r="AT123" s="292">
        <f t="shared" si="60"/>
        <v>6.5934003489085651</v>
      </c>
      <c r="AU123" s="292">
        <f t="shared" si="61"/>
        <v>-81.94758063603561</v>
      </c>
    </row>
    <row r="124" spans="6:47" x14ac:dyDescent="0.25">
      <c r="F124" s="292">
        <v>122</v>
      </c>
      <c r="G124" s="293">
        <f t="shared" si="32"/>
        <v>172.28333622639582</v>
      </c>
      <c r="H124" s="293">
        <f t="shared" si="33"/>
        <v>168.57881372500071</v>
      </c>
      <c r="I124" s="294">
        <f t="shared" si="34"/>
        <v>1</v>
      </c>
      <c r="J124" s="292">
        <f t="shared" si="53"/>
        <v>1</v>
      </c>
      <c r="K124" s="292">
        <f t="shared" si="53"/>
        <v>1</v>
      </c>
      <c r="L124" s="292">
        <f>10^('Small Signal'!F124/30)</f>
        <v>11659.144011798313</v>
      </c>
      <c r="M124" s="292" t="str">
        <f t="shared" si="54"/>
        <v>73256.562349222i</v>
      </c>
      <c r="N124" s="292">
        <f>IF(D$32=1, IF(AND('Small Signal'!$B$63&gt;=1,FCCM=0),U124+0,R124+0), 0)</f>
        <v>0</v>
      </c>
      <c r="O124" s="292">
        <f>IF(D$32=1, IF(AND('Small Signal'!$B$63&gt;=1,FCCM=0),V124,S124), 0)</f>
        <v>0</v>
      </c>
      <c r="P124" s="292">
        <f>IF(AND('Small Signal'!$B$63&gt;=1,FCCM=0),AE124+0,AB124+0)</f>
        <v>9.7355139242884157</v>
      </c>
      <c r="Q124" s="292">
        <f>IF(AND('Small Signal'!$B$63&gt;=1,FCCM=0),AF124,AC124)</f>
        <v>80.81170132140376</v>
      </c>
      <c r="R124" s="292">
        <f t="shared" si="55"/>
        <v>5.9574273468466723</v>
      </c>
      <c r="S124" s="292">
        <f t="shared" si="55"/>
        <v>-83.543960029228899</v>
      </c>
      <c r="T124" s="292" t="str">
        <f>IMDIV(IMSUM('Small Signal'!$B$76,IMPRODUCT(M124,'Small Signal'!$B$77)),IMSUM(IMPRODUCT('Small Signal'!$B$80,IMPOWER(M124,2)),IMSUM(IMPRODUCT(M124,'Small Signal'!$B$79),'Small Signal'!$B$78)))</f>
        <v>0.0812014372484118-1.50519460636194i</v>
      </c>
      <c r="U124" s="292">
        <f t="shared" si="35"/>
        <v>3.5644741110165512</v>
      </c>
      <c r="V124" s="292">
        <f t="shared" si="36"/>
        <v>-86.912031138827189</v>
      </c>
      <c r="W124" s="292" t="str">
        <f>IMPRODUCT(IMDIV(IMSUM(IMPRODUCT(M124,'Small Signal'!$B$59*'Small Signal'!$B$6*'Small Signal'!$B$51*'Small Signal'!$B$7*'Small Signal'!$B$8),'Small Signal'!$B$59*'Small Signal'!$B$6*'Small Signal'!$B$51),IMSUM(IMSUM(IMPRODUCT(M124,('Small Signal'!$B$5+'Small Signal'!$B$6)*('Small Signal'!$B$58*'Small Signal'!$B$59)+'Small Signal'!$B$5*'Small Signal'!$B$59*('Small Signal'!$B$8+'Small Signal'!$B$9)+'Small Signal'!$B$6*'Small Signal'!$B$59*('Small Signal'!$B$8+'Small Signal'!$B$9)+'Small Signal'!$B$7*'Small Signal'!$B$8*('Small Signal'!$B$5+'Small Signal'!$B$6)),'Small Signal'!$B$6+'Small Signal'!$B$5),IMPRODUCT(IMPOWER(M124,2),'Small Signal'!$B$58*'Small Signal'!$B$59*'Small Signal'!$B$8*'Small Signal'!$B$7*('Small Signal'!$B$5+'Small Signal'!$B$6)+('Small Signal'!$B$5+'Small Signal'!$B$6)*('Small Signal'!$B$9*'Small Signal'!$B$8*'Small Signal'!$B$59*'Small Signal'!$B$7)))),-1)</f>
        <v>-1.45550483900144+0.501718196890556i</v>
      </c>
      <c r="X124" s="292">
        <f t="shared" si="37"/>
        <v>0</v>
      </c>
      <c r="Y124" s="292">
        <f t="shared" si="38"/>
        <v>0</v>
      </c>
      <c r="Z124" s="292" t="str">
        <f t="shared" si="39"/>
        <v>1.00174354599729+0.0590747439524127i</v>
      </c>
      <c r="AA124" s="292" t="str">
        <f t="shared" si="40"/>
        <v>0.489807116915419+3.02807870789102i</v>
      </c>
      <c r="AB124" s="289">
        <f t="shared" si="56"/>
        <v>9.7355139242884157</v>
      </c>
      <c r="AC124" s="292">
        <f t="shared" si="57"/>
        <v>80.81170132140376</v>
      </c>
      <c r="AD124" s="292" t="str">
        <f t="shared" si="41"/>
        <v>0.636994439024367+2.23155827187987i</v>
      </c>
      <c r="AE124" s="289">
        <f t="shared" si="42"/>
        <v>7.3123524229602088</v>
      </c>
      <c r="AF124" s="292">
        <f t="shared" si="43"/>
        <v>74.068696574747889</v>
      </c>
      <c r="AH124" s="292" t="str">
        <f t="shared" si="44"/>
        <v>0.00075-0.129267558646199i</v>
      </c>
      <c r="AI124" s="292">
        <f t="shared" si="45"/>
        <v>0.95</v>
      </c>
      <c r="AJ124" s="292" t="str">
        <f t="shared" si="46"/>
        <v>1000-13650654.1930386i</v>
      </c>
      <c r="AK124" s="292" t="str">
        <f t="shared" si="47"/>
        <v>0.0179788882220335-0.126721107112459i</v>
      </c>
      <c r="AL124" s="292" t="str">
        <f t="shared" si="48"/>
        <v>1.18807764350214-0.00576365528836783i</v>
      </c>
      <c r="AM124" s="292" t="str">
        <f t="shared" si="49"/>
        <v>0.019+0.161164437168288i</v>
      </c>
      <c r="AN124" s="292" t="str">
        <f t="shared" si="50"/>
        <v>0.223252096670771-1.97291549400691i</v>
      </c>
      <c r="AO124" s="292">
        <f t="shared" si="58"/>
        <v>5.9574273468466723</v>
      </c>
      <c r="AP124" s="292">
        <f t="shared" si="59"/>
        <v>-83.543960029228899</v>
      </c>
      <c r="AR124" s="292" t="str">
        <f t="shared" si="51"/>
        <v>1.18807764350214-0.00576365528836783i</v>
      </c>
      <c r="AS124" s="292" t="str">
        <f t="shared" si="52"/>
        <v>0.223252096670771-1.97291549400691i</v>
      </c>
      <c r="AT124" s="292">
        <f t="shared" si="60"/>
        <v>5.9574273468466723</v>
      </c>
      <c r="AU124" s="292">
        <f t="shared" si="61"/>
        <v>-83.543960029228899</v>
      </c>
    </row>
    <row r="125" spans="6:47" x14ac:dyDescent="0.25">
      <c r="F125" s="292">
        <v>123</v>
      </c>
      <c r="G125" s="293">
        <f t="shared" si="32"/>
        <v>172.57732367521859</v>
      </c>
      <c r="H125" s="293">
        <f t="shared" si="33"/>
        <v>168.57881372500071</v>
      </c>
      <c r="I125" s="294">
        <f t="shared" si="34"/>
        <v>1</v>
      </c>
      <c r="J125" s="292">
        <f t="shared" si="53"/>
        <v>1</v>
      </c>
      <c r="K125" s="292">
        <f t="shared" si="53"/>
        <v>1</v>
      </c>
      <c r="L125" s="292">
        <f>10^('Small Signal'!F125/30)</f>
        <v>12589.254117941671</v>
      </c>
      <c r="M125" s="292" t="str">
        <f t="shared" si="54"/>
        <v>79100.6165022012i</v>
      </c>
      <c r="N125" s="292">
        <f>IF(D$32=1, IF(AND('Small Signal'!$B$63&gt;=1,FCCM=0),U125+0,R125+0), 0)</f>
        <v>0</v>
      </c>
      <c r="O125" s="292">
        <f>IF(D$32=1, IF(AND('Small Signal'!$B$63&gt;=1,FCCM=0),V125,S125), 0)</f>
        <v>0</v>
      </c>
      <c r="P125" s="292">
        <f>IF(AND('Small Signal'!$B$63&gt;=1,FCCM=0),AE125+0,AB125+0)</f>
        <v>9.034573270606959</v>
      </c>
      <c r="Q125" s="292">
        <f>IF(AND('Small Signal'!$B$63&gt;=1,FCCM=0),AF125,AC125)</f>
        <v>80.738742951082827</v>
      </c>
      <c r="R125" s="292">
        <f t="shared" si="55"/>
        <v>5.3142455130862825</v>
      </c>
      <c r="S125" s="292">
        <f t="shared" si="55"/>
        <v>-85.112496518562878</v>
      </c>
      <c r="T125" s="292" t="str">
        <f>IMDIV(IMSUM('Small Signal'!$B$76,IMPRODUCT(M125,'Small Signal'!$B$77)),IMSUM(IMPRODUCT('Small Signal'!$B$80,IMPOWER(M125,2)),IMSUM(IMPRODUCT(M125,'Small Signal'!$B$79),'Small Signal'!$B$78)))</f>
        <v>0.0209413757909519-1.39742582055751i</v>
      </c>
      <c r="U125" s="292">
        <f t="shared" si="35"/>
        <v>2.907550459240142</v>
      </c>
      <c r="V125" s="292">
        <f t="shared" si="36"/>
        <v>-89.141448063091516</v>
      </c>
      <c r="W125" s="292" t="str">
        <f>IMPRODUCT(IMDIV(IMSUM(IMPRODUCT(M125,'Small Signal'!$B$59*'Small Signal'!$B$6*'Small Signal'!$B$51*'Small Signal'!$B$7*'Small Signal'!$B$8),'Small Signal'!$B$59*'Small Signal'!$B$6*'Small Signal'!$B$51),IMSUM(IMSUM(IMPRODUCT(M125,('Small Signal'!$B$5+'Small Signal'!$B$6)*('Small Signal'!$B$58*'Small Signal'!$B$59)+'Small Signal'!$B$5*'Small Signal'!$B$59*('Small Signal'!$B$8+'Small Signal'!$B$9)+'Small Signal'!$B$6*'Small Signal'!$B$59*('Small Signal'!$B$8+'Small Signal'!$B$9)+'Small Signal'!$B$7*'Small Signal'!$B$8*('Small Signal'!$B$5+'Small Signal'!$B$6)),'Small Signal'!$B$6+'Small Signal'!$B$5),IMPRODUCT(IMPOWER(M125,2),'Small Signal'!$B$58*'Small Signal'!$B$59*'Small Signal'!$B$8*'Small Signal'!$B$7*('Small Signal'!$B$5+'Small Signal'!$B$6)+('Small Signal'!$B$5+'Small Signal'!$B$6)*('Small Signal'!$B$9*'Small Signal'!$B$8*'Small Signal'!$B$59*'Small Signal'!$B$7)))),-1)</f>
        <v>-1.45537643820698+0.467008540419623i</v>
      </c>
      <c r="X125" s="292">
        <f t="shared" si="37"/>
        <v>0</v>
      </c>
      <c r="Y125" s="292">
        <f t="shared" si="38"/>
        <v>0</v>
      </c>
      <c r="Z125" s="292" t="str">
        <f t="shared" si="39"/>
        <v>1.00203253188849+0.0637782316244214i</v>
      </c>
      <c r="AA125" s="292" t="str">
        <f t="shared" si="40"/>
        <v>0.4553896567883+2.79273875920282i</v>
      </c>
      <c r="AB125" s="289">
        <f t="shared" si="56"/>
        <v>9.034573270606959</v>
      </c>
      <c r="AC125" s="292">
        <f t="shared" si="57"/>
        <v>80.738742951082827</v>
      </c>
      <c r="AD125" s="292" t="str">
        <f t="shared" si="41"/>
        <v>0.622132207893467+2.04356041472397i</v>
      </c>
      <c r="AE125" s="289">
        <f t="shared" si="42"/>
        <v>6.5926832870414218</v>
      </c>
      <c r="AF125" s="292">
        <f t="shared" si="43"/>
        <v>73.067892860907193</v>
      </c>
      <c r="AH125" s="292" t="str">
        <f t="shared" si="44"/>
        <v>0.00075-0.119717107001732i</v>
      </c>
      <c r="AI125" s="292">
        <f t="shared" si="45"/>
        <v>0.95</v>
      </c>
      <c r="AJ125" s="292" t="str">
        <f t="shared" si="46"/>
        <v>1000-12642126.4993829i</v>
      </c>
      <c r="AK125" s="292" t="str">
        <f t="shared" si="47"/>
        <v>0.0155653307149583-0.11766270232056i</v>
      </c>
      <c r="AL125" s="292" t="str">
        <f t="shared" si="48"/>
        <v>1.18807300451316-0.00622342752439827i</v>
      </c>
      <c r="AM125" s="292" t="str">
        <f t="shared" si="49"/>
        <v>0.019+0.174021356304843i</v>
      </c>
      <c r="AN125" s="292" t="str">
        <f t="shared" si="50"/>
        <v>0.157090490897943-1.83708927013184i</v>
      </c>
      <c r="AO125" s="292">
        <f t="shared" si="58"/>
        <v>5.3142455130862825</v>
      </c>
      <c r="AP125" s="292">
        <f t="shared" si="59"/>
        <v>-85.112496518562878</v>
      </c>
      <c r="AR125" s="292" t="str">
        <f t="shared" si="51"/>
        <v>1.18807300451316-0.00622342752439827i</v>
      </c>
      <c r="AS125" s="292" t="str">
        <f t="shared" si="52"/>
        <v>0.157090490897943-1.83708927013184i</v>
      </c>
      <c r="AT125" s="292">
        <f t="shared" si="60"/>
        <v>5.3142455130862825</v>
      </c>
      <c r="AU125" s="292">
        <f t="shared" si="61"/>
        <v>-85.112496518562878</v>
      </c>
    </row>
    <row r="126" spans="6:47" x14ac:dyDescent="0.25">
      <c r="F126" s="292">
        <v>124</v>
      </c>
      <c r="G126" s="293">
        <f t="shared" si="32"/>
        <v>172.89436737364085</v>
      </c>
      <c r="H126" s="293">
        <f t="shared" si="33"/>
        <v>168.57881372500071</v>
      </c>
      <c r="I126" s="294">
        <f t="shared" si="34"/>
        <v>1</v>
      </c>
      <c r="J126" s="292">
        <f t="shared" si="53"/>
        <v>1</v>
      </c>
      <c r="K126" s="292">
        <f t="shared" si="53"/>
        <v>1</v>
      </c>
      <c r="L126" s="292">
        <f>10^('Small Signal'!F126/30)</f>
        <v>13593.563908785283</v>
      </c>
      <c r="M126" s="292" t="str">
        <f t="shared" si="54"/>
        <v>85410.8810238864i</v>
      </c>
      <c r="N126" s="292">
        <f>IF(D$32=1, IF(AND('Small Signal'!$B$63&gt;=1,FCCM=0),U126+0,R126+0), 0)</f>
        <v>0</v>
      </c>
      <c r="O126" s="292">
        <f>IF(D$32=1, IF(AND('Small Signal'!$B$63&gt;=1,FCCM=0),V126,S126), 0)</f>
        <v>0</v>
      </c>
      <c r="P126" s="292">
        <f>IF(AND('Small Signal'!$B$63&gt;=1,FCCM=0),AE126+0,AB126+0)</f>
        <v>8.3358560257627516</v>
      </c>
      <c r="Q126" s="292">
        <f>IF(AND('Small Signal'!$B$63&gt;=1,FCCM=0),AF126,AC126)</f>
        <v>80.625886556264263</v>
      </c>
      <c r="R126" s="292">
        <f t="shared" si="55"/>
        <v>4.6642944637239037</v>
      </c>
      <c r="S126" s="292">
        <f t="shared" si="55"/>
        <v>-86.659589005434285</v>
      </c>
      <c r="T126" s="292" t="str">
        <f>IMDIV(IMSUM('Small Signal'!$B$76,IMPRODUCT(M126,'Small Signal'!$B$77)),IMSUM(IMPRODUCT('Small Signal'!$B$80,IMPOWER(M126,2)),IMSUM(IMPRODUCT(M126,'Small Signal'!$B$79),'Small Signal'!$B$78)))</f>
        <v>-0.0308728302782775-1.29340543314286i</v>
      </c>
      <c r="U126" s="292">
        <f t="shared" si="35"/>
        <v>2.2371673022787735</v>
      </c>
      <c r="V126" s="292">
        <f t="shared" si="36"/>
        <v>-91.367357060924519</v>
      </c>
      <c r="W126" s="292" t="str">
        <f>IMPRODUCT(IMDIV(IMSUM(IMPRODUCT(M126,'Small Signal'!$B$59*'Small Signal'!$B$6*'Small Signal'!$B$51*'Small Signal'!$B$7*'Small Signal'!$B$8),'Small Signal'!$B$59*'Small Signal'!$B$6*'Small Signal'!$B$51),IMSUM(IMSUM(IMPRODUCT(M126,('Small Signal'!$B$5+'Small Signal'!$B$6)*('Small Signal'!$B$58*'Small Signal'!$B$59)+'Small Signal'!$B$5*'Small Signal'!$B$59*('Small Signal'!$B$8+'Small Signal'!$B$9)+'Small Signal'!$B$6*'Small Signal'!$B$59*('Small Signal'!$B$8+'Small Signal'!$B$9)+'Small Signal'!$B$7*'Small Signal'!$B$8*('Small Signal'!$B$5+'Small Signal'!$B$6)),'Small Signal'!$B$6+'Small Signal'!$B$5),IMPRODUCT(IMPOWER(M126,2),'Small Signal'!$B$58*'Small Signal'!$B$59*'Small Signal'!$B$8*'Small Signal'!$B$7*('Small Signal'!$B$5+'Small Signal'!$B$6)+('Small Signal'!$B$5+'Small Signal'!$B$6)*('Small Signal'!$B$9*'Small Signal'!$B$8*'Small Signal'!$B$59*'Small Signal'!$B$7)))),-1)</f>
        <v>-1.45525803296377+0.435051239951933i</v>
      </c>
      <c r="X126" s="292">
        <f t="shared" si="37"/>
        <v>0</v>
      </c>
      <c r="Y126" s="292">
        <f t="shared" si="38"/>
        <v>0</v>
      </c>
      <c r="Z126" s="292" t="str">
        <f t="shared" si="39"/>
        <v>1.00236935935483+0.0688545598103555i</v>
      </c>
      <c r="AA126" s="292" t="str">
        <f t="shared" si="40"/>
        <v>0.425266441487339+2.57604885914331i</v>
      </c>
      <c r="AB126" s="289">
        <f t="shared" si="56"/>
        <v>8.3358560257627516</v>
      </c>
      <c r="AC126" s="292">
        <f t="shared" si="57"/>
        <v>80.625886556264263</v>
      </c>
      <c r="AD126" s="292" t="str">
        <f t="shared" si="41"/>
        <v>0.607625571712159+1.86880738336674i</v>
      </c>
      <c r="AE126" s="289">
        <f t="shared" si="42"/>
        <v>5.8677289457075208</v>
      </c>
      <c r="AF126" s="292">
        <f t="shared" si="43"/>
        <v>71.9885409271361</v>
      </c>
      <c r="AH126" s="292" t="str">
        <f t="shared" si="44"/>
        <v>0.00075-0.110872254871702i</v>
      </c>
      <c r="AI126" s="292">
        <f t="shared" si="45"/>
        <v>0.95</v>
      </c>
      <c r="AJ126" s="292" t="str">
        <f t="shared" si="46"/>
        <v>1000-11708110.1144518i</v>
      </c>
      <c r="AK126" s="292" t="str">
        <f t="shared" si="47"/>
        <v>0.0134852515899359-0.109212201835543i</v>
      </c>
      <c r="AL126" s="292" t="str">
        <f t="shared" si="48"/>
        <v>1.18806759589483-0.0067198718735112i</v>
      </c>
      <c r="AM126" s="292" t="str">
        <f t="shared" si="49"/>
        <v>0.019+0.18790393825255i</v>
      </c>
      <c r="AN126" s="292" t="str">
        <f t="shared" si="50"/>
        <v>0.0996887011532226-1.70795417980617i</v>
      </c>
      <c r="AO126" s="292">
        <f t="shared" si="58"/>
        <v>4.6642944637239037</v>
      </c>
      <c r="AP126" s="292">
        <f t="shared" si="59"/>
        <v>-86.659589005434285</v>
      </c>
      <c r="AR126" s="292" t="str">
        <f t="shared" si="51"/>
        <v>1.18806759589483-0.0067198718735112i</v>
      </c>
      <c r="AS126" s="292" t="str">
        <f t="shared" si="52"/>
        <v>0.0996887011532226-1.70795417980617i</v>
      </c>
      <c r="AT126" s="292">
        <f t="shared" si="60"/>
        <v>4.6642944637239037</v>
      </c>
      <c r="AU126" s="292">
        <f t="shared" si="61"/>
        <v>-86.659589005434285</v>
      </c>
    </row>
    <row r="127" spans="6:47" x14ac:dyDescent="0.25">
      <c r="F127" s="292">
        <v>125</v>
      </c>
      <c r="G127" s="293">
        <f t="shared" si="32"/>
        <v>173.23620508227103</v>
      </c>
      <c r="H127" s="293">
        <f t="shared" si="33"/>
        <v>168.57881372500071</v>
      </c>
      <c r="I127" s="294">
        <f t="shared" si="34"/>
        <v>1</v>
      </c>
      <c r="J127" s="292">
        <f t="shared" si="53"/>
        <v>1</v>
      </c>
      <c r="K127" s="292">
        <f t="shared" si="53"/>
        <v>1</v>
      </c>
      <c r="L127" s="292">
        <f>10^('Small Signal'!F127/30)</f>
        <v>14677.992676220729</v>
      </c>
      <c r="M127" s="292" t="str">
        <f t="shared" si="54"/>
        <v>92224.5479221197i</v>
      </c>
      <c r="N127" s="292">
        <f>IF(D$32=1, IF(AND('Small Signal'!$B$63&gt;=1,FCCM=0),U127+0,R127+0), 0)</f>
        <v>0</v>
      </c>
      <c r="O127" s="292">
        <f>IF(D$32=1, IF(AND('Small Signal'!$B$63&gt;=1,FCCM=0),V127,S127), 0)</f>
        <v>0</v>
      </c>
      <c r="P127" s="292">
        <f>IF(AND('Small Signal'!$B$63&gt;=1,FCCM=0),AE127+0,AB127+0)</f>
        <v>7.6388242073378896</v>
      </c>
      <c r="Q127" s="292">
        <f>IF(AND('Small Signal'!$B$63&gt;=1,FCCM=0),AF127,AC127)</f>
        <v>80.470527152563122</v>
      </c>
      <c r="R127" s="292">
        <f t="shared" si="55"/>
        <v>4.0078917553480924</v>
      </c>
      <c r="S127" s="292">
        <f t="shared" si="55"/>
        <v>-88.191829398992624</v>
      </c>
      <c r="T127" s="292" t="str">
        <f>IMDIV(IMSUM('Small Signal'!$B$76,IMPRODUCT(M127,'Small Signal'!$B$77)),IMSUM(IMPRODUCT('Small Signal'!$B$80,IMPOWER(M127,2)),IMSUM(IMPRODUCT(M127,'Small Signal'!$B$79),'Small Signal'!$B$78)))</f>
        <v>-0.074999493210401-1.19345966882515i</v>
      </c>
      <c r="U127" s="292">
        <f t="shared" si="35"/>
        <v>1.5532720118139063</v>
      </c>
      <c r="V127" s="292">
        <f t="shared" si="36"/>
        <v>-93.595857685008951</v>
      </c>
      <c r="W127" s="292" t="str">
        <f>IMPRODUCT(IMDIV(IMSUM(IMPRODUCT(M127,'Small Signal'!$B$59*'Small Signal'!$B$6*'Small Signal'!$B$51*'Small Signal'!$B$7*'Small Signal'!$B$8),'Small Signal'!$B$59*'Small Signal'!$B$6*'Small Signal'!$B$51),IMSUM(IMSUM(IMPRODUCT(M127,('Small Signal'!$B$5+'Small Signal'!$B$6)*('Small Signal'!$B$58*'Small Signal'!$B$59)+'Small Signal'!$B$5*'Small Signal'!$B$59*('Small Signal'!$B$8+'Small Signal'!$B$9)+'Small Signal'!$B$6*'Small Signal'!$B$59*('Small Signal'!$B$8+'Small Signal'!$B$9)+'Small Signal'!$B$7*'Small Signal'!$B$8*('Small Signal'!$B$5+'Small Signal'!$B$6)),'Small Signal'!$B$6+'Small Signal'!$B$5),IMPRODUCT(IMPOWER(M127,2),'Small Signal'!$B$58*'Small Signal'!$B$59*'Small Signal'!$B$8*'Small Signal'!$B$7*('Small Signal'!$B$5+'Small Signal'!$B$6)+('Small Signal'!$B$5+'Small Signal'!$B$6)*('Small Signal'!$B$9*'Small Signal'!$B$8*'Small Signal'!$B$59*'Small Signal'!$B$7)))),-1)</f>
        <v>-1.45514682833783+0.405657924411119i</v>
      </c>
      <c r="X127" s="292">
        <f t="shared" si="37"/>
        <v>0</v>
      </c>
      <c r="Y127" s="292">
        <f t="shared" si="38"/>
        <v>0</v>
      </c>
      <c r="Z127" s="292" t="str">
        <f t="shared" si="39"/>
        <v>1.00276192821871+0.0743328571199623i</v>
      </c>
      <c r="AA127" s="292" t="str">
        <f t="shared" si="40"/>
        <v>0.398917714289443+2.37632840856828i</v>
      </c>
      <c r="AB127" s="289">
        <f t="shared" si="56"/>
        <v>7.6388242073378896</v>
      </c>
      <c r="AC127" s="292">
        <f t="shared" si="57"/>
        <v>80.470527152563122</v>
      </c>
      <c r="AD127" s="292" t="str">
        <f t="shared" si="41"/>
        <v>0.593271646796051+1.70623491309242i</v>
      </c>
      <c r="AE127" s="289">
        <f t="shared" si="42"/>
        <v>5.1364486688658095</v>
      </c>
      <c r="AF127" s="292">
        <f t="shared" si="43"/>
        <v>70.827024341951301</v>
      </c>
      <c r="AH127" s="292" t="str">
        <f t="shared" si="44"/>
        <v>0.00075-0.102680871666552i</v>
      </c>
      <c r="AI127" s="292">
        <f t="shared" si="45"/>
        <v>0.95</v>
      </c>
      <c r="AJ127" s="292" t="str">
        <f t="shared" si="46"/>
        <v>1000-10843100.0479879i</v>
      </c>
      <c r="AK127" s="292" t="str">
        <f t="shared" si="47"/>
        <v>0.0116937844813946-0.101336943664163i</v>
      </c>
      <c r="AL127" s="292" t="str">
        <f t="shared" si="48"/>
        <v>1.18806128997102-0.00725591223052574i</v>
      </c>
      <c r="AM127" s="292" t="str">
        <f t="shared" si="49"/>
        <v>0.019+0.202894005428663i</v>
      </c>
      <c r="AN127" s="292" t="str">
        <f t="shared" si="50"/>
        <v>0.0500540551913186-1.58554395449381i</v>
      </c>
      <c r="AO127" s="292">
        <f t="shared" si="58"/>
        <v>4.0078917553480924</v>
      </c>
      <c r="AP127" s="292">
        <f t="shared" si="59"/>
        <v>-88.191829398992624</v>
      </c>
      <c r="AR127" s="292" t="str">
        <f t="shared" si="51"/>
        <v>1.18806128997102-0.00725591223052574i</v>
      </c>
      <c r="AS127" s="292" t="str">
        <f t="shared" si="52"/>
        <v>0.0500540551913186-1.58554395449381i</v>
      </c>
      <c r="AT127" s="292">
        <f t="shared" si="60"/>
        <v>4.0078917553480924</v>
      </c>
      <c r="AU127" s="292">
        <f t="shared" si="61"/>
        <v>-88.191829398992624</v>
      </c>
    </row>
    <row r="128" spans="6:47" x14ac:dyDescent="0.25">
      <c r="F128" s="292">
        <v>126</v>
      </c>
      <c r="G128" s="293">
        <f t="shared" si="32"/>
        <v>173.60468742663218</v>
      </c>
      <c r="H128" s="293">
        <f t="shared" si="33"/>
        <v>168.57881372500071</v>
      </c>
      <c r="I128" s="294">
        <f t="shared" si="34"/>
        <v>1</v>
      </c>
      <c r="J128" s="292">
        <f t="shared" si="53"/>
        <v>1</v>
      </c>
      <c r="K128" s="292">
        <f t="shared" si="53"/>
        <v>1</v>
      </c>
      <c r="L128" s="292">
        <f>10^('Small Signal'!F128/30)</f>
        <v>15848.931924611146</v>
      </c>
      <c r="M128" s="292" t="str">
        <f t="shared" si="54"/>
        <v>99581.7762032062i</v>
      </c>
      <c r="N128" s="292">
        <f>IF(D$32=1, IF(AND('Small Signal'!$B$63&gt;=1,FCCM=0),U128+0,R128+0), 0)</f>
        <v>0</v>
      </c>
      <c r="O128" s="292">
        <f>IF(D$32=1, IF(AND('Small Signal'!$B$63&gt;=1,FCCM=0),V128,S128), 0)</f>
        <v>0</v>
      </c>
      <c r="P128" s="292">
        <f>IF(AND('Small Signal'!$B$63&gt;=1,FCCM=0),AE128+0,AB128+0)</f>
        <v>6.9429373799101555</v>
      </c>
      <c r="Q128" s="292">
        <f>IF(AND('Small Signal'!$B$63&gt;=1,FCCM=0),AF128,AC128)</f>
        <v>80.270305025212636</v>
      </c>
      <c r="R128" s="292">
        <f t="shared" si="55"/>
        <v>3.3452343255566603</v>
      </c>
      <c r="S128" s="292">
        <f t="shared" si="55"/>
        <v>-89.715934873134572</v>
      </c>
      <c r="T128" s="292" t="str">
        <f>IMDIV(IMSUM('Small Signal'!$B$76,IMPRODUCT(M128,'Small Signal'!$B$77)),IMSUM(IMPRODUCT('Small Signal'!$B$80,IMPOWER(M128,2)),IMSUM(IMPRODUCT(M128,'Small Signal'!$B$79),'Small Signal'!$B$78)))</f>
        <v>-0.11214783831113-1.0978088078379i</v>
      </c>
      <c r="U128" s="292">
        <f t="shared" si="35"/>
        <v>0.8556217400013032</v>
      </c>
      <c r="V128" s="292">
        <f t="shared" si="36"/>
        <v>-95.83287770538989</v>
      </c>
      <c r="W128" s="292" t="str">
        <f>IMPRODUCT(IMDIV(IMSUM(IMPRODUCT(M128,'Small Signal'!$B$59*'Small Signal'!$B$6*'Small Signal'!$B$51*'Small Signal'!$B$7*'Small Signal'!$B$8),'Small Signal'!$B$59*'Small Signal'!$B$6*'Small Signal'!$B$51),IMSUM(IMSUM(IMPRODUCT(M128,('Small Signal'!$B$5+'Small Signal'!$B$6)*('Small Signal'!$B$58*'Small Signal'!$B$59)+'Small Signal'!$B$5*'Small Signal'!$B$59*('Small Signal'!$B$8+'Small Signal'!$B$9)+'Small Signal'!$B$6*'Small Signal'!$B$59*('Small Signal'!$B$8+'Small Signal'!$B$9)+'Small Signal'!$B$7*'Small Signal'!$B$8*('Small Signal'!$B$5+'Small Signal'!$B$6)),'Small Signal'!$B$6+'Small Signal'!$B$5),IMPRODUCT(IMPOWER(M128,2),'Small Signal'!$B$58*'Small Signal'!$B$59*'Small Signal'!$B$8*'Small Signal'!$B$7*('Small Signal'!$B$5+'Small Signal'!$B$6)+('Small Signal'!$B$5+'Small Signal'!$B$6)*('Small Signal'!$B$9*'Small Signal'!$B$8*'Small Signal'!$B$59*'Small Signal'!$B$7)))),-1)</f>
        <v>-1.45504019962378+0.378655326082794i</v>
      </c>
      <c r="X128" s="292">
        <f t="shared" si="37"/>
        <v>0</v>
      </c>
      <c r="Y128" s="292">
        <f t="shared" si="38"/>
        <v>0</v>
      </c>
      <c r="Z128" s="292" t="str">
        <f t="shared" si="39"/>
        <v>1.00321943546151+0.080244417504609i</v>
      </c>
      <c r="AA128" s="292" t="str">
        <f t="shared" si="40"/>
        <v>0.375866954694755+2.19207101542597i</v>
      </c>
      <c r="AB128" s="289">
        <f t="shared" si="56"/>
        <v>6.9429373799101555</v>
      </c>
      <c r="AC128" s="292">
        <f t="shared" si="57"/>
        <v>80.270305025212636</v>
      </c>
      <c r="AD128" s="292" t="str">
        <f t="shared" si="41"/>
        <v>0.578870765152025+1.55489057062002i</v>
      </c>
      <c r="AE128" s="289">
        <f t="shared" si="42"/>
        <v>4.3977088103104407</v>
      </c>
      <c r="AF128" s="292">
        <f t="shared" si="43"/>
        <v>69.580186460620055</v>
      </c>
      <c r="AH128" s="292" t="str">
        <f t="shared" si="44"/>
        <v>0.00075-0.0950946782709832i</v>
      </c>
      <c r="AI128" s="292">
        <f t="shared" si="45"/>
        <v>0.95</v>
      </c>
      <c r="AJ128" s="292" t="str">
        <f t="shared" si="46"/>
        <v>1000-10041998.0254159i</v>
      </c>
      <c r="AK128" s="292" t="str">
        <f t="shared" si="47"/>
        <v>0.0101517812856993-0.0940042736126438i</v>
      </c>
      <c r="AL128" s="292" t="str">
        <f t="shared" si="48"/>
        <v>1.18805393788816-0.00783470532272354i</v>
      </c>
      <c r="AM128" s="292" t="str">
        <f t="shared" si="49"/>
        <v>0.019+0.219079907647054i</v>
      </c>
      <c r="AN128" s="292" t="str">
        <f t="shared" si="50"/>
        <v>0.00728710832839292-1.46979369033968i</v>
      </c>
      <c r="AO128" s="292">
        <f t="shared" si="58"/>
        <v>3.3452343255566603</v>
      </c>
      <c r="AP128" s="292">
        <f t="shared" si="59"/>
        <v>-89.715934873134572</v>
      </c>
      <c r="AR128" s="292" t="str">
        <f t="shared" si="51"/>
        <v>1.18805393788816-0.00783470532272354i</v>
      </c>
      <c r="AS128" s="292" t="str">
        <f t="shared" si="52"/>
        <v>0.00728710832839292-1.46979369033968i</v>
      </c>
      <c r="AT128" s="292">
        <f t="shared" si="60"/>
        <v>3.3452343255566603</v>
      </c>
      <c r="AU128" s="292">
        <f t="shared" si="61"/>
        <v>-89.715934873134572</v>
      </c>
    </row>
    <row r="129" spans="6:47" x14ac:dyDescent="0.25">
      <c r="F129" s="292">
        <v>127</v>
      </c>
      <c r="G129" s="293">
        <f t="shared" si="32"/>
        <v>174.00178047327245</v>
      </c>
      <c r="H129" s="293">
        <f t="shared" si="33"/>
        <v>168.57881372500071</v>
      </c>
      <c r="I129" s="294">
        <f t="shared" si="34"/>
        <v>1</v>
      </c>
      <c r="J129" s="292">
        <f t="shared" si="53"/>
        <v>1</v>
      </c>
      <c r="K129" s="292">
        <f t="shared" si="53"/>
        <v>1</v>
      </c>
      <c r="L129" s="292">
        <f>10^('Small Signal'!F129/30)</f>
        <v>17113.283041617826</v>
      </c>
      <c r="M129" s="292" t="str">
        <f t="shared" si="54"/>
        <v>107525.928564699i</v>
      </c>
      <c r="N129" s="292">
        <f>IF(D$32=1, IF(AND('Small Signal'!$B$63&gt;=1,FCCM=0),U129+0,R129+0), 0)</f>
        <v>0</v>
      </c>
      <c r="O129" s="292">
        <f>IF(D$32=1, IF(AND('Small Signal'!$B$63&gt;=1,FCCM=0),V129,S129), 0)</f>
        <v>0</v>
      </c>
      <c r="P129" s="292">
        <f>IF(AND('Small Signal'!$B$63&gt;=1,FCCM=0),AE129+0,AB129+0)</f>
        <v>6.2476524491255621</v>
      </c>
      <c r="Q129" s="292">
        <f>IF(AND('Small Signal'!$B$63&gt;=1,FCCM=0),AF129,AC129)</f>
        <v>80.023060240100662</v>
      </c>
      <c r="R129" s="292">
        <f t="shared" si="55"/>
        <v>2.6763995286180386</v>
      </c>
      <c r="S129" s="292">
        <f t="shared" si="55"/>
        <v>-91.238686622617962</v>
      </c>
      <c r="T129" s="292" t="str">
        <f>IMDIV(IMSUM('Small Signal'!$B$76,IMPRODUCT(M129,'Small Signal'!$B$77)),IMSUM(IMPRODUCT('Small Signal'!$B$80,IMPOWER(M129,2)),IMSUM(IMPRODUCT(M129,'Small Signal'!$B$79),'Small Signal'!$B$78)))</f>
        <v>-0.142971505059844-1.00658915188043i</v>
      </c>
      <c r="U129" s="292">
        <f t="shared" si="35"/>
        <v>0.14378791118123252</v>
      </c>
      <c r="V129" s="292">
        <f t="shared" si="36"/>
        <v>-98.083968147475701</v>
      </c>
      <c r="W129" s="292" t="str">
        <f>IMPRODUCT(IMDIV(IMSUM(IMPRODUCT(M129,'Small Signal'!$B$59*'Small Signal'!$B$6*'Small Signal'!$B$51*'Small Signal'!$B$7*'Small Signal'!$B$8),'Small Signal'!$B$59*'Small Signal'!$B$6*'Small Signal'!$B$51),IMSUM(IMSUM(IMPRODUCT(M129,('Small Signal'!$B$5+'Small Signal'!$B$6)*('Small Signal'!$B$58*'Small Signal'!$B$59)+'Small Signal'!$B$5*'Small Signal'!$B$59*('Small Signal'!$B$8+'Small Signal'!$B$9)+'Small Signal'!$B$6*'Small Signal'!$B$59*('Small Signal'!$B$8+'Small Signal'!$B$9)+'Small Signal'!$B$7*'Small Signal'!$B$8*('Small Signal'!$B$5+'Small Signal'!$B$6)),'Small Signal'!$B$6+'Small Signal'!$B$5),IMPRODUCT(IMPOWER(M129,2),'Small Signal'!$B$58*'Small Signal'!$B$59*'Small Signal'!$B$8*'Small Signal'!$B$7*('Small Signal'!$B$5+'Small Signal'!$B$6)+('Small Signal'!$B$5+'Small Signal'!$B$6)*('Small Signal'!$B$9*'Small Signal'!$B$8*'Small Signal'!$B$59*'Small Signal'!$B$7)))),-1)</f>
        <v>-1.4549356304574+0.353884257972655i</v>
      </c>
      <c r="X129" s="292">
        <f t="shared" si="37"/>
        <v>0</v>
      </c>
      <c r="Y129" s="292">
        <f t="shared" si="38"/>
        <v>0</v>
      </c>
      <c r="Z129" s="292" t="str">
        <f t="shared" si="39"/>
        <v>1.00375258560169+0.0866228323527492i</v>
      </c>
      <c r="AA129" s="292" t="str">
        <f t="shared" si="40"/>
        <v>0.355680765825183+2.02192418002166i</v>
      </c>
      <c r="AB129" s="289">
        <f t="shared" si="56"/>
        <v>6.2476524491255621</v>
      </c>
      <c r="AC129" s="292">
        <f t="shared" si="57"/>
        <v>80.023060240100662</v>
      </c>
      <c r="AD129" s="292" t="str">
        <f t="shared" si="41"/>
        <v>0.564230391948218+1.4139270573234i</v>
      </c>
      <c r="AE129" s="289">
        <f t="shared" si="42"/>
        <v>3.6502829906050502</v>
      </c>
      <c r="AF129" s="292">
        <f t="shared" si="43"/>
        <v>68.24543128019782</v>
      </c>
      <c r="AH129" s="292" t="str">
        <f t="shared" si="44"/>
        <v>0.00075-0.0880689624921398i</v>
      </c>
      <c r="AI129" s="292">
        <f t="shared" si="45"/>
        <v>0.95</v>
      </c>
      <c r="AJ129" s="292" t="str">
        <f t="shared" si="46"/>
        <v>1000-9300082.43916995i</v>
      </c>
      <c r="AK129" s="292" t="str">
        <f t="shared" si="47"/>
        <v>0.0088251680711329-0.0871820038790943i</v>
      </c>
      <c r="AL129" s="292" t="str">
        <f t="shared" si="48"/>
        <v>1.18804536610376-0.00845965917492862i</v>
      </c>
      <c r="AM129" s="292" t="str">
        <f t="shared" si="49"/>
        <v>0.019+0.236557042842338i</v>
      </c>
      <c r="AN129" s="292" t="str">
        <f t="shared" si="50"/>
        <v>-0.0294188004357932-1.36056243666612i</v>
      </c>
      <c r="AO129" s="292">
        <f t="shared" si="58"/>
        <v>2.6763995286180386</v>
      </c>
      <c r="AP129" s="292">
        <f t="shared" si="59"/>
        <v>-91.238686622617962</v>
      </c>
      <c r="AR129" s="292" t="str">
        <f t="shared" si="51"/>
        <v>1.18804536610376-0.00845965917492862i</v>
      </c>
      <c r="AS129" s="292" t="str">
        <f t="shared" si="52"/>
        <v>-0.0294188004357932-1.36056243666612i</v>
      </c>
      <c r="AT129" s="292">
        <f t="shared" si="60"/>
        <v>2.6763995286180386</v>
      </c>
      <c r="AU129" s="292">
        <f t="shared" si="61"/>
        <v>-91.238686622617962</v>
      </c>
    </row>
    <row r="130" spans="6:47" x14ac:dyDescent="0.25">
      <c r="F130" s="292">
        <v>128</v>
      </c>
      <c r="G130" s="293">
        <f t="shared" ref="G130:G193" si="62">DEGREES((ATAN(10)+ATAN(L130/(fsw_ss/6))-ATAN(L130/(fsw_ss/6*Vo_ss/Vref))-ATAN(MAX(1/10,L130/(fsw_ss/2)))))+90</f>
        <v>174.42956695795382</v>
      </c>
      <c r="H130" s="293">
        <f t="shared" ref="H130:H193" si="63">DEGREES((ATAN(10)-ATAN(MAX(1/10,L130/(fsw_ss/2)))))+90</f>
        <v>168.57881372500071</v>
      </c>
      <c r="I130" s="294">
        <f t="shared" ref="I130:I193" si="64">IF(fz_cff&gt;fsw_ss/4,IF(AU130+H130&gt;65,1,0),IF(AU130+G130&gt;65,1,0))</f>
        <v>1</v>
      </c>
      <c r="J130" s="292">
        <f t="shared" si="53"/>
        <v>1</v>
      </c>
      <c r="K130" s="292">
        <f t="shared" si="53"/>
        <v>1</v>
      </c>
      <c r="L130" s="292">
        <f>10^('Small Signal'!F130/30)</f>
        <v>18478.497974222933</v>
      </c>
      <c r="M130" s="292" t="str">
        <f t="shared" si="54"/>
        <v>116103.826970385i</v>
      </c>
      <c r="N130" s="292">
        <f>IF(D$32=1, IF(AND('Small Signal'!$B$63&gt;=1,FCCM=0),U130+0,R130+0), 0)</f>
        <v>0</v>
      </c>
      <c r="O130" s="292">
        <f>IF(D$32=1, IF(AND('Small Signal'!$B$63&gt;=1,FCCM=0),V130,S130), 0)</f>
        <v>0</v>
      </c>
      <c r="P130" s="292">
        <f>IF(AND('Small Signal'!$B$63&gt;=1,FCCM=0),AE130+0,AB130+0)</f>
        <v>5.5524218155236449</v>
      </c>
      <c r="Q130" s="292">
        <f>IF(AND('Small Signal'!$B$63&gt;=1,FCCM=0),AF130,AC130)</f>
        <v>79.726797349188487</v>
      </c>
      <c r="R130" s="292">
        <f t="shared" si="55"/>
        <v>2.001345574345553</v>
      </c>
      <c r="S130" s="292">
        <f t="shared" si="55"/>
        <v>-92.766872142195282</v>
      </c>
      <c r="T130" s="292" t="str">
        <f>IMDIV(IMSUM('Small Signal'!$B$76,IMPRODUCT(M130,'Small Signal'!$B$77)),IMSUM(IMPRODUCT('Small Signal'!$B$80,IMPOWER(M130,2)),IMSUM(IMPRODUCT(M130,'Small Signal'!$B$79),'Small Signal'!$B$78)))</f>
        <v>-0.168066619619968-0.919872983419766i</v>
      </c>
      <c r="U130" s="292">
        <f t="shared" ref="U130:U193" si="65">20*LOG(IMABS(T130))</f>
        <v>-0.58283546157458688</v>
      </c>
      <c r="V130" s="292">
        <f t="shared" ref="V130:V193" si="66">(180/PI())*IMARGUMENT(T130)</f>
        <v>-100.35409767779312</v>
      </c>
      <c r="W130" s="292" t="str">
        <f>IMPRODUCT(IMDIV(IMSUM(IMPRODUCT(M130,'Small Signal'!$B$59*'Small Signal'!$B$6*'Small Signal'!$B$51*'Small Signal'!$B$7*'Small Signal'!$B$8),'Small Signal'!$B$59*'Small Signal'!$B$6*'Small Signal'!$B$51),IMSUM(IMSUM(IMPRODUCT(M130,('Small Signal'!$B$5+'Small Signal'!$B$6)*('Small Signal'!$B$58*'Small Signal'!$B$59)+'Small Signal'!$B$5*'Small Signal'!$B$59*('Small Signal'!$B$8+'Small Signal'!$B$9)+'Small Signal'!$B$6*'Small Signal'!$B$59*('Small Signal'!$B$8+'Small Signal'!$B$9)+'Small Signal'!$B$7*'Small Signal'!$B$8*('Small Signal'!$B$5+'Small Signal'!$B$6)),'Small Signal'!$B$6+'Small Signal'!$B$5),IMPRODUCT(IMPOWER(M130,2),'Small Signal'!$B$58*'Small Signal'!$B$59*'Small Signal'!$B$8*'Small Signal'!$B$7*('Small Signal'!$B$5+'Small Signal'!$B$6)+('Small Signal'!$B$5+'Small Signal'!$B$6)*('Small Signal'!$B$9*'Small Signal'!$B$8*'Small Signal'!$B$59*'Small Signal'!$B$7)))),-1)</f>
        <v>-1.45483065351462+0.331198673628546i</v>
      </c>
      <c r="X130" s="292">
        <f t="shared" ref="X130:X193" si="67">IF(D$33=1, 20*LOG(IMABS(Z130))+20*LOG(IMABS(W130)), 0)</f>
        <v>0</v>
      </c>
      <c r="Y130" s="292">
        <f t="shared" ref="Y130:Y193" si="68">IF(D$33=1, (180/PI())*IMARGUMENT(Z130)+(180/PI())*IMARGUMENT(W130), 0)</f>
        <v>0</v>
      </c>
      <c r="Z130" s="292" t="str">
        <f t="shared" ref="Z130:Z193" si="69">IMDIV(COMPLEX(1,IMABS(M130)/(2*PI()*fz_cff)),COMPLEX(1,IMABS(M130)/(2*PI()*fp_cff)))</f>
        <v>1.00437383425315+0.0935041227706074i</v>
      </c>
      <c r="AA130" s="292" t="str">
        <f t="shared" ref="AA130:AA193" si="70">IMPRODUCT(AN130,W130,Z130)</f>
        <v>0.337967390120195+1.86467140621233i</v>
      </c>
      <c r="AB130" s="289">
        <f t="shared" si="56"/>
        <v>5.5524218155236449</v>
      </c>
      <c r="AC130" s="292">
        <f t="shared" si="57"/>
        <v>79.726797349188487</v>
      </c>
      <c r="AD130" s="292" t="str">
        <f t="shared" ref="AD130:AD193" si="71">IMPRODUCT(T130,W130)</f>
        <v>0.549169182071071+1.28259597211965i</v>
      </c>
      <c r="AE130" s="289">
        <f t="shared" ref="AE130:AE193" si="72">20*LOG(IMABS(AD130))</f>
        <v>2.8928546870087848</v>
      </c>
      <c r="AF130" s="292">
        <f t="shared" ref="AF130:AF193" si="73">(180/PI())*IMARGUMENT(AD130)</f>
        <v>66.82084104030713</v>
      </c>
      <c r="AH130" s="292" t="str">
        <f t="shared" ref="AH130:AH193" si="74">IMSUM(ESR_ss,IMDIV(1,IMPRODUCT(Co_ss,M130)))</f>
        <v>0.00075-0.081562315530843i</v>
      </c>
      <c r="AI130" s="292">
        <f t="shared" ref="AI130:AI193" si="75">Ro</f>
        <v>0.95</v>
      </c>
      <c r="AJ130" s="292" t="str">
        <f t="shared" ref="AJ130:AJ193" si="76">IMSUM(ESR2_ss,IMDIV(1,IMPRODUCT(Co2_ss,M130)))</f>
        <v>1000-8612980.52005705i</v>
      </c>
      <c r="AK130" s="292" t="str">
        <f t="shared" ref="AK130:AK193" si="77">IMDIV(1,(IMSUM(IMDIV(1,AH130),IMDIV(1,AI130),IMDIV(1,AJ130))))</f>
        <v>0.00768435015337973-0.0808387542843292i</v>
      </c>
      <c r="AL130" s="292" t="str">
        <f t="shared" ref="AL130:AL193" si="78">IMDIV(IMPRODUCT(Re,IMDIV(1,IMPRODUCT(Ce,M130))),IMSUM(Re,IMDIV(1,IMPRODUCT(Ce,M130))))</f>
        <v>1.18803537229305-0.00913445301938737i</v>
      </c>
      <c r="AM130" s="292" t="str">
        <f t="shared" ref="AM130:AM193" si="79">IMSUM(Rdc_ss,IMPRODUCT(Lo_ss,M130))</f>
        <v>0.019+0.255428419334847i</v>
      </c>
      <c r="AN130" s="292" t="str">
        <f t="shared" ref="AN130:AN193" si="80">IMDIV(IMPRODUCT(AK130,AL130),IMPRODUCT(Ri,IMSUM(AL130,AK130,AM130)))</f>
        <v>-0.060780592095391-1.25765258936302i</v>
      </c>
      <c r="AO130" s="292">
        <f t="shared" si="58"/>
        <v>2.001345574345553</v>
      </c>
      <c r="AP130" s="292">
        <f t="shared" si="59"/>
        <v>-92.766872142195282</v>
      </c>
      <c r="AR130" s="292" t="str">
        <f t="shared" ref="AR130:AR193" si="81">IMDIV(IMPRODUCT(Re_vimax,IMDIV(1,IMPRODUCT(Ce,M130))),IMSUM(Re_vimax,IMDIV(1,IMPRODUCT(Ce,M130))))</f>
        <v>1.18803537229305-0.00913445301938737i</v>
      </c>
      <c r="AS130" s="292" t="str">
        <f t="shared" ref="AS130:AS193" si="82">IMDIV(IMPRODUCT(AK130,AR130),IMPRODUCT(Ri,IMSUM(AR130,AK130,AM130)))</f>
        <v>-0.060780592095391-1.25765258936302i</v>
      </c>
      <c r="AT130" s="292">
        <f t="shared" si="60"/>
        <v>2.001345574345553</v>
      </c>
      <c r="AU130" s="292">
        <f t="shared" si="61"/>
        <v>-92.766872142195282</v>
      </c>
    </row>
    <row r="131" spans="6:47" x14ac:dyDescent="0.25">
      <c r="F131" s="292">
        <v>129</v>
      </c>
      <c r="G131" s="293">
        <f t="shared" si="62"/>
        <v>174.89024570589845</v>
      </c>
      <c r="H131" s="293">
        <f t="shared" si="63"/>
        <v>168.57881372500071</v>
      </c>
      <c r="I131" s="294">
        <f t="shared" si="64"/>
        <v>1</v>
      </c>
      <c r="J131" s="292">
        <f t="shared" ref="J131:K194" si="83">IF(P131&gt;0,1,0)</f>
        <v>1</v>
      </c>
      <c r="K131" s="292">
        <f t="shared" si="83"/>
        <v>1</v>
      </c>
      <c r="L131" s="292">
        <f>10^('Small Signal'!F131/30)</f>
        <v>19952.623149688792</v>
      </c>
      <c r="M131" s="292" t="str">
        <f t="shared" ref="M131:M194" si="84">COMPLEX(0,L131*2*PI())</f>
        <v>125366.028613816i</v>
      </c>
      <c r="N131" s="292">
        <f>IF(D$32=1, IF(AND('Small Signal'!$B$63&gt;=1,FCCM=0),U131+0,R131+0), 0)</f>
        <v>0</v>
      </c>
      <c r="O131" s="292">
        <f>IF(D$32=1, IF(AND('Small Signal'!$B$63&gt;=1,FCCM=0),V131,S131), 0)</f>
        <v>0</v>
      </c>
      <c r="P131" s="292">
        <f>IF(AND('Small Signal'!$B$63&gt;=1,FCCM=0),AE131+0,AB131+0)</f>
        <v>4.8566903880266112</v>
      </c>
      <c r="Q131" s="292">
        <f>IF(AND('Small Signal'!$B$63&gt;=1,FCCM=0),AF131,AC131)</f>
        <v>79.37966167877795</v>
      </c>
      <c r="R131" s="292">
        <f t="shared" ref="R131:S194" si="85">AO131</f>
        <v>1.319911295780152</v>
      </c>
      <c r="S131" s="292">
        <f t="shared" si="85"/>
        <v>-94.307227949957095</v>
      </c>
      <c r="T131" s="292" t="str">
        <f>IMDIV(IMSUM('Small Signal'!$B$76,IMPRODUCT(M131,'Small Signal'!$B$77)),IMSUM(IMPRODUCT('Small Signal'!$B$80,IMPOWER(M131,2)),IMSUM(IMPRODUCT(M131,'Small Signal'!$B$79),'Small Signal'!$B$78)))</f>
        <v>-0.187973507763175-0.837686032008393i</v>
      </c>
      <c r="U131" s="292">
        <f t="shared" si="65"/>
        <v>-1.3250191352342278</v>
      </c>
      <c r="V131" s="292">
        <f t="shared" si="66"/>
        <v>-102.64744747921945</v>
      </c>
      <c r="W131" s="292" t="str">
        <f>IMPRODUCT(IMDIV(IMSUM(IMPRODUCT(M131,'Small Signal'!$B$59*'Small Signal'!$B$6*'Small Signal'!$B$51*'Small Signal'!$B$7*'Small Signal'!$B$8),'Small Signal'!$B$59*'Small Signal'!$B$6*'Small Signal'!$B$51),IMSUM(IMSUM(IMPRODUCT(M131,('Small Signal'!$B$5+'Small Signal'!$B$6)*('Small Signal'!$B$58*'Small Signal'!$B$59)+'Small Signal'!$B$5*'Small Signal'!$B$59*('Small Signal'!$B$8+'Small Signal'!$B$9)+'Small Signal'!$B$6*'Small Signal'!$B$59*('Small Signal'!$B$8+'Small Signal'!$B$9)+'Small Signal'!$B$7*'Small Signal'!$B$8*('Small Signal'!$B$5+'Small Signal'!$B$6)),'Small Signal'!$B$6+'Small Signal'!$B$5),IMPRODUCT(IMPOWER(M131,2),'Small Signal'!$B$58*'Small Signal'!$B$59*'Small Signal'!$B$8*'Small Signal'!$B$7*('Small Signal'!$B$5+'Small Signal'!$B$6)+('Small Signal'!$B$5+'Small Signal'!$B$6)*('Small Signal'!$B$9*'Small Signal'!$B$8*'Small Signal'!$B$59*'Small Signal'!$B$7)))),-1)</f>
        <v>-1.45472279240772+0.310464803782016i</v>
      </c>
      <c r="X131" s="292">
        <f t="shared" si="67"/>
        <v>0</v>
      </c>
      <c r="Y131" s="292">
        <f t="shared" si="68"/>
        <v>0</v>
      </c>
      <c r="Z131" s="292" t="str">
        <f t="shared" si="69"/>
        <v>1.00509766975756+0.100926869461714i</v>
      </c>
      <c r="AA131" s="292" t="str">
        <f t="shared" si="70"/>
        <v>0.322374327372738+1.7192165938072i</v>
      </c>
      <c r="AB131" s="289">
        <f t="shared" ref="AB131:AB194" si="86">20*LOG(IMABS(AA131))</f>
        <v>4.8566903880266112</v>
      </c>
      <c r="AC131" s="292">
        <f t="shared" ref="AC131:AC194" si="87">(180/PI())*IMARGUMENT(AA131)</f>
        <v>79.37966167877795</v>
      </c>
      <c r="AD131" s="292" t="str">
        <f t="shared" si="71"/>
        <v>0.533521375670341+1.16024180544028i</v>
      </c>
      <c r="AE131" s="289">
        <f t="shared" si="72"/>
        <v>2.1240232868861151</v>
      </c>
      <c r="AF131" s="292">
        <f t="shared" si="73"/>
        <v>65.305308391710369</v>
      </c>
      <c r="AH131" s="292" t="str">
        <f t="shared" si="74"/>
        <v>0.00075-0.0755363879226636i</v>
      </c>
      <c r="AI131" s="292">
        <f t="shared" si="75"/>
        <v>0.95</v>
      </c>
      <c r="AJ131" s="292" t="str">
        <f t="shared" si="76"/>
        <v>1000-7976642.56463329i</v>
      </c>
      <c r="AK131" s="292" t="str">
        <f t="shared" si="77"/>
        <v>0.00670366972812464-0.0749441986387781i</v>
      </c>
      <c r="AL131" s="292" t="str">
        <f t="shared" si="78"/>
        <v>1.18802372057752-0.00986305875839974i</v>
      </c>
      <c r="AM131" s="292" t="str">
        <f t="shared" si="79"/>
        <v>0.019+0.275805262950395i</v>
      </c>
      <c r="AN131" s="292" t="str">
        <f t="shared" si="80"/>
        <v>-0.0874302368671291-1.1608262948025i</v>
      </c>
      <c r="AO131" s="292">
        <f t="shared" ref="AO131:AO194" si="88">20*LOG(IMABS(AN131))</f>
        <v>1.319911295780152</v>
      </c>
      <c r="AP131" s="292">
        <f t="shared" ref="AP131:AP194" si="89">(180/PI())*IMARGUMENT(AN131)</f>
        <v>-94.307227949957095</v>
      </c>
      <c r="AR131" s="292" t="str">
        <f t="shared" si="81"/>
        <v>1.18802372057752-0.00986305875839974i</v>
      </c>
      <c r="AS131" s="292" t="str">
        <f t="shared" si="82"/>
        <v>-0.0874302368671291-1.1608262948025i</v>
      </c>
      <c r="AT131" s="292">
        <f t="shared" ref="AT131:AT194" si="90">20*LOG(IMABS(AS131))</f>
        <v>1.319911295780152</v>
      </c>
      <c r="AU131" s="292">
        <f t="shared" ref="AU131:AU194" si="91">(180/PI())*IMARGUMENT(AS131)</f>
        <v>-94.307227949957095</v>
      </c>
    </row>
    <row r="132" spans="6:47" x14ac:dyDescent="0.25">
      <c r="F132" s="292">
        <v>130</v>
      </c>
      <c r="G132" s="293">
        <f t="shared" si="62"/>
        <v>175.38612867790536</v>
      </c>
      <c r="H132" s="293">
        <f t="shared" si="63"/>
        <v>168.57881372500071</v>
      </c>
      <c r="I132" s="294">
        <f t="shared" si="64"/>
        <v>1</v>
      </c>
      <c r="J132" s="292">
        <f t="shared" si="83"/>
        <v>1</v>
      </c>
      <c r="K132" s="292">
        <f t="shared" si="83"/>
        <v>1</v>
      </c>
      <c r="L132" s="292">
        <f>10^('Small Signal'!F132/30)</f>
        <v>21544.346900318837</v>
      </c>
      <c r="M132" s="292" t="str">
        <f t="shared" si="84"/>
        <v>135367.123896863i</v>
      </c>
      <c r="N132" s="292">
        <f>IF(D$32=1, IF(AND('Small Signal'!$B$63&gt;=1,FCCM=0),U132+0,R132+0), 0)</f>
        <v>0</v>
      </c>
      <c r="O132" s="292">
        <f>IF(D$32=1, IF(AND('Small Signal'!$B$63&gt;=1,FCCM=0),V132,S132), 0)</f>
        <v>0</v>
      </c>
      <c r="P132" s="292">
        <f>IF(AND('Small Signal'!$B$63&gt;=1,FCCM=0),AE132+0,AB132+0)</f>
        <v>4.159891940828027</v>
      </c>
      <c r="Q132" s="292">
        <f>IF(AND('Small Signal'!$B$63&gt;=1,FCCM=0),AF132,AC132)</f>
        <v>78.979928050476673</v>
      </c>
      <c r="R132" s="292">
        <f t="shared" si="85"/>
        <v>0.63181528640121176</v>
      </c>
      <c r="S132" s="292">
        <f t="shared" si="85"/>
        <v>-95.866379663487976</v>
      </c>
      <c r="T132" s="292" t="str">
        <f>IMDIV(IMSUM('Small Signal'!$B$76,IMPRODUCT(M132,'Small Signal'!$B$77)),IMSUM(IMPRODUCT('Small Signal'!$B$80,IMPOWER(M132,2)),IMSUM(IMPRODUCT(M132,'Small Signal'!$B$79),'Small Signal'!$B$78)))</f>
        <v>-0.203181201870374-0.760022146067481i</v>
      </c>
      <c r="U132" s="292">
        <f t="shared" si="65"/>
        <v>-2.083681051703703</v>
      </c>
      <c r="V132" s="292">
        <f t="shared" si="66"/>
        <v>-104.96720959867099</v>
      </c>
      <c r="W132" s="292" t="str">
        <f>IMPRODUCT(IMDIV(IMSUM(IMPRODUCT(M132,'Small Signal'!$B$59*'Small Signal'!$B$6*'Small Signal'!$B$51*'Small Signal'!$B$7*'Small Signal'!$B$8),'Small Signal'!$B$59*'Small Signal'!$B$6*'Small Signal'!$B$51),IMSUM(IMSUM(IMPRODUCT(M132,('Small Signal'!$B$5+'Small Signal'!$B$6)*('Small Signal'!$B$58*'Small Signal'!$B$59)+'Small Signal'!$B$5*'Small Signal'!$B$59*('Small Signal'!$B$8+'Small Signal'!$B$9)+'Small Signal'!$B$6*'Small Signal'!$B$59*('Small Signal'!$B$8+'Small Signal'!$B$9)+'Small Signal'!$B$7*'Small Signal'!$B$8*('Small Signal'!$B$5+'Small Signal'!$B$6)),'Small Signal'!$B$6+'Small Signal'!$B$5),IMPRODUCT(IMPOWER(M132,2),'Small Signal'!$B$58*'Small Signal'!$B$59*'Small Signal'!$B$8*'Small Signal'!$B$7*('Small Signal'!$B$5+'Small Signal'!$B$6)+('Small Signal'!$B$5+'Small Signal'!$B$6)*('Small Signal'!$B$9*'Small Signal'!$B$8*'Small Signal'!$B$59*'Small Signal'!$B$7)))),-1)</f>
        <v>-1.45460950342098+0.291560364584535i</v>
      </c>
      <c r="X132" s="292">
        <f t="shared" si="67"/>
        <v>0</v>
      </c>
      <c r="Y132" s="292">
        <f t="shared" si="68"/>
        <v>0</v>
      </c>
      <c r="Z132" s="292" t="str">
        <f t="shared" si="69"/>
        <v>1.00594093838144+0.108932336775785i</v>
      </c>
      <c r="AA132" s="292" t="str">
        <f t="shared" si="70"/>
        <v>0.308585430461957+1.5845705215573i</v>
      </c>
      <c r="AB132" s="289">
        <f t="shared" si="86"/>
        <v>4.159891940828027</v>
      </c>
      <c r="AC132" s="292">
        <f t="shared" si="87"/>
        <v>78.979928050476673</v>
      </c>
      <c r="AD132" s="292" t="str">
        <f t="shared" si="71"/>
        <v>0.517141641156898+1.04629585118612i</v>
      </c>
      <c r="AE132" s="289">
        <f t="shared" si="72"/>
        <v>1.3423146599093365</v>
      </c>
      <c r="AF132" s="292">
        <f t="shared" si="73"/>
        <v>63.698678693393916</v>
      </c>
      <c r="AH132" s="292" t="str">
        <f t="shared" si="74"/>
        <v>0.00075-0.0699556635103809i</v>
      </c>
      <c r="AI132" s="292">
        <f t="shared" si="75"/>
        <v>0.95</v>
      </c>
      <c r="AJ132" s="292" t="str">
        <f t="shared" si="76"/>
        <v>1000-7387318.06669621i</v>
      </c>
      <c r="AK132" s="292" t="str">
        <f t="shared" si="77"/>
        <v>0.00586091652438878-0.0694692352418792i</v>
      </c>
      <c r="AL132" s="292" t="str">
        <f t="shared" si="78"/>
        <v>1.18801013596316-0.0106497640943702i</v>
      </c>
      <c r="AM132" s="292" t="str">
        <f t="shared" si="79"/>
        <v>0.019+0.297807672573099i</v>
      </c>
      <c r="AN132" s="292" t="str">
        <f t="shared" si="80"/>
        <v>-0.109920635766358-1.06981915984441i</v>
      </c>
      <c r="AO132" s="292">
        <f t="shared" si="88"/>
        <v>0.63181528640121176</v>
      </c>
      <c r="AP132" s="292">
        <f t="shared" si="89"/>
        <v>-95.866379663487976</v>
      </c>
      <c r="AR132" s="292" t="str">
        <f t="shared" si="81"/>
        <v>1.18801013596316-0.0106497640943702i</v>
      </c>
      <c r="AS132" s="292" t="str">
        <f t="shared" si="82"/>
        <v>-0.109920635766358-1.06981915984441i</v>
      </c>
      <c r="AT132" s="292">
        <f t="shared" si="90"/>
        <v>0.63181528640121176</v>
      </c>
      <c r="AU132" s="292">
        <f t="shared" si="91"/>
        <v>-95.866379663487976</v>
      </c>
    </row>
    <row r="133" spans="6:47" x14ac:dyDescent="0.25">
      <c r="F133" s="292">
        <v>131</v>
      </c>
      <c r="G133" s="293">
        <f t="shared" si="62"/>
        <v>175.91963495274297</v>
      </c>
      <c r="H133" s="293">
        <f t="shared" si="63"/>
        <v>168.57881372500071</v>
      </c>
      <c r="I133" s="294">
        <f t="shared" si="64"/>
        <v>1</v>
      </c>
      <c r="J133" s="292">
        <f t="shared" si="83"/>
        <v>1</v>
      </c>
      <c r="K133" s="292">
        <f t="shared" si="83"/>
        <v>1</v>
      </c>
      <c r="L133" s="292">
        <f>10^('Small Signal'!F133/30)</f>
        <v>23263.050671536268</v>
      </c>
      <c r="M133" s="292" t="str">
        <f t="shared" si="84"/>
        <v>146166.058179571i</v>
      </c>
      <c r="N133" s="292">
        <f>IF(D$32=1, IF(AND('Small Signal'!$B$63&gt;=1,FCCM=0),U133+0,R133+0), 0)</f>
        <v>0</v>
      </c>
      <c r="O133" s="292">
        <f>IF(D$32=1, IF(AND('Small Signal'!$B$63&gt;=1,FCCM=0),V133,S133), 0)</f>
        <v>0</v>
      </c>
      <c r="P133" s="292">
        <f>IF(AND('Small Signal'!$B$63&gt;=1,FCCM=0),AE133+0,AB133+0)</f>
        <v>3.4614452892318748</v>
      </c>
      <c r="Q133" s="292">
        <f>IF(AND('Small Signal'!$B$63&gt;=1,FCCM=0),AF133,AC133)</f>
        <v>78.526002365068578</v>
      </c>
      <c r="R133" s="292">
        <f t="shared" si="85"/>
        <v>-6.3345435957483362E-2</v>
      </c>
      <c r="S133" s="292">
        <f t="shared" si="85"/>
        <v>-97.450776412087876</v>
      </c>
      <c r="T133" s="292" t="str">
        <f>IMDIV(IMSUM('Small Signal'!$B$76,IMPRODUCT(M133,'Small Signal'!$B$77)),IMSUM(IMPRODUCT('Small Signal'!$B$80,IMPOWER(M133,2)),IMSUM(IMPRODUCT(M133,'Small Signal'!$B$79),'Small Signal'!$B$78)))</f>
        <v>-0.214133969218102-0.686854993409043i</v>
      </c>
      <c r="U133" s="292">
        <f t="shared" si="65"/>
        <v>-2.8598631811168209</v>
      </c>
      <c r="V133" s="292">
        <f t="shared" si="66"/>
        <v>-107.31539406142406</v>
      </c>
      <c r="W133" s="292" t="str">
        <f>IMPRODUCT(IMDIV(IMSUM(IMPRODUCT(M133,'Small Signal'!$B$59*'Small Signal'!$B$6*'Small Signal'!$B$51*'Small Signal'!$B$7*'Small Signal'!$B$8),'Small Signal'!$B$59*'Small Signal'!$B$6*'Small Signal'!$B$51),IMSUM(IMSUM(IMPRODUCT(M133,('Small Signal'!$B$5+'Small Signal'!$B$6)*('Small Signal'!$B$58*'Small Signal'!$B$59)+'Small Signal'!$B$5*'Small Signal'!$B$59*('Small Signal'!$B$8+'Small Signal'!$B$9)+'Small Signal'!$B$6*'Small Signal'!$B$59*('Small Signal'!$B$8+'Small Signal'!$B$9)+'Small Signal'!$B$7*'Small Signal'!$B$8*('Small Signal'!$B$5+'Small Signal'!$B$6)),'Small Signal'!$B$6+'Small Signal'!$B$5),IMPRODUCT(IMPOWER(M133,2),'Small Signal'!$B$58*'Small Signal'!$B$59*'Small Signal'!$B$8*'Small Signal'!$B$7*('Small Signal'!$B$5+'Small Signal'!$B$6)+('Small Signal'!$B$5+'Small Signal'!$B$6)*('Small Signal'!$B$9*'Small Signal'!$B$8*'Small Signal'!$B$59*'Small Signal'!$B$7)))),-1)</f>
        <v>-1.45448811572955+0.27437383259496i</v>
      </c>
      <c r="X133" s="292">
        <f t="shared" si="67"/>
        <v>0</v>
      </c>
      <c r="Y133" s="292">
        <f t="shared" si="68"/>
        <v>0</v>
      </c>
      <c r="Z133" s="292" t="str">
        <f t="shared" si="69"/>
        <v>1.00692321919084+0.117564586438974i</v>
      </c>
      <c r="AA133" s="292" t="str">
        <f t="shared" si="70"/>
        <v>0.29631776986264+1.45983920889095i</v>
      </c>
      <c r="AB133" s="289">
        <f t="shared" si="86"/>
        <v>3.4614452892318748</v>
      </c>
      <c r="AC133" s="292">
        <f t="shared" si="87"/>
        <v>78.526002365068578</v>
      </c>
      <c r="AD133" s="292" t="str">
        <f t="shared" si="71"/>
        <v>0.499910350380352+0.94026966731981i</v>
      </c>
      <c r="AE133" s="289">
        <f t="shared" si="72"/>
        <v>0.54619720466116894</v>
      </c>
      <c r="AF133" s="292">
        <f t="shared" si="73"/>
        <v>62.001895487902864</v>
      </c>
      <c r="AH133" s="292" t="str">
        <f t="shared" si="74"/>
        <v>0.00075-0.0647872501156394i</v>
      </c>
      <c r="AI133" s="292">
        <f t="shared" si="75"/>
        <v>0.95</v>
      </c>
      <c r="AJ133" s="292" t="str">
        <f t="shared" si="76"/>
        <v>1000-6841533.61221152i</v>
      </c>
      <c r="AK133" s="292" t="str">
        <f t="shared" si="77"/>
        <v>0.00513688997125271-0.0643860973502702i</v>
      </c>
      <c r="AL133" s="292" t="str">
        <f t="shared" si="78"/>
        <v>1.18799429785791-0.0114991974487221i</v>
      </c>
      <c r="AM133" s="292" t="str">
        <f t="shared" si="79"/>
        <v>0.019+0.321565327995056i</v>
      </c>
      <c r="AN133" s="292" t="str">
        <f t="shared" si="80"/>
        <v>-0.128732116462414-0.984351601000332i</v>
      </c>
      <c r="AO133" s="292">
        <f t="shared" si="88"/>
        <v>-6.3345435957483362E-2</v>
      </c>
      <c r="AP133" s="292">
        <f t="shared" si="89"/>
        <v>-97.450776412087876</v>
      </c>
      <c r="AR133" s="292" t="str">
        <f t="shared" si="81"/>
        <v>1.18799429785791-0.0114991974487221i</v>
      </c>
      <c r="AS133" s="292" t="str">
        <f t="shared" si="82"/>
        <v>-0.128732116462414-0.984351601000332i</v>
      </c>
      <c r="AT133" s="292">
        <f t="shared" si="90"/>
        <v>-6.3345435957483362E-2</v>
      </c>
      <c r="AU133" s="292">
        <f t="shared" si="91"/>
        <v>-97.450776412087876</v>
      </c>
    </row>
    <row r="134" spans="6:47" x14ac:dyDescent="0.25">
      <c r="F134" s="292">
        <v>132</v>
      </c>
      <c r="G134" s="293">
        <f t="shared" si="62"/>
        <v>176.49328081557346</v>
      </c>
      <c r="H134" s="293">
        <f t="shared" si="63"/>
        <v>168.57881372500071</v>
      </c>
      <c r="I134" s="294">
        <f t="shared" si="64"/>
        <v>1</v>
      </c>
      <c r="J134" s="292">
        <f t="shared" si="83"/>
        <v>1</v>
      </c>
      <c r="K134" s="292">
        <f t="shared" si="83"/>
        <v>1</v>
      </c>
      <c r="L134" s="292">
        <f>10^('Small Signal'!F134/30)</f>
        <v>25118.86431509586</v>
      </c>
      <c r="M134" s="292" t="str">
        <f t="shared" si="84"/>
        <v>157826.479197648i</v>
      </c>
      <c r="N134" s="292">
        <f>IF(D$32=1, IF(AND('Small Signal'!$B$63&gt;=1,FCCM=0),U134+0,R134+0), 0)</f>
        <v>0</v>
      </c>
      <c r="O134" s="292">
        <f>IF(D$32=1, IF(AND('Small Signal'!$B$63&gt;=1,FCCM=0),V134,S134), 0)</f>
        <v>0</v>
      </c>
      <c r="P134" s="292">
        <f>IF(AND('Small Signal'!$B$63&gt;=1,FCCM=0),AE134+0,AB134+0)</f>
        <v>2.7607507650531451</v>
      </c>
      <c r="Q134" s="292">
        <f>IF(AND('Small Signal'!$B$63&gt;=1,FCCM=0),AF134,AC134)</f>
        <v>78.016436103436291</v>
      </c>
      <c r="R134" s="292">
        <f t="shared" si="85"/>
        <v>-0.76609696014684658</v>
      </c>
      <c r="S134" s="292">
        <f t="shared" si="85"/>
        <v>-99.066616746796839</v>
      </c>
      <c r="T134" s="292" t="str">
        <f>IMDIV(IMSUM('Small Signal'!$B$76,IMPRODUCT(M134,'Small Signal'!$B$77)),IMSUM(IMPRODUCT('Small Signal'!$B$80,IMPOWER(M134,2)),IMSUM(IMPRODUCT(M134,'Small Signal'!$B$79),'Small Signal'!$B$78)))</f>
        <v>-0.221239136397452-0.618146705158584i</v>
      </c>
      <c r="U134" s="292">
        <f t="shared" si="65"/>
        <v>-3.6547023016287774</v>
      </c>
      <c r="V134" s="292">
        <f t="shared" si="66"/>
        <v>-109.6926525955882</v>
      </c>
      <c r="W134" s="292" t="str">
        <f>IMPRODUCT(IMDIV(IMSUM(IMPRODUCT(M134,'Small Signal'!$B$59*'Small Signal'!$B$6*'Small Signal'!$B$51*'Small Signal'!$B$7*'Small Signal'!$B$8),'Small Signal'!$B$59*'Small Signal'!$B$6*'Small Signal'!$B$51),IMSUM(IMSUM(IMPRODUCT(M134,('Small Signal'!$B$5+'Small Signal'!$B$6)*('Small Signal'!$B$58*'Small Signal'!$B$59)+'Small Signal'!$B$5*'Small Signal'!$B$59*('Small Signal'!$B$8+'Small Signal'!$B$9)+'Small Signal'!$B$6*'Small Signal'!$B$59*('Small Signal'!$B$8+'Small Signal'!$B$9)+'Small Signal'!$B$7*'Small Signal'!$B$8*('Small Signal'!$B$5+'Small Signal'!$B$6)),'Small Signal'!$B$6+'Small Signal'!$B$5),IMPRODUCT(IMPOWER(M134,2),'Small Signal'!$B$58*'Small Signal'!$B$59*'Small Signal'!$B$8*'Small Signal'!$B$7*('Small Signal'!$B$5+'Small Signal'!$B$6)+('Small Signal'!$B$5+'Small Signal'!$B$6)*('Small Signal'!$B$9*'Small Signal'!$B$8*'Small Signal'!$B$59*'Small Signal'!$B$7)))),-1)</f>
        <v>-1.4543557687161+0.258803782018793i</v>
      </c>
      <c r="X134" s="292">
        <f t="shared" si="67"/>
        <v>0</v>
      </c>
      <c r="Y134" s="292">
        <f t="shared" si="68"/>
        <v>0</v>
      </c>
      <c r="Z134" s="292" t="str">
        <f t="shared" si="69"/>
        <v>1.00806725534154+0.126870575155815i</v>
      </c>
      <c r="AA134" s="292" t="str">
        <f t="shared" si="70"/>
        <v>0.285318489045258+1.34421393917078i</v>
      </c>
      <c r="AB134" s="289">
        <f t="shared" si="86"/>
        <v>2.7607507650531451</v>
      </c>
      <c r="AC134" s="292">
        <f t="shared" si="87"/>
        <v>78.016436103436291</v>
      </c>
      <c r="AD134" s="292" t="str">
        <f t="shared" si="71"/>
        <v>0.4817391194229+0.841747701330005i</v>
      </c>
      <c r="AE134" s="289">
        <f t="shared" si="72"/>
        <v>-0.26589590304908428</v>
      </c>
      <c r="AF134" s="292">
        <f t="shared" si="73"/>
        <v>60.217139612821697</v>
      </c>
      <c r="AH134" s="292" t="str">
        <f t="shared" si="74"/>
        <v>0.00075-0.060000685676058i</v>
      </c>
      <c r="AI134" s="292">
        <f t="shared" si="75"/>
        <v>0.95</v>
      </c>
      <c r="AJ134" s="292" t="str">
        <f t="shared" si="76"/>
        <v>1000-6336072.40739171i</v>
      </c>
      <c r="AK134" s="292" t="str">
        <f t="shared" si="77"/>
        <v>0.00451501011457276-0.0596684166744746i</v>
      </c>
      <c r="AL134" s="292" t="str">
        <f t="shared" si="78"/>
        <v>1.18797583251609-0.0124163547978089i</v>
      </c>
      <c r="AM134" s="292" t="str">
        <f t="shared" si="79"/>
        <v>0.019+0.347218254234826i</v>
      </c>
      <c r="AN134" s="292" t="str">
        <f t="shared" si="80"/>
        <v>-0.144279211835548-0.904138166359852i</v>
      </c>
      <c r="AO134" s="292">
        <f t="shared" si="88"/>
        <v>-0.76609696014684658</v>
      </c>
      <c r="AP134" s="292">
        <f t="shared" si="89"/>
        <v>-99.066616746796839</v>
      </c>
      <c r="AR134" s="292" t="str">
        <f t="shared" si="81"/>
        <v>1.18797583251609-0.0124163547978089i</v>
      </c>
      <c r="AS134" s="292" t="str">
        <f t="shared" si="82"/>
        <v>-0.144279211835548-0.904138166359852i</v>
      </c>
      <c r="AT134" s="292">
        <f t="shared" si="90"/>
        <v>-0.76609696014684658</v>
      </c>
      <c r="AU134" s="292">
        <f t="shared" si="91"/>
        <v>-99.066616746796839</v>
      </c>
    </row>
    <row r="135" spans="6:47" x14ac:dyDescent="0.25">
      <c r="F135" s="292">
        <v>133</v>
      </c>
      <c r="G135" s="293">
        <f t="shared" si="62"/>
        <v>177.10966496593528</v>
      </c>
      <c r="H135" s="293">
        <f t="shared" si="63"/>
        <v>168.57881372500071</v>
      </c>
      <c r="I135" s="294">
        <f t="shared" si="64"/>
        <v>1</v>
      </c>
      <c r="J135" s="292">
        <f t="shared" si="83"/>
        <v>1</v>
      </c>
      <c r="K135" s="292">
        <f t="shared" si="83"/>
        <v>1</v>
      </c>
      <c r="L135" s="292">
        <f>10^('Small Signal'!F135/30)</f>
        <v>27122.725793320307</v>
      </c>
      <c r="M135" s="292" t="str">
        <f t="shared" si="84"/>
        <v>170417.112195251i</v>
      </c>
      <c r="N135" s="292">
        <f>IF(D$32=1, IF(AND('Small Signal'!$B$63&gt;=1,FCCM=0),U135+0,R135+0), 0)</f>
        <v>0</v>
      </c>
      <c r="O135" s="292">
        <f>IF(D$32=1, IF(AND('Small Signal'!$B$63&gt;=1,FCCM=0),V135,S135), 0)</f>
        <v>0</v>
      </c>
      <c r="P135" s="292">
        <f>IF(AND('Small Signal'!$B$63&gt;=1,FCCM=0),AE135+0,AB135+0)</f>
        <v>2.0571874913395498</v>
      </c>
      <c r="Q135" s="292">
        <f>IF(AND('Small Signal'!$B$63&gt;=1,FCCM=0),AF135,AC135)</f>
        <v>77.449953386233332</v>
      </c>
      <c r="R135" s="292">
        <f t="shared" si="85"/>
        <v>-1.4770898015400498</v>
      </c>
      <c r="S135" s="292">
        <f t="shared" si="85"/>
        <v>-100.71976352755395</v>
      </c>
      <c r="T135" s="292" t="str">
        <f>IMDIV(IMSUM('Small Signal'!$B$76,IMPRODUCT(M135,'Small Signal'!$B$77)),IMSUM(IMPRODUCT('Small Signal'!$B$80,IMPOWER(M135,2)),IMSUM(IMPRODUCT(M135,'Small Signal'!$B$79),'Small Signal'!$B$78)))</f>
        <v>-0.224875504669788-0.553853462672472i</v>
      </c>
      <c r="U135" s="292">
        <f t="shared" si="65"/>
        <v>-4.4693945295891888</v>
      </c>
      <c r="V135" s="292">
        <f t="shared" si="66"/>
        <v>-112.09812925398089</v>
      </c>
      <c r="W135" s="292" t="str">
        <f>IMPRODUCT(IMDIV(IMSUM(IMPRODUCT(M135,'Small Signal'!$B$59*'Small Signal'!$B$6*'Small Signal'!$B$51*'Small Signal'!$B$7*'Small Signal'!$B$8),'Small Signal'!$B$59*'Small Signal'!$B$6*'Small Signal'!$B$51),IMSUM(IMSUM(IMPRODUCT(M135,('Small Signal'!$B$5+'Small Signal'!$B$6)*('Small Signal'!$B$58*'Small Signal'!$B$59)+'Small Signal'!$B$5*'Small Signal'!$B$59*('Small Signal'!$B$8+'Small Signal'!$B$9)+'Small Signal'!$B$6*'Small Signal'!$B$59*('Small Signal'!$B$8+'Small Signal'!$B$9)+'Small Signal'!$B$7*'Small Signal'!$B$8*('Small Signal'!$B$5+'Small Signal'!$B$6)),'Small Signal'!$B$6+'Small Signal'!$B$5),IMPRODUCT(IMPOWER(M135,2),'Small Signal'!$B$58*'Small Signal'!$B$59*'Small Signal'!$B$8*'Small Signal'!$B$7*('Small Signal'!$B$5+'Small Signal'!$B$6)+('Small Signal'!$B$5+'Small Signal'!$B$6)*('Small Signal'!$B$9*'Small Signal'!$B$8*'Small Signal'!$B$59*'Small Signal'!$B$7)))),-1)</f>
        <v>-1.45420934494109+0.244758280005165i</v>
      </c>
      <c r="X135" s="292">
        <f t="shared" si="67"/>
        <v>0</v>
      </c>
      <c r="Y135" s="292">
        <f t="shared" si="68"/>
        <v>0</v>
      </c>
      <c r="Z135" s="292" t="str">
        <f t="shared" si="69"/>
        <v>1.00939944911977+0.136900228632028i</v>
      </c>
      <c r="AA135" s="292" t="str">
        <f t="shared" si="70"/>
        <v>0.275361818123334+1.23696273078952i</v>
      </c>
      <c r="AB135" s="289">
        <f t="shared" si="86"/>
        <v>2.0571874913395498</v>
      </c>
      <c r="AC135" s="292">
        <f t="shared" si="87"/>
        <v>77.449953386233332</v>
      </c>
      <c r="AD135" s="292" t="str">
        <f t="shared" si="71"/>
        <v>0.462576281237769+0.750378739408019i</v>
      </c>
      <c r="AE135" s="289">
        <f t="shared" si="72"/>
        <v>-1.095537914415232</v>
      </c>
      <c r="AF135" s="292">
        <f t="shared" si="73"/>
        <v>58.347950024832151</v>
      </c>
      <c r="AH135" s="292" t="str">
        <f t="shared" si="74"/>
        <v>0.00075-0.0555677587051664i</v>
      </c>
      <c r="AI135" s="292">
        <f t="shared" si="75"/>
        <v>0.95</v>
      </c>
      <c r="AJ135" s="292" t="str">
        <f t="shared" si="76"/>
        <v>1000-5867955.31926557i</v>
      </c>
      <c r="AK135" s="292" t="str">
        <f t="shared" si="77"/>
        <v>0.00398097378690338-0.0552912505728849i</v>
      </c>
      <c r="AL135" s="292" t="str">
        <f t="shared" si="78"/>
        <v>1.18795430423292-0.0134066285604219i</v>
      </c>
      <c r="AM135" s="292" t="str">
        <f t="shared" si="79"/>
        <v>0.019+0.374917646829552i</v>
      </c>
      <c r="AN135" s="292" t="str">
        <f t="shared" si="80"/>
        <v>-0.156917507853099-0.828895139218919i</v>
      </c>
      <c r="AO135" s="292">
        <f t="shared" si="88"/>
        <v>-1.4770898015400498</v>
      </c>
      <c r="AP135" s="292">
        <f t="shared" si="89"/>
        <v>-100.71976352755395</v>
      </c>
      <c r="AR135" s="292" t="str">
        <f t="shared" si="81"/>
        <v>1.18795430423292-0.0134066285604219i</v>
      </c>
      <c r="AS135" s="292" t="str">
        <f t="shared" si="82"/>
        <v>-0.156917507853099-0.828895139218919i</v>
      </c>
      <c r="AT135" s="292">
        <f t="shared" si="90"/>
        <v>-1.4770898015400498</v>
      </c>
      <c r="AU135" s="292">
        <f t="shared" si="91"/>
        <v>-100.71976352755395</v>
      </c>
    </row>
    <row r="136" spans="6:47" x14ac:dyDescent="0.25">
      <c r="F136" s="292">
        <v>134</v>
      </c>
      <c r="G136" s="293">
        <f t="shared" si="62"/>
        <v>177.77144769120716</v>
      </c>
      <c r="H136" s="293">
        <f t="shared" si="63"/>
        <v>168.57881372500071</v>
      </c>
      <c r="I136" s="294">
        <f t="shared" si="64"/>
        <v>1</v>
      </c>
      <c r="J136" s="292">
        <f t="shared" si="83"/>
        <v>1</v>
      </c>
      <c r="K136" s="292">
        <f t="shared" si="83"/>
        <v>1</v>
      </c>
      <c r="L136" s="292">
        <f>10^('Small Signal'!F136/30)</f>
        <v>29286.445646252399</v>
      </c>
      <c r="M136" s="292" t="str">
        <f t="shared" si="84"/>
        <v>184012.164984047i</v>
      </c>
      <c r="N136" s="292">
        <f>IF(D$32=1, IF(AND('Small Signal'!$B$63&gt;=1,FCCM=0),U136+0,R136+0), 0)</f>
        <v>0</v>
      </c>
      <c r="O136" s="292">
        <f>IF(D$32=1, IF(AND('Small Signal'!$B$63&gt;=1,FCCM=0),V136,S136), 0)</f>
        <v>0</v>
      </c>
      <c r="P136" s="292">
        <f>IF(AND('Small Signal'!$B$63&gt;=1,FCCM=0),AE136+0,AB136+0)</f>
        <v>1.3501119856989678</v>
      </c>
      <c r="Q136" s="292">
        <f>IF(AND('Small Signal'!$B$63&gt;=1,FCCM=0),AF136,AC136)</f>
        <v>76.825489705303966</v>
      </c>
      <c r="R136" s="292">
        <f t="shared" si="85"/>
        <v>-2.1970994706909655</v>
      </c>
      <c r="S136" s="292">
        <f t="shared" si="85"/>
        <v>-102.41564577519958</v>
      </c>
      <c r="T136" s="292" t="str">
        <f>IMDIV(IMSUM('Small Signal'!$B$76,IMPRODUCT(M136,'Small Signal'!$B$77)),IMSUM(IMPRODUCT('Small Signal'!$B$80,IMPOWER(M136,2)),IMSUM(IMPRODUCT(M136,'Small Signal'!$B$79),'Small Signal'!$B$78)))</f>
        <v>-0.225401653918835-0.493928128696083i</v>
      </c>
      <c r="U136" s="292">
        <f t="shared" si="65"/>
        <v>-5.3051538975846508</v>
      </c>
      <c r="V136" s="292">
        <f t="shared" si="66"/>
        <v>-114.52935010411717</v>
      </c>
      <c r="W136" s="292" t="str">
        <f>IMPRODUCT(IMDIV(IMSUM(IMPRODUCT(M136,'Small Signal'!$B$59*'Small Signal'!$B$6*'Small Signal'!$B$51*'Small Signal'!$B$7*'Small Signal'!$B$8),'Small Signal'!$B$59*'Small Signal'!$B$6*'Small Signal'!$B$51),IMSUM(IMSUM(IMPRODUCT(M136,('Small Signal'!$B$5+'Small Signal'!$B$6)*('Small Signal'!$B$58*'Small Signal'!$B$59)+'Small Signal'!$B$5*'Small Signal'!$B$59*('Small Signal'!$B$8+'Small Signal'!$B$9)+'Small Signal'!$B$6*'Small Signal'!$B$59*('Small Signal'!$B$8+'Small Signal'!$B$9)+'Small Signal'!$B$7*'Small Signal'!$B$8*('Small Signal'!$B$5+'Small Signal'!$B$6)),'Small Signal'!$B$6+'Small Signal'!$B$5),IMPRODUCT(IMPOWER(M136,2),'Small Signal'!$B$58*'Small Signal'!$B$59*'Small Signal'!$B$8*'Small Signal'!$B$7*('Small Signal'!$B$5+'Small Signal'!$B$6)+('Small Signal'!$B$5+'Small Signal'!$B$6)*('Small Signal'!$B$9*'Small Signal'!$B$8*'Small Signal'!$B$59*'Small Signal'!$B$7)))),-1)</f>
        <v>-1.45404539723211+0.232154336073417i</v>
      </c>
      <c r="X136" s="292">
        <f t="shared" si="67"/>
        <v>0</v>
      </c>
      <c r="Y136" s="292">
        <f t="shared" si="68"/>
        <v>0</v>
      </c>
      <c r="Z136" s="292" t="str">
        <f t="shared" si="69"/>
        <v>1.01095042858688+0.14770648254168i</v>
      </c>
      <c r="AA136" s="292" t="str">
        <f t="shared" si="70"/>
        <v>0.266246370220883+1.13742304973292i</v>
      </c>
      <c r="AB136" s="289">
        <f t="shared" si="86"/>
        <v>1.3501119856989678</v>
      </c>
      <c r="AC136" s="292">
        <f t="shared" si="87"/>
        <v>76.825489705303966</v>
      </c>
      <c r="AD136" s="292" t="str">
        <f t="shared" si="71"/>
        <v>0.442411794194611+0.665865950778631i</v>
      </c>
      <c r="AE136" s="289">
        <f t="shared" si="72"/>
        <v>-1.9442733623475346</v>
      </c>
      <c r="AF136" s="292">
        <f t="shared" si="73"/>
        <v>56.399312655229316</v>
      </c>
      <c r="AH136" s="292" t="str">
        <f t="shared" si="74"/>
        <v>0.00075-0.0514623420169962i</v>
      </c>
      <c r="AI136" s="292">
        <f t="shared" si="75"/>
        <v>0.95</v>
      </c>
      <c r="AJ136" s="292" t="str">
        <f t="shared" si="76"/>
        <v>1000-5434423.3169948i</v>
      </c>
      <c r="AK136" s="292" t="str">
        <f t="shared" si="77"/>
        <v>0.00352245217367555-0.0512310815852908i</v>
      </c>
      <c r="AL136" s="292" t="str">
        <f t="shared" si="78"/>
        <v>1.18792920508271-0.0144758386774856i</v>
      </c>
      <c r="AM136" s="292" t="str">
        <f t="shared" si="79"/>
        <v>0.019+0.404826762964903i</v>
      </c>
      <c r="AN136" s="292" t="str">
        <f t="shared" si="80"/>
        <v>-0.166950438999997-0.758346691043236i</v>
      </c>
      <c r="AO136" s="292">
        <f t="shared" si="88"/>
        <v>-2.1970994706909655</v>
      </c>
      <c r="AP136" s="292">
        <f t="shared" si="89"/>
        <v>-102.41564577519958</v>
      </c>
      <c r="AR136" s="292" t="str">
        <f t="shared" si="81"/>
        <v>1.18792920508271-0.0144758386774856i</v>
      </c>
      <c r="AS136" s="292" t="str">
        <f t="shared" si="82"/>
        <v>-0.166950438999997-0.758346691043236i</v>
      </c>
      <c r="AT136" s="292">
        <f t="shared" si="90"/>
        <v>-2.1970994706909655</v>
      </c>
      <c r="AU136" s="292">
        <f t="shared" si="91"/>
        <v>-102.41564577519958</v>
      </c>
    </row>
    <row r="137" spans="6:47" x14ac:dyDescent="0.25">
      <c r="F137" s="292">
        <v>135</v>
      </c>
      <c r="G137" s="293">
        <f t="shared" si="62"/>
        <v>178.48132268045791</v>
      </c>
      <c r="H137" s="293">
        <f t="shared" si="63"/>
        <v>168.57881372500071</v>
      </c>
      <c r="I137" s="294">
        <f t="shared" si="64"/>
        <v>1</v>
      </c>
      <c r="J137" s="292">
        <f t="shared" si="83"/>
        <v>1</v>
      </c>
      <c r="K137" s="292">
        <f t="shared" si="83"/>
        <v>1</v>
      </c>
      <c r="L137" s="292">
        <f>10^('Small Signal'!F137/30)</f>
        <v>31622.77660168384</v>
      </c>
      <c r="M137" s="292" t="str">
        <f t="shared" si="84"/>
        <v>198691.765315922i</v>
      </c>
      <c r="N137" s="292">
        <f>IF(D$32=1, IF(AND('Small Signal'!$B$63&gt;=1,FCCM=0),U137+0,R137+0), 0)</f>
        <v>0</v>
      </c>
      <c r="O137" s="292">
        <f>IF(D$32=1, IF(AND('Small Signal'!$B$63&gt;=1,FCCM=0),V137,S137), 0)</f>
        <v>0</v>
      </c>
      <c r="P137" s="292">
        <f>IF(AND('Small Signal'!$B$63&gt;=1,FCCM=0),AE137+0,AB137+0)</f>
        <v>0.6388586529227287</v>
      </c>
      <c r="Q137" s="292">
        <f>IF(AND('Small Signal'!$B$63&gt;=1,FCCM=0),AF137,AC137)</f>
        <v>76.142240720885766</v>
      </c>
      <c r="R137" s="292">
        <f t="shared" si="85"/>
        <v>-2.927025615571313</v>
      </c>
      <c r="S137" s="292">
        <f t="shared" si="85"/>
        <v>-104.15914623867346</v>
      </c>
      <c r="T137" s="292" t="str">
        <f>IMDIV(IMSUM('Small Signal'!$B$76,IMPRODUCT(M137,'Small Signal'!$B$77)),IMSUM(IMPRODUCT('Small Signal'!$B$80,IMPOWER(M137,2)),IMSUM(IMPRODUCT(M137,'Small Signal'!$B$79),'Small Signal'!$B$78)))</f>
        <v>-0.223163439704247-0.43832015702553i</v>
      </c>
      <c r="U137" s="292">
        <f t="shared" si="65"/>
        <v>-6.1631659187509049</v>
      </c>
      <c r="V137" s="292">
        <f t="shared" si="66"/>
        <v>-116.98216495242097</v>
      </c>
      <c r="W137" s="292" t="str">
        <f>IMPRODUCT(IMDIV(IMSUM(IMPRODUCT(M137,'Small Signal'!$B$59*'Small Signal'!$B$6*'Small Signal'!$B$51*'Small Signal'!$B$7*'Small Signal'!$B$8),'Small Signal'!$B$59*'Small Signal'!$B$6*'Small Signal'!$B$51),IMSUM(IMSUM(IMPRODUCT(M137,('Small Signal'!$B$5+'Small Signal'!$B$6)*('Small Signal'!$B$58*'Small Signal'!$B$59)+'Small Signal'!$B$5*'Small Signal'!$B$59*('Small Signal'!$B$8+'Small Signal'!$B$9)+'Small Signal'!$B$6*'Small Signal'!$B$59*('Small Signal'!$B$8+'Small Signal'!$B$9)+'Small Signal'!$B$7*'Small Signal'!$B$8*('Small Signal'!$B$5+'Small Signal'!$B$6)),'Small Signal'!$B$6+'Small Signal'!$B$5),IMPRODUCT(IMPOWER(M137,2),'Small Signal'!$B$58*'Small Signal'!$B$59*'Small Signal'!$B$8*'Small Signal'!$B$7*('Small Signal'!$B$5+'Small Signal'!$B$6)+('Small Signal'!$B$5+'Small Signal'!$B$6)*('Small Signal'!$B$9*'Small Signal'!$B$8*'Small Signal'!$B$59*'Small Signal'!$B$7)))),-1)</f>
        <v>-1.45386006823636+0.220917401964984i</v>
      </c>
      <c r="X137" s="292">
        <f t="shared" si="67"/>
        <v>0</v>
      </c>
      <c r="Y137" s="292">
        <f t="shared" si="68"/>
        <v>0</v>
      </c>
      <c r="Z137" s="292" t="str">
        <f t="shared" si="69"/>
        <v>1.01275569405335+0.159345278478671i</v>
      </c>
      <c r="AA137" s="292" t="str">
        <f t="shared" si="70"/>
        <v>0.257792810959243+1.04499556479707i</v>
      </c>
      <c r="AB137" s="289">
        <f t="shared" si="86"/>
        <v>0.6388586529227287</v>
      </c>
      <c r="AC137" s="292">
        <f t="shared" si="87"/>
        <v>76.142240720885766</v>
      </c>
      <c r="AD137" s="292" t="str">
        <f t="shared" si="71"/>
        <v>0.421280963995241+0.587955486089477i</v>
      </c>
      <c r="AE137" s="289">
        <f t="shared" si="72"/>
        <v>-2.8135774516355889</v>
      </c>
      <c r="AF137" s="292">
        <f t="shared" si="73"/>
        <v>54.377702979605182</v>
      </c>
      <c r="AH137" s="292" t="str">
        <f t="shared" si="74"/>
        <v>0.00075-0.0476602387353096i</v>
      </c>
      <c r="AI137" s="292">
        <f t="shared" si="75"/>
        <v>0.95</v>
      </c>
      <c r="AJ137" s="292" t="str">
        <f t="shared" si="76"/>
        <v>1000-5032921.2104487i</v>
      </c>
      <c r="AK137" s="292" t="str">
        <f t="shared" si="77"/>
        <v>0.00312882581787673-0.0474657962519343i</v>
      </c>
      <c r="AL137" s="292" t="str">
        <f t="shared" si="78"/>
        <v>1.18789994296111-0.0156302660298068i</v>
      </c>
      <c r="AM137" s="292" t="str">
        <f t="shared" si="79"/>
        <v>0.019+0.437121883695028i</v>
      </c>
      <c r="AN137" s="292" t="str">
        <f t="shared" si="80"/>
        <v>-0.174635976466693-0.692229799578803i</v>
      </c>
      <c r="AO137" s="292">
        <f t="shared" si="88"/>
        <v>-2.927025615571313</v>
      </c>
      <c r="AP137" s="292">
        <f t="shared" si="89"/>
        <v>-104.15914623867346</v>
      </c>
      <c r="AR137" s="292" t="str">
        <f t="shared" si="81"/>
        <v>1.18789994296111-0.0156302660298068i</v>
      </c>
      <c r="AS137" s="292" t="str">
        <f t="shared" si="82"/>
        <v>-0.174635976466693-0.692229799578803i</v>
      </c>
      <c r="AT137" s="292">
        <f t="shared" si="90"/>
        <v>-2.927025615571313</v>
      </c>
      <c r="AU137" s="292">
        <f t="shared" si="91"/>
        <v>-104.15914623867346</v>
      </c>
    </row>
    <row r="138" spans="6:47" x14ac:dyDescent="0.25">
      <c r="F138" s="292">
        <v>136</v>
      </c>
      <c r="G138" s="293">
        <f t="shared" si="62"/>
        <v>179.24197999236168</v>
      </c>
      <c r="H138" s="293">
        <f t="shared" si="63"/>
        <v>168.57881372500071</v>
      </c>
      <c r="I138" s="294">
        <f t="shared" si="64"/>
        <v>1</v>
      </c>
      <c r="J138" s="292">
        <f t="shared" si="83"/>
        <v>0</v>
      </c>
      <c r="K138" s="292">
        <f t="shared" si="83"/>
        <v>1</v>
      </c>
      <c r="L138" s="292">
        <f>10^('Small Signal'!F138/30)</f>
        <v>34145.488738336011</v>
      </c>
      <c r="M138" s="292" t="str">
        <f t="shared" si="84"/>
        <v>214542.433147179i</v>
      </c>
      <c r="N138" s="292">
        <f>IF(D$32=1, IF(AND('Small Signal'!$B$63&gt;=1,FCCM=0),U138+0,R138+0), 0)</f>
        <v>0</v>
      </c>
      <c r="O138" s="292">
        <f>IF(D$32=1, IF(AND('Small Signal'!$B$63&gt;=1,FCCM=0),V138,S138), 0)</f>
        <v>0</v>
      </c>
      <c r="P138" s="292">
        <f>IF(AND('Small Signal'!$B$63&gt;=1,FCCM=0),AE138+0,AB138+0)</f>
        <v>-7.7257253079055399E-2</v>
      </c>
      <c r="Q138" s="292">
        <f>IF(AND('Small Signal'!$B$63&gt;=1,FCCM=0),AF138,AC138)</f>
        <v>75.399718549967076</v>
      </c>
      <c r="R138" s="292">
        <f t="shared" si="85"/>
        <v>-3.6678889352877957</v>
      </c>
      <c r="S138" s="292">
        <f t="shared" si="85"/>
        <v>-105.95447451136798</v>
      </c>
      <c r="T138" s="292" t="str">
        <f>IMDIV(IMSUM('Small Signal'!$B$76,IMPRODUCT(M138,'Small Signal'!$B$77)),IMSUM(IMPRODUCT('Small Signal'!$B$80,IMPOWER(M138,2)),IMSUM(IMPRODUCT(M138,'Small Signal'!$B$79),'Small Signal'!$B$78)))</f>
        <v>-0.218500026358891-0.386973180742835i</v>
      </c>
      <c r="U138" s="292">
        <f t="shared" si="65"/>
        <v>-7.0445378156540226</v>
      </c>
      <c r="V138" s="292">
        <f t="shared" si="66"/>
        <v>-119.45075325946769</v>
      </c>
      <c r="W138" s="292" t="str">
        <f>IMPRODUCT(IMDIV(IMSUM(IMPRODUCT(M138,'Small Signal'!$B$59*'Small Signal'!$B$6*'Small Signal'!$B$51*'Small Signal'!$B$7*'Small Signal'!$B$8),'Small Signal'!$B$59*'Small Signal'!$B$6*'Small Signal'!$B$51),IMSUM(IMSUM(IMPRODUCT(M138,('Small Signal'!$B$5+'Small Signal'!$B$6)*('Small Signal'!$B$58*'Small Signal'!$B$59)+'Small Signal'!$B$5*'Small Signal'!$B$59*('Small Signal'!$B$8+'Small Signal'!$B$9)+'Small Signal'!$B$6*'Small Signal'!$B$59*('Small Signal'!$B$8+'Small Signal'!$B$9)+'Small Signal'!$B$7*'Small Signal'!$B$8*('Small Signal'!$B$5+'Small Signal'!$B$6)),'Small Signal'!$B$6+'Small Signal'!$B$5),IMPRODUCT(IMPOWER(M138,2),'Small Signal'!$B$58*'Small Signal'!$B$59*'Small Signal'!$B$8*'Small Signal'!$B$7*('Small Signal'!$B$5+'Small Signal'!$B$6)+('Small Signal'!$B$5+'Small Signal'!$B$6)*('Small Signal'!$B$9*'Small Signal'!$B$8*'Small Signal'!$B$59*'Small Signal'!$B$7)))),-1)</f>
        <v>-1.45364900062571+0.210980918394735i</v>
      </c>
      <c r="X138" s="292">
        <f t="shared" si="67"/>
        <v>0</v>
      </c>
      <c r="Y138" s="292">
        <f t="shared" si="68"/>
        <v>0</v>
      </c>
      <c r="Z138" s="292" t="str">
        <f t="shared" si="69"/>
        <v>1.01485635273252+0.171875499910516i</v>
      </c>
      <c r="AA138" s="292" t="str">
        <f t="shared" si="70"/>
        <v>0.249841962745315+0.959138752419708i</v>
      </c>
      <c r="AB138" s="289">
        <f t="shared" si="86"/>
        <v>-7.7257253079055399E-2</v>
      </c>
      <c r="AC138" s="292">
        <f t="shared" si="87"/>
        <v>75.399718549967076</v>
      </c>
      <c r="AD138" s="292" t="str">
        <f t="shared" si="71"/>
        <v>0.399266302020548+0.516423841225302i</v>
      </c>
      <c r="AE138" s="289">
        <f t="shared" si="72"/>
        <v>-3.704811643778906</v>
      </c>
      <c r="AF138" s="292">
        <f t="shared" si="73"/>
        <v>52.291068965026561</v>
      </c>
      <c r="AH138" s="292" t="str">
        <f t="shared" si="74"/>
        <v>0.00075-0.0441390396798597i</v>
      </c>
      <c r="AI138" s="292">
        <f t="shared" si="75"/>
        <v>0.95</v>
      </c>
      <c r="AJ138" s="292" t="str">
        <f t="shared" si="76"/>
        <v>1000-4661082.59019318i</v>
      </c>
      <c r="AK138" s="292" t="str">
        <f t="shared" si="77"/>
        <v>0.00279095317878964-0.0439746487589568i</v>
      </c>
      <c r="AL138" s="292" t="str">
        <f t="shared" si="78"/>
        <v>1.18786582765234-0.0168766883438807i</v>
      </c>
      <c r="AM138" s="292" t="str">
        <f t="shared" si="79"/>
        <v>0.019+0.471993352923794i</v>
      </c>
      <c r="AN138" s="292" t="str">
        <f t="shared" si="80"/>
        <v>-0.180193198085734-0.630298090198864i</v>
      </c>
      <c r="AO138" s="292">
        <f t="shared" si="88"/>
        <v>-3.6678889352877957</v>
      </c>
      <c r="AP138" s="292">
        <f t="shared" si="89"/>
        <v>-105.95447451136798</v>
      </c>
      <c r="AR138" s="292" t="str">
        <f t="shared" si="81"/>
        <v>1.18786582765234-0.0168766883438807i</v>
      </c>
      <c r="AS138" s="292" t="str">
        <f t="shared" si="82"/>
        <v>-0.180193198085734-0.630298090198864i</v>
      </c>
      <c r="AT138" s="292">
        <f t="shared" si="90"/>
        <v>-3.6678889352877957</v>
      </c>
      <c r="AU138" s="292">
        <f t="shared" si="91"/>
        <v>-105.95447451136798</v>
      </c>
    </row>
    <row r="139" spans="6:47" x14ac:dyDescent="0.25">
      <c r="F139" s="292">
        <v>137</v>
      </c>
      <c r="G139" s="293">
        <f t="shared" si="62"/>
        <v>180.05605855964012</v>
      </c>
      <c r="H139" s="293">
        <f t="shared" si="63"/>
        <v>168.57881372500071</v>
      </c>
      <c r="I139" s="294">
        <f t="shared" si="64"/>
        <v>1</v>
      </c>
      <c r="J139" s="292">
        <f t="shared" si="83"/>
        <v>0</v>
      </c>
      <c r="K139" s="292">
        <f t="shared" si="83"/>
        <v>1</v>
      </c>
      <c r="L139" s="292">
        <f>10^('Small Signal'!F139/30)</f>
        <v>36869.450645195764</v>
      </c>
      <c r="M139" s="292" t="str">
        <f t="shared" si="84"/>
        <v>231657.590577677i</v>
      </c>
      <c r="N139" s="292">
        <f>IF(D$32=1, IF(AND('Small Signal'!$B$63&gt;=1,FCCM=0),U139+0,R139+0), 0)</f>
        <v>0</v>
      </c>
      <c r="O139" s="292">
        <f>IF(D$32=1, IF(AND('Small Signal'!$B$63&gt;=1,FCCM=0),V139,S139), 0)</f>
        <v>0</v>
      </c>
      <c r="P139" s="292">
        <f>IF(AND('Small Signal'!$B$63&gt;=1,FCCM=0),AE139+0,AB139+0)</f>
        <v>-0.79893363037432341</v>
      </c>
      <c r="Q139" s="292">
        <f>IF(AND('Small Signal'!$B$63&gt;=1,FCCM=0),AF139,AC139)</f>
        <v>74.597811721930853</v>
      </c>
      <c r="R139" s="292">
        <f t="shared" si="85"/>
        <v>-4.4208249610306636</v>
      </c>
      <c r="S139" s="292">
        <f t="shared" si="85"/>
        <v>-107.80502699112701</v>
      </c>
      <c r="T139" s="292" t="str">
        <f>IMDIV(IMSUM('Small Signal'!$B$76,IMPRODUCT(M139,'Small Signal'!$B$77)),IMSUM(IMPRODUCT('Small Signal'!$B$80,IMPOWER(M139,2)),IMSUM(IMPRODUCT(M139,'Small Signal'!$B$79),'Small Signal'!$B$78)))</f>
        <v>-0.211747896431884-0.339820862655909i</v>
      </c>
      <c r="U139" s="292">
        <f t="shared" si="65"/>
        <v>-7.9502478320609482</v>
      </c>
      <c r="V139" s="292">
        <f t="shared" si="66"/>
        <v>-121.92770361228975</v>
      </c>
      <c r="W139" s="292" t="str">
        <f>IMPRODUCT(IMDIV(IMSUM(IMPRODUCT(M139,'Small Signal'!$B$59*'Small Signal'!$B$6*'Small Signal'!$B$51*'Small Signal'!$B$7*'Small Signal'!$B$8),'Small Signal'!$B$59*'Small Signal'!$B$6*'Small Signal'!$B$51),IMSUM(IMSUM(IMPRODUCT(M139,('Small Signal'!$B$5+'Small Signal'!$B$6)*('Small Signal'!$B$58*'Small Signal'!$B$59)+'Small Signal'!$B$5*'Small Signal'!$B$59*('Small Signal'!$B$8+'Small Signal'!$B$9)+'Small Signal'!$B$6*'Small Signal'!$B$59*('Small Signal'!$B$8+'Small Signal'!$B$9)+'Small Signal'!$B$7*'Small Signal'!$B$8*('Small Signal'!$B$5+'Small Signal'!$B$6)),'Small Signal'!$B$6+'Small Signal'!$B$5),IMPRODUCT(IMPOWER(M139,2),'Small Signal'!$B$58*'Small Signal'!$B$59*'Small Signal'!$B$8*'Small Signal'!$B$7*('Small Signal'!$B$5+'Small Signal'!$B$6)+('Small Signal'!$B$5+'Small Signal'!$B$6)*('Small Signal'!$B$9*'Small Signal'!$B$8*'Small Signal'!$B$59*'Small Signal'!$B$7)))),-1)</f>
        <v>-1.45340723595491+0.202285905304097i</v>
      </c>
      <c r="X139" s="292">
        <f t="shared" si="67"/>
        <v>0</v>
      </c>
      <c r="Y139" s="292">
        <f t="shared" si="68"/>
        <v>0</v>
      </c>
      <c r="Z139" s="292" t="str">
        <f t="shared" si="69"/>
        <v>1.01729994966669+0.185358829507678i</v>
      </c>
      <c r="AA139" s="292" t="str">
        <f t="shared" si="70"/>
        <v>0.24225337861699+0.879364161521979i</v>
      </c>
      <c r="AB139" s="289">
        <f t="shared" si="86"/>
        <v>-0.79893363037432341</v>
      </c>
      <c r="AC139" s="292">
        <f t="shared" si="87"/>
        <v>74.597811721930853</v>
      </c>
      <c r="AD139" s="292" t="str">
        <f t="shared" si="71"/>
        <v>0.376496895715901+0.451064485786576i</v>
      </c>
      <c r="AE139" s="289">
        <f t="shared" si="72"/>
        <v>-4.6191778605238172</v>
      </c>
      <c r="AF139" s="292">
        <f t="shared" si="73"/>
        <v>50.148744018282507</v>
      </c>
      <c r="AH139" s="292" t="str">
        <f t="shared" si="74"/>
        <v>0.00075-0.040877991289138i</v>
      </c>
      <c r="AI139" s="292">
        <f t="shared" si="75"/>
        <v>0.95</v>
      </c>
      <c r="AJ139" s="292" t="str">
        <f t="shared" si="76"/>
        <v>1000-4316715.88013297i</v>
      </c>
      <c r="AK139" s="292" t="str">
        <f t="shared" si="77"/>
        <v>0.00250096904507124-0.0407382137972744i</v>
      </c>
      <c r="AL139" s="292" t="str">
        <f t="shared" si="78"/>
        <v>1.1878260545966-0.0182224187383153i</v>
      </c>
      <c r="AM139" s="292" t="str">
        <f t="shared" si="79"/>
        <v>0.019+0.509646699270889i</v>
      </c>
      <c r="AN139" s="292" t="str">
        <f t="shared" si="80"/>
        <v>-0.183808750397584-0.572324698995551i</v>
      </c>
      <c r="AO139" s="292">
        <f t="shared" si="88"/>
        <v>-4.4208249610306636</v>
      </c>
      <c r="AP139" s="292">
        <f t="shared" si="89"/>
        <v>-107.80502699112701</v>
      </c>
      <c r="AR139" s="292" t="str">
        <f t="shared" si="81"/>
        <v>1.1878260545966-0.0182224187383153i</v>
      </c>
      <c r="AS139" s="292" t="str">
        <f t="shared" si="82"/>
        <v>-0.183808750397584-0.572324698995551i</v>
      </c>
      <c r="AT139" s="292">
        <f t="shared" si="90"/>
        <v>-4.4208249610306636</v>
      </c>
      <c r="AU139" s="292">
        <f t="shared" si="91"/>
        <v>-107.80502699112701</v>
      </c>
    </row>
    <row r="140" spans="6:47" x14ac:dyDescent="0.25">
      <c r="F140" s="292">
        <v>138</v>
      </c>
      <c r="G140" s="293">
        <f t="shared" si="62"/>
        <v>180.9260865403896</v>
      </c>
      <c r="H140" s="293">
        <f t="shared" si="63"/>
        <v>168.57881372500071</v>
      </c>
      <c r="I140" s="294">
        <f t="shared" si="64"/>
        <v>1</v>
      </c>
      <c r="J140" s="292">
        <f t="shared" si="83"/>
        <v>0</v>
      </c>
      <c r="K140" s="292">
        <f t="shared" si="83"/>
        <v>1</v>
      </c>
      <c r="L140" s="292">
        <f>10^('Small Signal'!F140/30)</f>
        <v>39810.717055349742</v>
      </c>
      <c r="M140" s="292" t="str">
        <f t="shared" si="84"/>
        <v>250138.112470457i</v>
      </c>
      <c r="N140" s="292">
        <f>IF(D$32=1, IF(AND('Small Signal'!$B$63&gt;=1,FCCM=0),U140+0,R140+0), 0)</f>
        <v>0</v>
      </c>
      <c r="O140" s="292">
        <f>IF(D$32=1, IF(AND('Small Signal'!$B$63&gt;=1,FCCM=0),V140,S140), 0)</f>
        <v>0</v>
      </c>
      <c r="P140" s="292">
        <f>IF(AND('Small Signal'!$B$63&gt;=1,FCCM=0),AE140+0,AB140+0)</f>
        <v>-1.5268719946109588</v>
      </c>
      <c r="Q140" s="292">
        <f>IF(AND('Small Signal'!$B$63&gt;=1,FCCM=0),AF140,AC140)</f>
        <v>73.736843465137014</v>
      </c>
      <c r="R140" s="292">
        <f t="shared" si="85"/>
        <v>-5.1870737459450966</v>
      </c>
      <c r="S140" s="292">
        <f t="shared" si="85"/>
        <v>-109.71323684058429</v>
      </c>
      <c r="T140" s="292" t="str">
        <f>IMDIV(IMSUM('Small Signal'!$B$76,IMPRODUCT(M140,'Small Signal'!$B$77)),IMSUM(IMPRODUCT('Small Signal'!$B$80,IMPOWER(M140,2)),IMSUM(IMPRODUCT(M140,'Small Signal'!$B$79),'Small Signal'!$B$78)))</f>
        <v>-0.203242451089989-0.296781761692209i</v>
      </c>
      <c r="U140" s="292">
        <f t="shared" si="65"/>
        <v>-8.8810966548948116</v>
      </c>
      <c r="V140" s="292">
        <f t="shared" si="66"/>
        <v>-124.40417125985091</v>
      </c>
      <c r="W140" s="292" t="str">
        <f>IMPRODUCT(IMDIV(IMSUM(IMPRODUCT(M140,'Small Signal'!$B$59*'Small Signal'!$B$6*'Small Signal'!$B$51*'Small Signal'!$B$7*'Small Signal'!$B$8),'Small Signal'!$B$59*'Small Signal'!$B$6*'Small Signal'!$B$51),IMSUM(IMSUM(IMPRODUCT(M140,('Small Signal'!$B$5+'Small Signal'!$B$6)*('Small Signal'!$B$58*'Small Signal'!$B$59)+'Small Signal'!$B$5*'Small Signal'!$B$59*('Small Signal'!$B$8+'Small Signal'!$B$9)+'Small Signal'!$B$6*'Small Signal'!$B$59*('Small Signal'!$B$8+'Small Signal'!$B$9)+'Small Signal'!$B$7*'Small Signal'!$B$8*('Small Signal'!$B$5+'Small Signal'!$B$6)),'Small Signal'!$B$6+'Small Signal'!$B$5),IMPRODUCT(IMPOWER(M140,2),'Small Signal'!$B$58*'Small Signal'!$B$59*'Small Signal'!$B$8*'Small Signal'!$B$7*('Small Signal'!$B$5+'Small Signal'!$B$6)+('Small Signal'!$B$5+'Small Signal'!$B$6)*('Small Signal'!$B$9*'Small Signal'!$B$8*'Small Signal'!$B$59*'Small Signal'!$B$7)))),-1)</f>
        <v>-1.45312909994809+0.19478059228942i</v>
      </c>
      <c r="X140" s="292">
        <f t="shared" si="67"/>
        <v>0</v>
      </c>
      <c r="Y140" s="292">
        <f t="shared" si="68"/>
        <v>0</v>
      </c>
      <c r="Z140" s="292" t="str">
        <f t="shared" si="69"/>
        <v>1.02014140219265+0.199859504872187i</v>
      </c>
      <c r="AA140" s="292" t="str">
        <f t="shared" si="70"/>
        <v>0.234904391915071+0.805232150803739i</v>
      </c>
      <c r="AB140" s="289">
        <f t="shared" si="86"/>
        <v>-1.5268719946109588</v>
      </c>
      <c r="AC140" s="292">
        <f t="shared" si="87"/>
        <v>73.736843465137014</v>
      </c>
      <c r="AD140" s="292" t="str">
        <f t="shared" si="71"/>
        <v>0.353144847346745+0.391674529247147i</v>
      </c>
      <c r="AE140" s="289">
        <f t="shared" si="72"/>
        <v>-5.5576743564155482</v>
      </c>
      <c r="AF140" s="292">
        <f t="shared" si="73"/>
        <v>47.961284577894745</v>
      </c>
      <c r="AH140" s="292" t="str">
        <f t="shared" si="74"/>
        <v>0.00075-0.0378578733011563i</v>
      </c>
      <c r="AI140" s="292">
        <f t="shared" si="75"/>
        <v>0.95</v>
      </c>
      <c r="AJ140" s="292" t="str">
        <f t="shared" si="76"/>
        <v>1000-3997791.42060212i</v>
      </c>
      <c r="AK140" s="292" t="str">
        <f t="shared" si="77"/>
        <v>0.00225210935328408-0.0377383320814453i</v>
      </c>
      <c r="AL140" s="292" t="str">
        <f t="shared" si="78"/>
        <v>1.18777968598095-0.019675347063772i</v>
      </c>
      <c r="AM140" s="292" t="str">
        <f t="shared" si="79"/>
        <v>0.019+0.550303847435005i</v>
      </c>
      <c r="AN140" s="292" t="str">
        <f t="shared" si="80"/>
        <v>-0.185643212509995-0.518104199044369i</v>
      </c>
      <c r="AO140" s="292">
        <f t="shared" si="88"/>
        <v>-5.1870737459450966</v>
      </c>
      <c r="AP140" s="292">
        <f t="shared" si="89"/>
        <v>-109.71323684058429</v>
      </c>
      <c r="AR140" s="292" t="str">
        <f t="shared" si="81"/>
        <v>1.18777968598095-0.019675347063772i</v>
      </c>
      <c r="AS140" s="292" t="str">
        <f t="shared" si="82"/>
        <v>-0.185643212509995-0.518104199044369i</v>
      </c>
      <c r="AT140" s="292">
        <f t="shared" si="90"/>
        <v>-5.1870737459450966</v>
      </c>
      <c r="AU140" s="292">
        <f t="shared" si="91"/>
        <v>-109.71323684058429</v>
      </c>
    </row>
    <row r="141" spans="6:47" x14ac:dyDescent="0.25">
      <c r="F141" s="292">
        <v>139</v>
      </c>
      <c r="G141" s="293">
        <f t="shared" si="62"/>
        <v>181.85440785333418</v>
      </c>
      <c r="H141" s="293">
        <f t="shared" si="63"/>
        <v>168.57881372500071</v>
      </c>
      <c r="I141" s="294">
        <f t="shared" si="64"/>
        <v>1</v>
      </c>
      <c r="J141" s="292">
        <f t="shared" si="83"/>
        <v>0</v>
      </c>
      <c r="K141" s="292">
        <f t="shared" si="83"/>
        <v>1</v>
      </c>
      <c r="L141" s="292">
        <f>10^('Small Signal'!F141/30)</f>
        <v>42986.62347082288</v>
      </c>
      <c r="M141" s="292" t="str">
        <f t="shared" si="84"/>
        <v>270092.920997135i</v>
      </c>
      <c r="N141" s="292">
        <f>IF(D$32=1, IF(AND('Small Signal'!$B$63&gt;=1,FCCM=0),U141+0,R141+0), 0)</f>
        <v>0</v>
      </c>
      <c r="O141" s="292">
        <f>IF(D$32=1, IF(AND('Small Signal'!$B$63&gt;=1,FCCM=0),V141,S141), 0)</f>
        <v>0</v>
      </c>
      <c r="P141" s="292">
        <f>IF(AND('Small Signal'!$B$63&gt;=1,FCCM=0),AE141+0,AB141+0)</f>
        <v>-2.261764065069245</v>
      </c>
      <c r="Q141" s="292">
        <f>IF(AND('Small Signal'!$B$63&gt;=1,FCCM=0),AF141,AC141)</f>
        <v>72.817621302758866</v>
      </c>
      <c r="R141" s="292">
        <f t="shared" si="85"/>
        <v>-5.9679645293123018</v>
      </c>
      <c r="S141" s="292">
        <f t="shared" si="85"/>
        <v>-111.68041933525845</v>
      </c>
      <c r="T141" s="292" t="str">
        <f>IMDIV(IMSUM('Small Signal'!$B$76,IMPRODUCT(M141,'Small Signal'!$B$77)),IMSUM(IMPRODUCT('Small Signal'!$B$80,IMPOWER(M141,2)),IMSUM(IMPRODUCT(M141,'Small Signal'!$B$79),'Small Signal'!$B$78)))</f>
        <v>-0.193317066972117-0.257754083929429i</v>
      </c>
      <c r="U141" s="292">
        <f t="shared" si="65"/>
        <v>-9.8376643099668453</v>
      </c>
      <c r="V141" s="292">
        <f t="shared" si="66"/>
        <v>-126.87011161486677</v>
      </c>
      <c r="W141" s="292" t="str">
        <f>IMPRODUCT(IMDIV(IMSUM(IMPRODUCT(M141,'Small Signal'!$B$59*'Small Signal'!$B$6*'Small Signal'!$B$51*'Small Signal'!$B$7*'Small Signal'!$B$8),'Small Signal'!$B$59*'Small Signal'!$B$6*'Small Signal'!$B$51),IMSUM(IMSUM(IMPRODUCT(M141,('Small Signal'!$B$5+'Small Signal'!$B$6)*('Small Signal'!$B$58*'Small Signal'!$B$59)+'Small Signal'!$B$5*'Small Signal'!$B$59*('Small Signal'!$B$8+'Small Signal'!$B$9)+'Small Signal'!$B$6*'Small Signal'!$B$59*('Small Signal'!$B$8+'Small Signal'!$B$9)+'Small Signal'!$B$7*'Small Signal'!$B$8*('Small Signal'!$B$5+'Small Signal'!$B$6)),'Small Signal'!$B$6+'Small Signal'!$B$5),IMPRODUCT(IMPOWER(M141,2),'Small Signal'!$B$58*'Small Signal'!$B$59*'Small Signal'!$B$8*'Small Signal'!$B$7*('Small Signal'!$B$5+'Small Signal'!$B$6)+('Small Signal'!$B$5+'Small Signal'!$B$6)*('Small Signal'!$B$9*'Small Signal'!$B$8*'Small Signal'!$B$59*'Small Signal'!$B$7)))),-1)</f>
        <v>-1.45280807172709+0.188420085884892i</v>
      </c>
      <c r="X141" s="292">
        <f t="shared" si="67"/>
        <v>0</v>
      </c>
      <c r="Y141" s="292">
        <f t="shared" si="68"/>
        <v>0</v>
      </c>
      <c r="Z141" s="292" t="str">
        <f t="shared" si="69"/>
        <v>1.02344404357268+0.215443944564886i</v>
      </c>
      <c r="AA141" s="292" t="str">
        <f t="shared" si="70"/>
        <v>0.227689615335053+0.736347914088066i</v>
      </c>
      <c r="AB141" s="289">
        <f t="shared" si="86"/>
        <v>-2.261764065069245</v>
      </c>
      <c r="AC141" s="292">
        <f t="shared" si="87"/>
        <v>72.817621302758866</v>
      </c>
      <c r="AD141" s="292" t="str">
        <f t="shared" si="71"/>
        <v>0.329418641930863+0.338042395291395i</v>
      </c>
      <c r="AE141" s="289">
        <f t="shared" si="72"/>
        <v>-6.5210566585331815</v>
      </c>
      <c r="AF141" s="292">
        <f t="shared" si="73"/>
        <v>45.740233739923376</v>
      </c>
      <c r="AH141" s="292" t="str">
        <f t="shared" si="74"/>
        <v>0.00075-0.0350608854713279i</v>
      </c>
      <c r="AI141" s="292">
        <f t="shared" si="75"/>
        <v>0.95</v>
      </c>
      <c r="AJ141" s="292" t="str">
        <f t="shared" si="76"/>
        <v>1000-3702429.50577223i</v>
      </c>
      <c r="AK141" s="292" t="str">
        <f t="shared" si="77"/>
        <v>0.00203855924787735-0.034958051213611i</v>
      </c>
      <c r="AL141" s="292" t="str">
        <f t="shared" si="78"/>
        <v>1.1877256287149-0.0212439841866503i</v>
      </c>
      <c r="AM141" s="292" t="str">
        <f t="shared" si="79"/>
        <v>0.019+0.594204426193697i</v>
      </c>
      <c r="AN141" s="292" t="str">
        <f t="shared" si="80"/>
        <v>-0.185837349040261-0.467453582073837i</v>
      </c>
      <c r="AO141" s="292">
        <f t="shared" si="88"/>
        <v>-5.9679645293123018</v>
      </c>
      <c r="AP141" s="292">
        <f t="shared" si="89"/>
        <v>-111.68041933525845</v>
      </c>
      <c r="AR141" s="292" t="str">
        <f t="shared" si="81"/>
        <v>1.1877256287149-0.0212439841866503i</v>
      </c>
      <c r="AS141" s="292" t="str">
        <f t="shared" si="82"/>
        <v>-0.185837349040261-0.467453582073837i</v>
      </c>
      <c r="AT141" s="292">
        <f t="shared" si="90"/>
        <v>-5.9679645293123018</v>
      </c>
      <c r="AU141" s="292">
        <f t="shared" si="91"/>
        <v>-111.68041933525845</v>
      </c>
    </row>
    <row r="142" spans="6:47" x14ac:dyDescent="0.25">
      <c r="F142" s="292">
        <v>140</v>
      </c>
      <c r="G142" s="293">
        <f t="shared" si="62"/>
        <v>182.72254951161779</v>
      </c>
      <c r="H142" s="293">
        <f t="shared" si="63"/>
        <v>168.45826982594079</v>
      </c>
      <c r="I142" s="294">
        <f t="shared" si="64"/>
        <v>1</v>
      </c>
      <c r="J142" s="292">
        <f t="shared" si="83"/>
        <v>0</v>
      </c>
      <c r="K142" s="292">
        <f t="shared" si="83"/>
        <v>1</v>
      </c>
      <c r="L142" s="292">
        <f>10^('Small Signal'!F142/30)</f>
        <v>46415.888336127835</v>
      </c>
      <c r="M142" s="292" t="str">
        <f t="shared" si="84"/>
        <v>291639.627613247i</v>
      </c>
      <c r="N142" s="292">
        <f>IF(D$32=1, IF(AND('Small Signal'!$B$63&gt;=1,FCCM=0),U142+0,R142+0), 0)</f>
        <v>0</v>
      </c>
      <c r="O142" s="292">
        <f>IF(D$32=1, IF(AND('Small Signal'!$B$63&gt;=1,FCCM=0),V142,S142), 0)</f>
        <v>0</v>
      </c>
      <c r="P142" s="292">
        <f>IF(AND('Small Signal'!$B$63&gt;=1,FCCM=0),AE142+0,AB142+0)</f>
        <v>-3.0042743950678825</v>
      </c>
      <c r="Q142" s="292">
        <f>IF(AND('Small Signal'!$B$63&gt;=1,FCCM=0),AF142,AC142)</f>
        <v>71.841469267117759</v>
      </c>
      <c r="R142" s="292">
        <f t="shared" si="85"/>
        <v>-6.7648945750692953</v>
      </c>
      <c r="S142" s="292">
        <f t="shared" si="85"/>
        <v>-113.70662046493922</v>
      </c>
      <c r="T142" s="292" t="str">
        <f>IMDIV(IMSUM('Small Signal'!$B$76,IMPRODUCT(M142,'Small Signal'!$B$77)),IMSUM(IMPRODUCT('Small Signal'!$B$80,IMPOWER(M142,2)),IMSUM(IMPRODUCT(M142,'Small Signal'!$B$79),'Small Signal'!$B$78)))</f>
        <v>-0.18229977804433-0.222611205538644i</v>
      </c>
      <c r="U142" s="292">
        <f t="shared" si="65"/>
        <v>-10.820275839894926</v>
      </c>
      <c r="V142" s="292">
        <f t="shared" si="66"/>
        <v>-129.3145800615485</v>
      </c>
      <c r="W142" s="292" t="str">
        <f>IMPRODUCT(IMDIV(IMSUM(IMPRODUCT(M142,'Small Signal'!$B$59*'Small Signal'!$B$6*'Small Signal'!$B$51*'Small Signal'!$B$7*'Small Signal'!$B$8),'Small Signal'!$B$59*'Small Signal'!$B$6*'Small Signal'!$B$51),IMSUM(IMSUM(IMPRODUCT(M142,('Small Signal'!$B$5+'Small Signal'!$B$6)*('Small Signal'!$B$58*'Small Signal'!$B$59)+'Small Signal'!$B$5*'Small Signal'!$B$59*('Small Signal'!$B$8+'Small Signal'!$B$9)+'Small Signal'!$B$6*'Small Signal'!$B$59*('Small Signal'!$B$8+'Small Signal'!$B$9)+'Small Signal'!$B$7*'Small Signal'!$B$8*('Small Signal'!$B$5+'Small Signal'!$B$6)),'Small Signal'!$B$6+'Small Signal'!$B$5),IMPRODUCT(IMPOWER(M142,2),'Small Signal'!$B$58*'Small Signal'!$B$59*'Small Signal'!$B$8*'Small Signal'!$B$7*('Small Signal'!$B$5+'Small Signal'!$B$6)+('Small Signal'!$B$5+'Small Signal'!$B$6)*('Small Signal'!$B$9*'Small Signal'!$B$8*'Small Signal'!$B$59*'Small Signal'!$B$7)))),-1)</f>
        <v>-1.45243663419413+0.183166070308433i</v>
      </c>
      <c r="X142" s="292">
        <f t="shared" si="67"/>
        <v>0</v>
      </c>
      <c r="Y142" s="292">
        <f t="shared" si="68"/>
        <v>0</v>
      </c>
      <c r="Z142" s="292" t="str">
        <f t="shared" si="69"/>
        <v>1.02728077863789+0.232180210390108i</v>
      </c>
      <c r="AA142" s="292" t="str">
        <f t="shared" si="70"/>
        <v>0.220520824618843+0.672357617484867i</v>
      </c>
      <c r="AB142" s="289">
        <f t="shared" si="86"/>
        <v>-3.0042743950678825</v>
      </c>
      <c r="AC142" s="292">
        <f t="shared" si="87"/>
        <v>71.841469267117759</v>
      </c>
      <c r="AD142" s="292" t="str">
        <f t="shared" si="71"/>
        <v>0.30555369576218+0.289937536143966i</v>
      </c>
      <c r="AE142" s="289">
        <f t="shared" si="72"/>
        <v>-7.5098069237283616</v>
      </c>
      <c r="AF142" s="292">
        <f t="shared" si="73"/>
        <v>43.497819999099214</v>
      </c>
      <c r="AH142" s="292" t="str">
        <f t="shared" si="74"/>
        <v>0.00075-0.0324705426597755i</v>
      </c>
      <c r="AI142" s="292">
        <f t="shared" si="75"/>
        <v>0.95</v>
      </c>
      <c r="AJ142" s="292" t="str">
        <f t="shared" si="76"/>
        <v>1000-3428889.30487229i</v>
      </c>
      <c r="AK142" s="292" t="str">
        <f t="shared" si="77"/>
        <v>0.00185532151540513-0.032381563964702i</v>
      </c>
      <c r="AL142" s="292" t="str">
        <f t="shared" si="78"/>
        <v>1.1876626087823-0.0229375093600439i</v>
      </c>
      <c r="AM142" s="292" t="str">
        <f t="shared" si="79"/>
        <v>0.019+0.641607180749143i</v>
      </c>
      <c r="AN142" s="292" t="str">
        <f t="shared" si="80"/>
        <v>-0.184518197048569-0.420212253178772i</v>
      </c>
      <c r="AO142" s="292">
        <f t="shared" si="88"/>
        <v>-6.7648945750692953</v>
      </c>
      <c r="AP142" s="292">
        <f t="shared" si="89"/>
        <v>-113.70662046493922</v>
      </c>
      <c r="AR142" s="292" t="str">
        <f t="shared" si="81"/>
        <v>1.1876626087823-0.0229375093600439i</v>
      </c>
      <c r="AS142" s="292" t="str">
        <f t="shared" si="82"/>
        <v>-0.184518197048569-0.420212253178772i</v>
      </c>
      <c r="AT142" s="292">
        <f t="shared" si="90"/>
        <v>-6.7648945750692953</v>
      </c>
      <c r="AU142" s="292">
        <f t="shared" si="91"/>
        <v>-113.70662046493922</v>
      </c>
    </row>
    <row r="143" spans="6:47" x14ac:dyDescent="0.25">
      <c r="F143" s="292">
        <v>141</v>
      </c>
      <c r="G143" s="293">
        <f t="shared" si="62"/>
        <v>183.31170769314514</v>
      </c>
      <c r="H143" s="293">
        <f t="shared" si="63"/>
        <v>167.9966854674046</v>
      </c>
      <c r="I143" s="294">
        <f t="shared" si="64"/>
        <v>1</v>
      </c>
      <c r="J143" s="292">
        <f t="shared" si="83"/>
        <v>0</v>
      </c>
      <c r="K143" s="292">
        <f t="shared" si="83"/>
        <v>1</v>
      </c>
      <c r="L143" s="292">
        <f>10^('Small Signal'!F143/30)</f>
        <v>50118.723362727294</v>
      </c>
      <c r="M143" s="292" t="str">
        <f t="shared" si="84"/>
        <v>314905.226247286i</v>
      </c>
      <c r="N143" s="292">
        <f>IF(D$32=1, IF(AND('Small Signal'!$B$63&gt;=1,FCCM=0),U143+0,R143+0), 0)</f>
        <v>0</v>
      </c>
      <c r="O143" s="292">
        <f>IF(D$32=1, IF(AND('Small Signal'!$B$63&gt;=1,FCCM=0),V143,S143), 0)</f>
        <v>0</v>
      </c>
      <c r="P143" s="292">
        <f>IF(AND('Small Signal'!$B$63&gt;=1,FCCM=0),AE143+0,AB143+0)</f>
        <v>-3.7550193726713648</v>
      </c>
      <c r="Q143" s="292">
        <f>IF(AND('Small Signal'!$B$63&gt;=1,FCCM=0),AF143,AC143)</f>
        <v>70.810232695018627</v>
      </c>
      <c r="R143" s="292">
        <f t="shared" si="85"/>
        <v>-7.5793016613426953</v>
      </c>
      <c r="S143" s="292">
        <f t="shared" si="85"/>
        <v>-115.79047914391701</v>
      </c>
      <c r="T143" s="292" t="str">
        <f>IMDIV(IMSUM('Small Signal'!$B$76,IMPRODUCT(M143,'Small Signal'!$B$77)),IMSUM(IMPRODUCT('Small Signal'!$B$80,IMPOWER(M143,2)),IMSUM(IMPRODUCT(M143,'Small Signal'!$B$79),'Small Signal'!$B$78)))</f>
        <v>-0.17050805929793-0.191198750741896i</v>
      </c>
      <c r="U143" s="292">
        <f t="shared" si="65"/>
        <v>-11.828978566585974</v>
      </c>
      <c r="V143" s="292">
        <f t="shared" si="66"/>
        <v>-131.72608103678616</v>
      </c>
      <c r="W143" s="292" t="str">
        <f>IMPRODUCT(IMDIV(IMSUM(IMPRODUCT(M143,'Small Signal'!$B$59*'Small Signal'!$B$6*'Small Signal'!$B$51*'Small Signal'!$B$7*'Small Signal'!$B$8),'Small Signal'!$B$59*'Small Signal'!$B$6*'Small Signal'!$B$51),IMSUM(IMSUM(IMPRODUCT(M143,('Small Signal'!$B$5+'Small Signal'!$B$6)*('Small Signal'!$B$58*'Small Signal'!$B$59)+'Small Signal'!$B$5*'Small Signal'!$B$59*('Small Signal'!$B$8+'Small Signal'!$B$9)+'Small Signal'!$B$6*'Small Signal'!$B$59*('Small Signal'!$B$8+'Small Signal'!$B$9)+'Small Signal'!$B$7*'Small Signal'!$B$8*('Small Signal'!$B$5+'Small Signal'!$B$6)),'Small Signal'!$B$6+'Small Signal'!$B$5),IMPRODUCT(IMPOWER(M143,2),'Small Signal'!$B$58*'Small Signal'!$B$59*'Small Signal'!$B$8*'Small Signal'!$B$7*('Small Signal'!$B$5+'Small Signal'!$B$6)+('Small Signal'!$B$5+'Small Signal'!$B$6)*('Small Signal'!$B$9*'Small Signal'!$B$8*'Small Signal'!$B$59*'Small Signal'!$B$7)))),-1)</f>
        <v>-1.45200610244302+0.178986538117746i</v>
      </c>
      <c r="X143" s="292">
        <f t="shared" si="67"/>
        <v>0</v>
      </c>
      <c r="Y143" s="292">
        <f t="shared" si="68"/>
        <v>0</v>
      </c>
      <c r="Z143" s="292" t="str">
        <f t="shared" si="69"/>
        <v>1.03173534995694+0.250137265151046i</v>
      </c>
      <c r="AA143" s="292" t="str">
        <f t="shared" si="70"/>
        <v>0.213327119030682+0.612944490258043i</v>
      </c>
      <c r="AB143" s="289">
        <f t="shared" si="86"/>
        <v>-3.7550193726713648</v>
      </c>
      <c r="AC143" s="292">
        <f t="shared" si="87"/>
        <v>70.810232695018627</v>
      </c>
      <c r="AD143" s="292" t="str">
        <f t="shared" si="71"/>
        <v>0.28180074510404+0.247103105601803i</v>
      </c>
      <c r="AE143" s="289">
        <f t="shared" si="72"/>
        <v>-8.5241145619571981</v>
      </c>
      <c r="AF143" s="292">
        <f t="shared" si="73"/>
        <v>41.246607670275516</v>
      </c>
      <c r="AH143" s="292" t="str">
        <f t="shared" si="74"/>
        <v>0.00075-0.030071577669723i</v>
      </c>
      <c r="AI143" s="292">
        <f t="shared" si="75"/>
        <v>0.95</v>
      </c>
      <c r="AJ143" s="292" t="str">
        <f t="shared" si="76"/>
        <v>1000-3175558.60192275i</v>
      </c>
      <c r="AK143" s="292" t="str">
        <f t="shared" si="77"/>
        <v>0.00169810281962435-0.0299941455545052i</v>
      </c>
      <c r="AL143" s="292" t="str">
        <f t="shared" si="78"/>
        <v>1.18758914137878-0.0247658208134942i</v>
      </c>
      <c r="AM143" s="292" t="str">
        <f t="shared" si="79"/>
        <v>0.019+0.692791497744029i</v>
      </c>
      <c r="AN143" s="292" t="str">
        <f t="shared" si="80"/>
        <v>-0.18180487367172-0.376240983948399i</v>
      </c>
      <c r="AO143" s="292">
        <f t="shared" si="88"/>
        <v>-7.5793016613426953</v>
      </c>
      <c r="AP143" s="292">
        <f t="shared" si="89"/>
        <v>-115.79047914391701</v>
      </c>
      <c r="AR143" s="292" t="str">
        <f t="shared" si="81"/>
        <v>1.18758914137878-0.0247658208134942i</v>
      </c>
      <c r="AS143" s="292" t="str">
        <f t="shared" si="82"/>
        <v>-0.18180487367172-0.376240983948399i</v>
      </c>
      <c r="AT143" s="292">
        <f t="shared" si="90"/>
        <v>-7.5793016613426953</v>
      </c>
      <c r="AU143" s="292">
        <f t="shared" si="91"/>
        <v>-115.79047914391701</v>
      </c>
    </row>
    <row r="144" spans="6:47" x14ac:dyDescent="0.25">
      <c r="F144" s="292">
        <v>142</v>
      </c>
      <c r="G144" s="293">
        <f t="shared" si="62"/>
        <v>183.92821338541762</v>
      </c>
      <c r="H144" s="293">
        <f t="shared" si="63"/>
        <v>167.49919906834489</v>
      </c>
      <c r="I144" s="294">
        <f t="shared" si="64"/>
        <v>1</v>
      </c>
      <c r="J144" s="292">
        <f t="shared" si="83"/>
        <v>0</v>
      </c>
      <c r="K144" s="292">
        <f t="shared" si="83"/>
        <v>1</v>
      </c>
      <c r="L144" s="292">
        <f>10^('Small Signal'!F144/30)</f>
        <v>54116.952654646455</v>
      </c>
      <c r="M144" s="292" t="str">
        <f t="shared" si="84"/>
        <v>340026.841789008i</v>
      </c>
      <c r="N144" s="292">
        <f>IF(D$32=1, IF(AND('Small Signal'!$B$63&gt;=1,FCCM=0),U144+0,R144+0), 0)</f>
        <v>0</v>
      </c>
      <c r="O144" s="292">
        <f>IF(D$32=1, IF(AND('Small Signal'!$B$63&gt;=1,FCCM=0),V144,S144), 0)</f>
        <v>0</v>
      </c>
      <c r="P144" s="292">
        <f>IF(AND('Small Signal'!$B$63&gt;=1,FCCM=0),AE144+0,AB144+0)</f>
        <v>-4.5145434569106211</v>
      </c>
      <c r="Q144" s="292">
        <f>IF(AND('Small Signal'!$B$63&gt;=1,FCCM=0),AF144,AC144)</f>
        <v>69.726244963306399</v>
      </c>
      <c r="R144" s="292">
        <f t="shared" si="85"/>
        <v>-8.4126301364701579</v>
      </c>
      <c r="S144" s="292">
        <f t="shared" si="85"/>
        <v>-117.92911552582808</v>
      </c>
      <c r="T144" s="292" t="str">
        <f>IMDIV(IMSUM('Small Signal'!$B$76,IMPRODUCT(M144,'Small Signal'!$B$77)),IMSUM(IMPRODUCT('Small Signal'!$B$80,IMPOWER(M144,2)),IMSUM(IMPRODUCT(M144,'Small Signal'!$B$79),'Small Signal'!$B$78)))</f>
        <v>-0.158242443410268-0.163333781505635i</v>
      </c>
      <c r="U144" s="292">
        <f t="shared" si="65"/>
        <v>-12.863532811316967</v>
      </c>
      <c r="V144" s="292">
        <f t="shared" si="66"/>
        <v>-134.09294347074689</v>
      </c>
      <c r="W144" s="292" t="str">
        <f>IMPRODUCT(IMDIV(IMSUM(IMPRODUCT(M144,'Small Signal'!$B$59*'Small Signal'!$B$6*'Small Signal'!$B$51*'Small Signal'!$B$7*'Small Signal'!$B$8),'Small Signal'!$B$59*'Small Signal'!$B$6*'Small Signal'!$B$51),IMSUM(IMSUM(IMPRODUCT(M144,('Small Signal'!$B$5+'Small Signal'!$B$6)*('Small Signal'!$B$58*'Small Signal'!$B$59)+'Small Signal'!$B$5*'Small Signal'!$B$59*('Small Signal'!$B$8+'Small Signal'!$B$9)+'Small Signal'!$B$6*'Small Signal'!$B$59*('Small Signal'!$B$8+'Small Signal'!$B$9)+'Small Signal'!$B$7*'Small Signal'!$B$8*('Small Signal'!$B$5+'Small Signal'!$B$6)),'Small Signal'!$B$6+'Small Signal'!$B$5),IMPRODUCT(IMPOWER(M144,2),'Small Signal'!$B$58*'Small Signal'!$B$59*'Small Signal'!$B$8*'Small Signal'!$B$7*('Small Signal'!$B$5+'Small Signal'!$B$6)+('Small Signal'!$B$5+'Small Signal'!$B$6)*('Small Signal'!$B$9*'Small Signal'!$B$8*'Small Signal'!$B$59*'Small Signal'!$B$7)))),-1)</f>
        <v>-1.45150642669844+0.175855546954474i</v>
      </c>
      <c r="X144" s="292">
        <f t="shared" si="67"/>
        <v>0</v>
      </c>
      <c r="Y144" s="292">
        <f t="shared" si="68"/>
        <v>0</v>
      </c>
      <c r="Z144" s="292" t="str">
        <f t="shared" si="69"/>
        <v>1.03690370663378+0.269383977638477i</v>
      </c>
      <c r="AA144" s="292" t="str">
        <f t="shared" si="70"/>
        <v>0.206055206406729+0.557824744329548i</v>
      </c>
      <c r="AB144" s="289">
        <f t="shared" si="86"/>
        <v>-4.5145434569106211</v>
      </c>
      <c r="AC144" s="292">
        <f t="shared" si="87"/>
        <v>69.726244963306399</v>
      </c>
      <c r="AD144" s="292" t="str">
        <f t="shared" si="71"/>
        <v>0.258413075069284+0.209252222115063i</v>
      </c>
      <c r="AE144" s="289">
        <f t="shared" si="72"/>
        <v>-9.5638700471777121</v>
      </c>
      <c r="AF144" s="292">
        <f t="shared" si="73"/>
        <v>38.999121532823544</v>
      </c>
      <c r="AH144" s="292" t="str">
        <f t="shared" si="74"/>
        <v>0.00075-0.0278498512643101i</v>
      </c>
      <c r="AI144" s="292">
        <f t="shared" si="75"/>
        <v>0.95</v>
      </c>
      <c r="AJ144" s="292" t="str">
        <f t="shared" si="76"/>
        <v>1000-2940944.29351114i</v>
      </c>
      <c r="AK144" s="292" t="str">
        <f t="shared" si="77"/>
        <v>0.00156321544553219-0.0277820911216203i</v>
      </c>
      <c r="AL144" s="292" t="str">
        <f t="shared" si="78"/>
        <v>1.18750349615054-0.0267395896741069i</v>
      </c>
      <c r="AM144" s="292" t="str">
        <f t="shared" si="79"/>
        <v>0.019+0.748059051935818i</v>
      </c>
      <c r="AN144" s="292" t="str">
        <f t="shared" si="80"/>
        <v>-0.177813925150953-0.335419786953219i</v>
      </c>
      <c r="AO144" s="292">
        <f t="shared" si="88"/>
        <v>-8.4126301364701579</v>
      </c>
      <c r="AP144" s="292">
        <f t="shared" si="89"/>
        <v>-117.92911552582808</v>
      </c>
      <c r="AR144" s="292" t="str">
        <f t="shared" si="81"/>
        <v>1.18750349615054-0.0267395896741069i</v>
      </c>
      <c r="AS144" s="292" t="str">
        <f t="shared" si="82"/>
        <v>-0.177813925150953-0.335419786953219i</v>
      </c>
      <c r="AT144" s="292">
        <f t="shared" si="90"/>
        <v>-8.4126301364701579</v>
      </c>
      <c r="AU144" s="292">
        <f t="shared" si="91"/>
        <v>-117.92911552582808</v>
      </c>
    </row>
    <row r="145" spans="2:47" x14ac:dyDescent="0.25">
      <c r="F145" s="292">
        <v>143</v>
      </c>
      <c r="G145" s="293">
        <f t="shared" si="62"/>
        <v>184.56999047475642</v>
      </c>
      <c r="H145" s="293">
        <f t="shared" si="63"/>
        <v>166.96318035024137</v>
      </c>
      <c r="I145" s="294">
        <f t="shared" si="64"/>
        <v>0</v>
      </c>
      <c r="J145" s="292">
        <f t="shared" si="83"/>
        <v>0</v>
      </c>
      <c r="K145" s="292">
        <f t="shared" si="83"/>
        <v>1</v>
      </c>
      <c r="L145" s="292">
        <f>10^('Small Signal'!F145/30)</f>
        <v>58434.141337351764</v>
      </c>
      <c r="M145" s="292" t="str">
        <f t="shared" si="84"/>
        <v>367152.538288504i</v>
      </c>
      <c r="N145" s="292">
        <f>IF(D$32=1, IF(AND('Small Signal'!$B$63&gt;=1,FCCM=0),U145+0,R145+0), 0)</f>
        <v>0</v>
      </c>
      <c r="O145" s="292">
        <f>IF(D$32=1, IF(AND('Small Signal'!$B$63&gt;=1,FCCM=0),V145,S145), 0)</f>
        <v>0</v>
      </c>
      <c r="P145" s="292">
        <f>IF(AND('Small Signal'!$B$63&gt;=1,FCCM=0),AE145+0,AB145+0)</f>
        <v>-5.2832941652385461</v>
      </c>
      <c r="Q145" s="292">
        <f>IF(AND('Small Signal'!$B$63&gt;=1,FCCM=0),AF145,AC145)</f>
        <v>68.592246162285136</v>
      </c>
      <c r="R145" s="292">
        <f t="shared" si="85"/>
        <v>-9.2662910561675389</v>
      </c>
      <c r="S145" s="292">
        <f t="shared" si="85"/>
        <v>-120.1180592389739</v>
      </c>
      <c r="T145" s="292" t="str">
        <f>IMDIV(IMSUM('Small Signal'!$B$76,IMPRODUCT(M145,'Small Signal'!$B$77)),IMSUM(IMPRODUCT('Small Signal'!$B$80,IMPOWER(M145,2)),IMSUM(IMPRODUCT(M145,'Small Signal'!$B$79),'Small Signal'!$B$78)))</f>
        <v>-0.145779846935406-0.138806339386342i</v>
      </c>
      <c r="U145" s="292">
        <f t="shared" si="65"/>
        <v>-13.923416713353223</v>
      </c>
      <c r="V145" s="292">
        <f t="shared" si="66"/>
        <v>-136.40369641561944</v>
      </c>
      <c r="W145" s="292" t="str">
        <f>IMPRODUCT(IMDIV(IMSUM(IMPRODUCT(M145,'Small Signal'!$B$59*'Small Signal'!$B$6*'Small Signal'!$B$51*'Small Signal'!$B$7*'Small Signal'!$B$8),'Small Signal'!$B$59*'Small Signal'!$B$6*'Small Signal'!$B$51),IMSUM(IMSUM(IMPRODUCT(M145,('Small Signal'!$B$5+'Small Signal'!$B$6)*('Small Signal'!$B$58*'Small Signal'!$B$59)+'Small Signal'!$B$5*'Small Signal'!$B$59*('Small Signal'!$B$8+'Small Signal'!$B$9)+'Small Signal'!$B$6*'Small Signal'!$B$59*('Small Signal'!$B$8+'Small Signal'!$B$9)+'Small Signal'!$B$7*'Small Signal'!$B$8*('Small Signal'!$B$5+'Small Signal'!$B$6)),'Small Signal'!$B$6+'Small Signal'!$B$5),IMPRODUCT(IMPOWER(M145,2),'Small Signal'!$B$58*'Small Signal'!$B$59*'Small Signal'!$B$8*'Small Signal'!$B$7*('Small Signal'!$B$5+'Small Signal'!$B$6)+('Small Signal'!$B$5+'Small Signal'!$B$6)*('Small Signal'!$B$9*'Small Signal'!$B$8*'Small Signal'!$B$59*'Small Signal'!$B$7)))),-1)</f>
        <v>-1.45092596587516+0.173752998155778i</v>
      </c>
      <c r="X145" s="292">
        <f t="shared" si="67"/>
        <v>0</v>
      </c>
      <c r="Y145" s="292">
        <f t="shared" si="68"/>
        <v>0</v>
      </c>
      <c r="Z145" s="292" t="str">
        <f t="shared" si="69"/>
        <v>1.04289545871465+0.289987818698876i</v>
      </c>
      <c r="AA145" s="292" t="str">
        <f t="shared" si="70"/>
        <v>0.19866962173328+0.506743248913766i</v>
      </c>
      <c r="AB145" s="289">
        <f t="shared" si="86"/>
        <v>-5.2832941652385461</v>
      </c>
      <c r="AC145" s="292">
        <f t="shared" si="87"/>
        <v>68.592246162285136</v>
      </c>
      <c r="AD145" s="292" t="str">
        <f t="shared" si="71"/>
        <v>0.235633782851292+0.176068036568006i</v>
      </c>
      <c r="AE145" s="289">
        <f t="shared" si="72"/>
        <v>-10.62867260607322</v>
      </c>
      <c r="AF145" s="292">
        <f t="shared" si="73"/>
        <v>36.767471580398208</v>
      </c>
      <c r="AH145" s="292" t="str">
        <f t="shared" si="74"/>
        <v>0.00075-0.025792268831479i</v>
      </c>
      <c r="AI145" s="292">
        <f t="shared" si="75"/>
        <v>0.95</v>
      </c>
      <c r="AJ145" s="292" t="str">
        <f t="shared" si="76"/>
        <v>1000-2723663.58860418i</v>
      </c>
      <c r="AK145" s="292" t="str">
        <f t="shared" si="77"/>
        <v>0.00144749252367344-0.0257326542650307i</v>
      </c>
      <c r="AL145" s="292" t="str">
        <f t="shared" si="78"/>
        <v>1.18740365674147-0.028870317303638i</v>
      </c>
      <c r="AM145" s="292" t="str">
        <f t="shared" si="79"/>
        <v>0.019+0.807735584234709i</v>
      </c>
      <c r="AN145" s="292" t="str">
        <f t="shared" si="80"/>
        <v>-0.172663976601163-0.297644727046389i</v>
      </c>
      <c r="AO145" s="292">
        <f t="shared" si="88"/>
        <v>-9.2662910561675389</v>
      </c>
      <c r="AP145" s="292">
        <f t="shared" si="89"/>
        <v>-120.1180592389739</v>
      </c>
      <c r="AR145" s="292" t="str">
        <f t="shared" si="81"/>
        <v>1.18740365674147-0.028870317303638i</v>
      </c>
      <c r="AS145" s="292" t="str">
        <f t="shared" si="82"/>
        <v>-0.172663976601163-0.297644727046389i</v>
      </c>
      <c r="AT145" s="292">
        <f t="shared" si="90"/>
        <v>-9.2662910561675389</v>
      </c>
      <c r="AU145" s="292">
        <f t="shared" si="91"/>
        <v>-120.1180592389739</v>
      </c>
    </row>
    <row r="146" spans="2:47" x14ac:dyDescent="0.25">
      <c r="B146" s="315"/>
      <c r="C146" s="315"/>
      <c r="F146" s="292">
        <v>144</v>
      </c>
      <c r="G146" s="293">
        <f t="shared" si="62"/>
        <v>185.23402056741924</v>
      </c>
      <c r="H146" s="293">
        <f t="shared" si="63"/>
        <v>166.38584761802502</v>
      </c>
      <c r="I146" s="294">
        <f t="shared" si="64"/>
        <v>0</v>
      </c>
      <c r="J146" s="292">
        <f t="shared" si="83"/>
        <v>0</v>
      </c>
      <c r="K146" s="292">
        <f t="shared" si="83"/>
        <v>1</v>
      </c>
      <c r="L146" s="292">
        <f>10^('Small Signal'!F146/30)</f>
        <v>63095.734448019342</v>
      </c>
      <c r="M146" s="292" t="str">
        <f t="shared" si="84"/>
        <v>396442.1916295i</v>
      </c>
      <c r="N146" s="292">
        <f>IF(D$32=1, IF(AND('Small Signal'!$B$63&gt;=1,FCCM=0),U146+0,R146+0), 0)</f>
        <v>0</v>
      </c>
      <c r="O146" s="292">
        <f>IF(D$32=1, IF(AND('Small Signal'!$B$63&gt;=1,FCCM=0),V146,S146), 0)</f>
        <v>0</v>
      </c>
      <c r="P146" s="292">
        <f>IF(AND('Small Signal'!$B$63&gt;=1,FCCM=0),AE146+0,AB146+0)</f>
        <v>-6.0615980241066945</v>
      </c>
      <c r="Q146" s="292">
        <f>IF(AND('Small Signal'!$B$63&gt;=1,FCCM=0),AF146,AC146)</f>
        <v>67.411246073497495</v>
      </c>
      <c r="R146" s="292">
        <f t="shared" si="85"/>
        <v>-10.141617641256618</v>
      </c>
      <c r="S146" s="292">
        <f t="shared" si="85"/>
        <v>-122.35123133883434</v>
      </c>
      <c r="T146" s="292" t="str">
        <f>IMDIV(IMSUM('Small Signal'!$B$76,IMPRODUCT(M146,'Small Signal'!$B$77)),IMSUM(IMPRODUCT('Small Signal'!$B$80,IMPOWER(M146,2)),IMSUM(IMPRODUCT(M146,'Small Signal'!$B$79),'Small Signal'!$B$78)))</f>
        <v>-0.133367486448839-0.117383231614919i</v>
      </c>
      <c r="U146" s="292">
        <f t="shared" si="65"/>
        <v>-15.007844445404503</v>
      </c>
      <c r="V146" s="292">
        <f t="shared" si="66"/>
        <v>-138.6474187223242</v>
      </c>
      <c r="W146" s="292" t="str">
        <f>IMPRODUCT(IMDIV(IMSUM(IMPRODUCT(M146,'Small Signal'!$B$59*'Small Signal'!$B$6*'Small Signal'!$B$51*'Small Signal'!$B$7*'Small Signal'!$B$8),'Small Signal'!$B$59*'Small Signal'!$B$6*'Small Signal'!$B$51),IMSUM(IMSUM(IMPRODUCT(M146,('Small Signal'!$B$5+'Small Signal'!$B$6)*('Small Signal'!$B$58*'Small Signal'!$B$59)+'Small Signal'!$B$5*'Small Signal'!$B$59*('Small Signal'!$B$8+'Small Signal'!$B$9)+'Small Signal'!$B$6*'Small Signal'!$B$59*('Small Signal'!$B$8+'Small Signal'!$B$9)+'Small Signal'!$B$7*'Small Signal'!$B$8*('Small Signal'!$B$5+'Small Signal'!$B$6)),'Small Signal'!$B$6+'Small Signal'!$B$5),IMPRODUCT(IMPOWER(M146,2),'Small Signal'!$B$58*'Small Signal'!$B$59*'Small Signal'!$B$8*'Small Signal'!$B$7*('Small Signal'!$B$5+'Small Signal'!$B$6)+('Small Signal'!$B$5+'Small Signal'!$B$6)*('Small Signal'!$B$9*'Small Signal'!$B$8*'Small Signal'!$B$59*'Small Signal'!$B$7)))),-1)</f>
        <v>-1.45025122741759+0.172664432458323i</v>
      </c>
      <c r="X146" s="292">
        <f t="shared" si="67"/>
        <v>0</v>
      </c>
      <c r="Y146" s="292">
        <f t="shared" si="68"/>
        <v>0</v>
      </c>
      <c r="Z146" s="292" t="str">
        <f t="shared" si="69"/>
        <v>1.04983538759475+0.312013184292732i</v>
      </c>
      <c r="AA146" s="292" t="str">
        <f t="shared" si="70"/>
        <v>0.191152664356968+0.459468957117467i</v>
      </c>
      <c r="AB146" s="289">
        <f t="shared" si="86"/>
        <v>-6.0615980241066945</v>
      </c>
      <c r="AC146" s="292">
        <f t="shared" si="87"/>
        <v>67.411246073497495</v>
      </c>
      <c r="AD146" s="292" t="str">
        <f t="shared" si="71"/>
        <v>0.213684269986941+0.147207354371698i</v>
      </c>
      <c r="AE146" s="289">
        <f t="shared" si="72"/>
        <v>-11.717851132312937</v>
      </c>
      <c r="AF146" s="292">
        <f t="shared" si="73"/>
        <v>34.563003798588362</v>
      </c>
      <c r="AH146" s="292" t="str">
        <f t="shared" si="74"/>
        <v>0.00075-0.0238867032057652i</v>
      </c>
      <c r="AI146" s="292">
        <f t="shared" si="75"/>
        <v>0.95</v>
      </c>
      <c r="AJ146" s="292" t="str">
        <f t="shared" si="76"/>
        <v>1000-2522435.85852881i</v>
      </c>
      <c r="AK146" s="292" t="str">
        <f t="shared" si="77"/>
        <v>0.00134821494815586-0.0238339872954095i</v>
      </c>
      <c r="AL146" s="292" t="str">
        <f t="shared" si="78"/>
        <v>1.1872872737317-0.0311703960965761i</v>
      </c>
      <c r="AM146" s="292" t="str">
        <f t="shared" si="79"/>
        <v>0.019+0.8721728215849i</v>
      </c>
      <c r="AN146" s="292" t="str">
        <f t="shared" si="80"/>
        <v>-0.16647940152261-0.262823772168806i</v>
      </c>
      <c r="AO146" s="292">
        <f t="shared" si="88"/>
        <v>-10.141617641256618</v>
      </c>
      <c r="AP146" s="292">
        <f t="shared" si="89"/>
        <v>-122.35123133883434</v>
      </c>
      <c r="AR146" s="292" t="str">
        <f t="shared" si="81"/>
        <v>1.1872872737317-0.0311703960965761i</v>
      </c>
      <c r="AS146" s="292" t="str">
        <f t="shared" si="82"/>
        <v>-0.16647940152261-0.262823772168806i</v>
      </c>
      <c r="AT146" s="292">
        <f t="shared" si="90"/>
        <v>-10.141617641256618</v>
      </c>
      <c r="AU146" s="292">
        <f t="shared" si="91"/>
        <v>-122.35123133883434</v>
      </c>
    </row>
    <row r="147" spans="2:47" x14ac:dyDescent="0.25">
      <c r="F147" s="292">
        <v>145</v>
      </c>
      <c r="G147" s="293">
        <f t="shared" si="62"/>
        <v>185.91618224097633</v>
      </c>
      <c r="H147" s="293">
        <f t="shared" si="63"/>
        <v>165.76426984217389</v>
      </c>
      <c r="I147" s="294">
        <f t="shared" si="64"/>
        <v>0</v>
      </c>
      <c r="J147" s="292">
        <f t="shared" si="83"/>
        <v>0</v>
      </c>
      <c r="K147" s="292">
        <f t="shared" si="83"/>
        <v>1</v>
      </c>
      <c r="L147" s="292">
        <f>10^('Small Signal'!F147/30)</f>
        <v>68129.206905796163</v>
      </c>
      <c r="M147" s="292" t="str">
        <f t="shared" si="84"/>
        <v>428068.431820296i</v>
      </c>
      <c r="N147" s="292">
        <f>IF(D$32=1, IF(AND('Small Signal'!$B$63&gt;=1,FCCM=0),U147+0,R147+0), 0)</f>
        <v>0</v>
      </c>
      <c r="O147" s="292">
        <f>IF(D$32=1, IF(AND('Small Signal'!$B$63&gt;=1,FCCM=0),V147,S147), 0)</f>
        <v>0</v>
      </c>
      <c r="P147" s="292">
        <f>IF(AND('Small Signal'!$B$63&gt;=1,FCCM=0),AE147+0,AB147+0)</f>
        <v>-6.8496403267711585</v>
      </c>
      <c r="Q147" s="292">
        <f>IF(AND('Small Signal'!$B$63&gt;=1,FCCM=0),AF147,AC147)</f>
        <v>66.186328258449024</v>
      </c>
      <c r="R147" s="292">
        <f t="shared" si="85"/>
        <v>-11.039818070687453</v>
      </c>
      <c r="S147" s="292">
        <f t="shared" si="85"/>
        <v>-124.62099195623912</v>
      </c>
      <c r="T147" s="292" t="str">
        <f>IMDIV(IMSUM('Small Signal'!$B$76,IMPRODUCT(M147,'Small Signal'!$B$77)),IMSUM(IMPRODUCT('Small Signal'!$B$80,IMPOWER(M147,2)),IMSUM(IMPRODUCT(M147,'Small Signal'!$B$79),'Small Signal'!$B$78)))</f>
        <v>-0.12121812793289-0.0988136409078635i</v>
      </c>
      <c r="U147" s="292">
        <f t="shared" si="65"/>
        <v>-16.115795890402268</v>
      </c>
      <c r="V147" s="292">
        <f t="shared" si="66"/>
        <v>-140.8140399498001</v>
      </c>
      <c r="W147" s="292" t="str">
        <f>IMPRODUCT(IMDIV(IMSUM(IMPRODUCT(M147,'Small Signal'!$B$59*'Small Signal'!$B$6*'Small Signal'!$B$51*'Small Signal'!$B$7*'Small Signal'!$B$8),'Small Signal'!$B$59*'Small Signal'!$B$6*'Small Signal'!$B$51),IMSUM(IMSUM(IMPRODUCT(M147,('Small Signal'!$B$5+'Small Signal'!$B$6)*('Small Signal'!$B$58*'Small Signal'!$B$59)+'Small Signal'!$B$5*'Small Signal'!$B$59*('Small Signal'!$B$8+'Small Signal'!$B$9)+'Small Signal'!$B$6*'Small Signal'!$B$59*('Small Signal'!$B$8+'Small Signal'!$B$9)+'Small Signal'!$B$7*'Small Signal'!$B$8*('Small Signal'!$B$5+'Small Signal'!$B$6)),'Small Signal'!$B$6+'Small Signal'!$B$5),IMPRODUCT(IMPOWER(M147,2),'Small Signal'!$B$58*'Small Signal'!$B$59*'Small Signal'!$B$8*'Small Signal'!$B$7*('Small Signal'!$B$5+'Small Signal'!$B$6)+('Small Signal'!$B$5+'Small Signal'!$B$6)*('Small Signal'!$B$9*'Small Signal'!$B$8*'Small Signal'!$B$59*'Small Signal'!$B$7)))),-1)</f>
        <v>-1.44946656863646+0.172580837278154i</v>
      </c>
      <c r="X147" s="292">
        <f t="shared" si="67"/>
        <v>0</v>
      </c>
      <c r="Y147" s="292">
        <f t="shared" si="68"/>
        <v>0</v>
      </c>
      <c r="Z147" s="292" t="str">
        <f t="shared" si="69"/>
        <v>1.05786496591157+0.335519274246026i</v>
      </c>
      <c r="AA147" s="292" t="str">
        <f t="shared" si="70"/>
        <v>0.183503840563687+0.415790165607917i</v>
      </c>
      <c r="AB147" s="289">
        <f t="shared" si="86"/>
        <v>-6.8496403267711585</v>
      </c>
      <c r="AC147" s="292">
        <f t="shared" si="87"/>
        <v>66.186328258449024</v>
      </c>
      <c r="AD147" s="292" t="str">
        <f t="shared" si="71"/>
        <v>0.192754964833803+0.122307143009248i</v>
      </c>
      <c r="AE147" s="289">
        <f t="shared" si="72"/>
        <v>-12.830496439947513</v>
      </c>
      <c r="AF147" s="292">
        <f t="shared" si="73"/>
        <v>32.395999630235714</v>
      </c>
      <c r="AH147" s="292" t="str">
        <f t="shared" si="74"/>
        <v>0.00075-0.0221219231921133i</v>
      </c>
      <c r="AI147" s="292">
        <f t="shared" si="75"/>
        <v>0.95</v>
      </c>
      <c r="AJ147" s="292" t="str">
        <f t="shared" si="76"/>
        <v>1000-2336075.08908716i</v>
      </c>
      <c r="AK147" s="292" t="str">
        <f t="shared" si="77"/>
        <v>0.00126304842157437-0.0220750836435688i</v>
      </c>
      <c r="AL147" s="292" t="str">
        <f t="shared" si="78"/>
        <v>1.18715160990764-0.0336531737297827i</v>
      </c>
      <c r="AM147" s="292" t="str">
        <f t="shared" si="79"/>
        <v>0.019+0.941750550004651i</v>
      </c>
      <c r="AN147" s="292" t="str">
        <f t="shared" si="80"/>
        <v>-0.159392728337406-0.230871899951732i</v>
      </c>
      <c r="AO147" s="292">
        <f t="shared" si="88"/>
        <v>-11.039818070687453</v>
      </c>
      <c r="AP147" s="292">
        <f t="shared" si="89"/>
        <v>-124.62099195623912</v>
      </c>
      <c r="AR147" s="292" t="str">
        <f t="shared" si="81"/>
        <v>1.18715160990764-0.0336531737297827i</v>
      </c>
      <c r="AS147" s="292" t="str">
        <f t="shared" si="82"/>
        <v>-0.159392728337406-0.230871899951732i</v>
      </c>
      <c r="AT147" s="292">
        <f t="shared" si="90"/>
        <v>-11.039818070687453</v>
      </c>
      <c r="AU147" s="292">
        <f t="shared" si="91"/>
        <v>-124.62099195623912</v>
      </c>
    </row>
    <row r="148" spans="2:47" x14ac:dyDescent="0.25">
      <c r="F148" s="292">
        <v>146</v>
      </c>
      <c r="G148" s="293">
        <f t="shared" si="62"/>
        <v>186.61108940276358</v>
      </c>
      <c r="H148" s="293">
        <f t="shared" si="63"/>
        <v>165.09537214410443</v>
      </c>
      <c r="I148" s="294">
        <f t="shared" si="64"/>
        <v>0</v>
      </c>
      <c r="J148" s="292">
        <f t="shared" si="83"/>
        <v>0</v>
      </c>
      <c r="K148" s="292">
        <f t="shared" si="83"/>
        <v>1</v>
      </c>
      <c r="L148" s="292">
        <f>10^('Small Signal'!F148/30)</f>
        <v>73564.225445964199</v>
      </c>
      <c r="M148" s="292" t="str">
        <f t="shared" si="84"/>
        <v>462217.660456129i</v>
      </c>
      <c r="N148" s="292">
        <f>IF(D$32=1, IF(AND('Small Signal'!$B$63&gt;=1,FCCM=0),U148+0,R148+0), 0)</f>
        <v>0</v>
      </c>
      <c r="O148" s="292">
        <f>IF(D$32=1, IF(AND('Small Signal'!$B$63&gt;=1,FCCM=0),V148,S148), 0)</f>
        <v>0</v>
      </c>
      <c r="P148" s="292">
        <f>IF(AND('Small Signal'!$B$63&gt;=1,FCCM=0),AE148+0,AB148+0)</f>
        <v>-7.647451964210692</v>
      </c>
      <c r="Q148" s="292">
        <f>IF(AND('Small Signal'!$B$63&gt;=1,FCCM=0),AF148,AC148)</f>
        <v>64.920398597878602</v>
      </c>
      <c r="R148" s="292">
        <f t="shared" si="85"/>
        <v>-11.961928336850589</v>
      </c>
      <c r="S148" s="292">
        <f t="shared" si="85"/>
        <v>-126.91826174543002</v>
      </c>
      <c r="T148" s="292" t="str">
        <f>IMDIV(IMSUM('Small Signal'!$B$76,IMPRODUCT(M148,'Small Signal'!$B$77)),IMSUM(IMPRODUCT('Small Signal'!$B$80,IMPOWER(M148,2)),IMSUM(IMPRODUCT(M148,'Small Signal'!$B$79),'Small Signal'!$B$78)))</f>
        <v>-0.109507168617058-0.0828359195744299i</v>
      </c>
      <c r="U148" s="292">
        <f t="shared" si="65"/>
        <v>-17.246054912039273</v>
      </c>
      <c r="V148" s="292">
        <f t="shared" si="66"/>
        <v>-142.89457565574187</v>
      </c>
      <c r="W148" s="292" t="str">
        <f>IMPRODUCT(IMDIV(IMSUM(IMPRODUCT(M148,'Small Signal'!$B$59*'Small Signal'!$B$6*'Small Signal'!$B$51*'Small Signal'!$B$7*'Small Signal'!$B$8),'Small Signal'!$B$59*'Small Signal'!$B$6*'Small Signal'!$B$51),IMSUM(IMSUM(IMPRODUCT(M148,('Small Signal'!$B$5+'Small Signal'!$B$6)*('Small Signal'!$B$58*'Small Signal'!$B$59)+'Small Signal'!$B$5*'Small Signal'!$B$59*('Small Signal'!$B$8+'Small Signal'!$B$9)+'Small Signal'!$B$6*'Small Signal'!$B$59*('Small Signal'!$B$8+'Small Signal'!$B$9)+'Small Signal'!$B$7*'Small Signal'!$B$8*('Small Signal'!$B$5+'Small Signal'!$B$6)),'Small Signal'!$B$6+'Small Signal'!$B$5),IMPRODUCT(IMPOWER(M148,2),'Small Signal'!$B$58*'Small Signal'!$B$59*'Small Signal'!$B$8*'Small Signal'!$B$7*('Small Signal'!$B$5+'Small Signal'!$B$6)+('Small Signal'!$B$5+'Small Signal'!$B$6)*('Small Signal'!$B$9*'Small Signal'!$B$8*'Small Signal'!$B$59*'Small Signal'!$B$7)))),-1)</f>
        <v>-1.44855385432447+0.173498459083551i</v>
      </c>
      <c r="X148" s="292">
        <f t="shared" si="67"/>
        <v>0</v>
      </c>
      <c r="Y148" s="292">
        <f t="shared" si="68"/>
        <v>0</v>
      </c>
      <c r="Z148" s="292" t="str">
        <f t="shared" si="69"/>
        <v>1.06714381830897+0.36055745007563i</v>
      </c>
      <c r="AA148" s="292" t="str">
        <f t="shared" si="70"/>
        <v>0.175738634013179+0.37550977574275i</v>
      </c>
      <c r="AB148" s="289">
        <f t="shared" si="86"/>
        <v>-7.647451964210692</v>
      </c>
      <c r="AC148" s="292">
        <f t="shared" si="87"/>
        <v>64.920398597878602</v>
      </c>
      <c r="AD148" s="292" t="str">
        <f t="shared" si="71"/>
        <v>0.172998935579332+0.10099296556239i</v>
      </c>
      <c r="AE148" s="289">
        <f t="shared" si="72"/>
        <v>-13.965502037095296</v>
      </c>
      <c r="AF148" s="292">
        <f t="shared" si="73"/>
        <v>30.275440879202996</v>
      </c>
      <c r="AH148" s="292" t="str">
        <f t="shared" si="74"/>
        <v>0.00075-0.0204875273704428i</v>
      </c>
      <c r="AI148" s="292">
        <f t="shared" si="75"/>
        <v>0.95</v>
      </c>
      <c r="AJ148" s="292" t="str">
        <f t="shared" si="76"/>
        <v>1000-2163482.89031876i</v>
      </c>
      <c r="AK148" s="292" t="str">
        <f t="shared" si="77"/>
        <v>0.00118998925751773-0.0204457227250976i</v>
      </c>
      <c r="AL148" s="292" t="str">
        <f t="shared" si="78"/>
        <v>1.18699347664159-0.0363330207808221i</v>
      </c>
      <c r="AM148" s="292" t="str">
        <f t="shared" si="79"/>
        <v>0.019+1.01687885300348i</v>
      </c>
      <c r="AN148" s="292" t="str">
        <f t="shared" si="80"/>
        <v>-0.151545552518738-0.201705798481021i</v>
      </c>
      <c r="AO148" s="292">
        <f t="shared" si="88"/>
        <v>-11.961928336850589</v>
      </c>
      <c r="AP148" s="292">
        <f t="shared" si="89"/>
        <v>-126.91826174543002</v>
      </c>
      <c r="AR148" s="292" t="str">
        <f t="shared" si="81"/>
        <v>1.18699347664159-0.0363330207808221i</v>
      </c>
      <c r="AS148" s="292" t="str">
        <f t="shared" si="82"/>
        <v>-0.151545552518738-0.201705798481021i</v>
      </c>
      <c r="AT148" s="292">
        <f t="shared" si="90"/>
        <v>-11.961928336850589</v>
      </c>
      <c r="AU148" s="292">
        <f t="shared" si="91"/>
        <v>-126.91826174543002</v>
      </c>
    </row>
    <row r="149" spans="2:47" x14ac:dyDescent="0.25">
      <c r="F149" s="292">
        <v>147</v>
      </c>
      <c r="G149" s="293">
        <f t="shared" si="62"/>
        <v>187.31193821376564</v>
      </c>
      <c r="H149" s="293">
        <f t="shared" si="63"/>
        <v>164.37594560803683</v>
      </c>
      <c r="I149" s="294">
        <f t="shared" si="64"/>
        <v>0</v>
      </c>
      <c r="J149" s="292">
        <f t="shared" si="83"/>
        <v>0</v>
      </c>
      <c r="K149" s="292">
        <f t="shared" si="83"/>
        <v>1</v>
      </c>
      <c r="L149" s="292">
        <f>10^('Small Signal'!F149/30)</f>
        <v>79432.823472428237</v>
      </c>
      <c r="M149" s="292" t="str">
        <f t="shared" si="84"/>
        <v>499091.149349751i</v>
      </c>
      <c r="N149" s="292">
        <f>IF(D$32=1, IF(AND('Small Signal'!$B$63&gt;=1,FCCM=0),U149+0,R149+0), 0)</f>
        <v>0</v>
      </c>
      <c r="O149" s="292">
        <f>IF(D$32=1, IF(AND('Small Signal'!$B$63&gt;=1,FCCM=0),V149,S149), 0)</f>
        <v>0</v>
      </c>
      <c r="P149" s="292">
        <f>IF(AND('Small Signal'!$B$63&gt;=1,FCCM=0),AE149+0,AB149+0)</f>
        <v>-8.4549066459614526</v>
      </c>
      <c r="Q149" s="292">
        <f>IF(AND('Small Signal'!$B$63&gt;=1,FCCM=0),AF149,AC149)</f>
        <v>63.615889790300848</v>
      </c>
      <c r="R149" s="292">
        <f t="shared" si="85"/>
        <v>-12.908768401435786</v>
      </c>
      <c r="S149" s="292">
        <f t="shared" si="85"/>
        <v>-129.23271939855721</v>
      </c>
      <c r="T149" s="292" t="str">
        <f>IMDIV(IMSUM('Small Signal'!$B$76,IMPRODUCT(M149,'Small Signal'!$B$77)),IMSUM(IMPRODUCT('Small Signal'!$B$80,IMPOWER(M149,2)),IMSUM(IMPRODUCT(M149,'Small Signal'!$B$79),'Small Signal'!$B$78)))</f>
        <v>-0.0983717558824294-0.0691848355078226i</v>
      </c>
      <c r="U149" s="292">
        <f t="shared" si="65"/>
        <v>-18.397252843064042</v>
      </c>
      <c r="V149" s="292">
        <f t="shared" si="66"/>
        <v>-144.88128769433894</v>
      </c>
      <c r="W149" s="292" t="str">
        <f>IMPRODUCT(IMDIV(IMSUM(IMPRODUCT(M149,'Small Signal'!$B$59*'Small Signal'!$B$6*'Small Signal'!$B$51*'Small Signal'!$B$7*'Small Signal'!$B$8),'Small Signal'!$B$59*'Small Signal'!$B$6*'Small Signal'!$B$51),IMSUM(IMSUM(IMPRODUCT(M149,('Small Signal'!$B$5+'Small Signal'!$B$6)*('Small Signal'!$B$58*'Small Signal'!$B$59)+'Small Signal'!$B$5*'Small Signal'!$B$59*('Small Signal'!$B$8+'Small Signal'!$B$9)+'Small Signal'!$B$6*'Small Signal'!$B$59*('Small Signal'!$B$8+'Small Signal'!$B$9)+'Small Signal'!$B$7*'Small Signal'!$B$8*('Small Signal'!$B$5+'Small Signal'!$B$6)),'Small Signal'!$B$6+'Small Signal'!$B$5),IMPRODUCT(IMPOWER(M149,2),'Small Signal'!$B$58*'Small Signal'!$B$59*'Small Signal'!$B$8*'Small Signal'!$B$7*('Small Signal'!$B$5+'Small Signal'!$B$6)+('Small Signal'!$B$5+'Small Signal'!$B$6)*('Small Signal'!$B$9*'Small Signal'!$B$8*'Small Signal'!$B$59*'Small Signal'!$B$7)))),-1)</f>
        <v>-1.44749206503647+0.175418613142909i</v>
      </c>
      <c r="X149" s="292">
        <f t="shared" si="67"/>
        <v>0</v>
      </c>
      <c r="Y149" s="292">
        <f t="shared" si="68"/>
        <v>0</v>
      </c>
      <c r="Z149" s="292" t="str">
        <f t="shared" si="69"/>
        <v>1.07785102633178+0.387167993535163i</v>
      </c>
      <c r="AA149" s="292" t="str">
        <f t="shared" si="70"/>
        <v>0.167886499527852+0.338440798780871i</v>
      </c>
      <c r="AB149" s="289">
        <f t="shared" si="86"/>
        <v>-8.4549066459614526</v>
      </c>
      <c r="AC149" s="292">
        <f t="shared" si="87"/>
        <v>63.615889790300848</v>
      </c>
      <c r="AD149" s="292" t="str">
        <f t="shared" si="71"/>
        <v>0.154528643958824+0.0828882634290981i</v>
      </c>
      <c r="AE149" s="289">
        <f t="shared" si="72"/>
        <v>-15.121610092316054</v>
      </c>
      <c r="AF149" s="292">
        <f t="shared" si="73"/>
        <v>28.208849377420105</v>
      </c>
      <c r="AH149" s="292" t="str">
        <f t="shared" si="74"/>
        <v>0.00075-0.0189738827908183i</v>
      </c>
      <c r="AI149" s="292">
        <f t="shared" si="75"/>
        <v>0.95</v>
      </c>
      <c r="AJ149" s="292" t="str">
        <f t="shared" si="76"/>
        <v>1000-2003642.02271041i</v>
      </c>
      <c r="AK149" s="292" t="str">
        <f t="shared" si="77"/>
        <v>0.00112731774735975-0.0189364174457086i</v>
      </c>
      <c r="AL149" s="292" t="str">
        <f t="shared" si="78"/>
        <v>1.18680915997338-0.0392254015345565i</v>
      </c>
      <c r="AM149" s="292" t="str">
        <f t="shared" si="79"/>
        <v>0.019+1.09800052856945i</v>
      </c>
      <c r="AN149" s="292" t="str">
        <f t="shared" si="80"/>
        <v>-0.143087832614907-0.175238604058366i</v>
      </c>
      <c r="AO149" s="292">
        <f t="shared" si="88"/>
        <v>-12.908768401435786</v>
      </c>
      <c r="AP149" s="292">
        <f t="shared" si="89"/>
        <v>-129.23271939855721</v>
      </c>
      <c r="AR149" s="292" t="str">
        <f t="shared" si="81"/>
        <v>1.18680915997338-0.0392254015345565i</v>
      </c>
      <c r="AS149" s="292" t="str">
        <f t="shared" si="82"/>
        <v>-0.143087832614907-0.175238604058366i</v>
      </c>
      <c r="AT149" s="292">
        <f t="shared" si="90"/>
        <v>-12.908768401435786</v>
      </c>
      <c r="AU149" s="292">
        <f t="shared" si="91"/>
        <v>-129.23271939855721</v>
      </c>
    </row>
    <row r="150" spans="2:47" x14ac:dyDescent="0.25">
      <c r="F150" s="292">
        <v>148</v>
      </c>
      <c r="G150" s="293">
        <f t="shared" si="62"/>
        <v>188.01037464901492</v>
      </c>
      <c r="H150" s="293">
        <f t="shared" si="63"/>
        <v>163.60266250727597</v>
      </c>
      <c r="I150" s="294">
        <f t="shared" si="64"/>
        <v>0</v>
      </c>
      <c r="J150" s="292">
        <f t="shared" si="83"/>
        <v>0</v>
      </c>
      <c r="K150" s="292">
        <f t="shared" si="83"/>
        <v>1</v>
      </c>
      <c r="L150" s="292">
        <f>10^('Small Signal'!F150/30)</f>
        <v>85769.589859089538</v>
      </c>
      <c r="M150" s="292" t="str">
        <f t="shared" si="84"/>
        <v>538906.226805451i</v>
      </c>
      <c r="N150" s="292">
        <f>IF(D$32=1, IF(AND('Small Signal'!$B$63&gt;=1,FCCM=0),U150+0,R150+0), 0)</f>
        <v>0</v>
      </c>
      <c r="O150" s="292">
        <f>IF(D$32=1, IF(AND('Small Signal'!$B$63&gt;=1,FCCM=0),V150,S150), 0)</f>
        <v>0</v>
      </c>
      <c r="P150" s="292">
        <f>IF(AND('Small Signal'!$B$63&gt;=1,FCCM=0),AE150+0,AB150+0)</f>
        <v>-9.2717313721548482</v>
      </c>
      <c r="Q150" s="292">
        <f>IF(AND('Small Signal'!$B$63&gt;=1,FCCM=0),AF150,AC150)</f>
        <v>62.274442108570881</v>
      </c>
      <c r="R150" s="292">
        <f t="shared" si="85"/>
        <v>-13.880905065814149</v>
      </c>
      <c r="S150" s="292">
        <f t="shared" si="85"/>
        <v>-131.55307022896409</v>
      </c>
      <c r="T150" s="292" t="str">
        <f>IMDIV(IMSUM('Small Signal'!$B$76,IMPRODUCT(M150,'Small Signal'!$B$77)),IMSUM(IMPRODUCT('Small Signal'!$B$80,IMPOWER(M150,2)),IMSUM(IMPRODUCT(M150,'Small Signal'!$B$79),'Small Signal'!$B$78)))</f>
        <v>-0.0879118639455934-0.057598570850566i</v>
      </c>
      <c r="U150" s="292">
        <f t="shared" si="65"/>
        <v>-19.567913759598955</v>
      </c>
      <c r="V150" s="292">
        <f t="shared" si="66"/>
        <v>-146.76776783971439</v>
      </c>
      <c r="W150" s="292" t="str">
        <f>IMPRODUCT(IMDIV(IMSUM(IMPRODUCT(M150,'Small Signal'!$B$59*'Small Signal'!$B$6*'Small Signal'!$B$51*'Small Signal'!$B$7*'Small Signal'!$B$8),'Small Signal'!$B$59*'Small Signal'!$B$6*'Small Signal'!$B$51),IMSUM(IMSUM(IMPRODUCT(M150,('Small Signal'!$B$5+'Small Signal'!$B$6)*('Small Signal'!$B$58*'Small Signal'!$B$59)+'Small Signal'!$B$5*'Small Signal'!$B$59*('Small Signal'!$B$8+'Small Signal'!$B$9)+'Small Signal'!$B$6*'Small Signal'!$B$59*('Small Signal'!$B$8+'Small Signal'!$B$9)+'Small Signal'!$B$7*'Small Signal'!$B$8*('Small Signal'!$B$5+'Small Signal'!$B$6)),'Small Signal'!$B$6+'Small Signal'!$B$5),IMPRODUCT(IMPOWER(M150,2),'Small Signal'!$B$58*'Small Signal'!$B$59*'Small Signal'!$B$8*'Small Signal'!$B$7*('Small Signal'!$B$5+'Small Signal'!$B$6)+('Small Signal'!$B$5+'Small Signal'!$B$6)*('Small Signal'!$B$9*'Small Signal'!$B$8*'Small Signal'!$B$59*'Small Signal'!$B$7)))),-1)</f>
        <v>-1.44625685010725+0.178347481375769i</v>
      </c>
      <c r="X150" s="292">
        <f t="shared" si="67"/>
        <v>0</v>
      </c>
      <c r="Y150" s="292">
        <f t="shared" si="68"/>
        <v>0</v>
      </c>
      <c r="Z150" s="292" t="str">
        <f t="shared" si="69"/>
        <v>1.09018614599729+0.415376191767455i</v>
      </c>
      <c r="AA150" s="292" t="str">
        <f t="shared" si="70"/>
        <v>0.159988080539143+0.304402390838168i</v>
      </c>
      <c r="AB150" s="289">
        <f t="shared" si="86"/>
        <v>-9.2717313721548482</v>
      </c>
      <c r="AC150" s="292">
        <f t="shared" si="87"/>
        <v>62.274442108570881</v>
      </c>
      <c r="AD150" s="292" t="str">
        <f t="shared" si="71"/>
        <v>0.137415695479053+0.067623468131273i</v>
      </c>
      <c r="AE150" s="289">
        <f t="shared" si="72"/>
        <v>-16.297459210222428</v>
      </c>
      <c r="AF150" s="292">
        <f t="shared" si="73"/>
        <v>26.202203095347393</v>
      </c>
      <c r="AH150" s="292" t="str">
        <f t="shared" si="74"/>
        <v>0.00075-0.0175720681978974i</v>
      </c>
      <c r="AI150" s="292">
        <f t="shared" si="75"/>
        <v>0.95</v>
      </c>
      <c r="AJ150" s="292" t="str">
        <f t="shared" si="76"/>
        <v>1000-1855610.40169797i</v>
      </c>
      <c r="AK150" s="292" t="str">
        <f t="shared" si="77"/>
        <v>0.00107355805394169-0.0175383644441639i</v>
      </c>
      <c r="AL150" s="292" t="str">
        <f t="shared" si="78"/>
        <v>1.18659433477757-0.0423469476695695i</v>
      </c>
      <c r="AM150" s="292" t="str">
        <f t="shared" si="79"/>
        <v>0.019+1.18559369897199i</v>
      </c>
      <c r="AN150" s="292" t="str">
        <f t="shared" si="80"/>
        <v>-0.134175608250937-0.151375176487482i</v>
      </c>
      <c r="AO150" s="292">
        <f t="shared" si="88"/>
        <v>-13.880905065814149</v>
      </c>
      <c r="AP150" s="292">
        <f t="shared" si="89"/>
        <v>-131.55307022896409</v>
      </c>
      <c r="AR150" s="292" t="str">
        <f t="shared" si="81"/>
        <v>1.18659433477757-0.0423469476695695i</v>
      </c>
      <c r="AS150" s="292" t="str">
        <f t="shared" si="82"/>
        <v>-0.134175608250937-0.151375176487482i</v>
      </c>
      <c r="AT150" s="292">
        <f t="shared" si="90"/>
        <v>-13.880905065814149</v>
      </c>
      <c r="AU150" s="292">
        <f t="shared" si="91"/>
        <v>-131.55307022896409</v>
      </c>
    </row>
    <row r="151" spans="2:47" x14ac:dyDescent="0.25">
      <c r="F151" s="292">
        <v>149</v>
      </c>
      <c r="G151" s="293">
        <f t="shared" si="62"/>
        <v>188.6963969936989</v>
      </c>
      <c r="H151" s="293">
        <f t="shared" si="63"/>
        <v>162.7720982042955</v>
      </c>
      <c r="I151" s="294">
        <f t="shared" si="64"/>
        <v>0</v>
      </c>
      <c r="J151" s="292">
        <f t="shared" si="83"/>
        <v>0</v>
      </c>
      <c r="K151" s="292">
        <f t="shared" si="83"/>
        <v>1</v>
      </c>
      <c r="L151" s="292">
        <f>10^('Small Signal'!F151/30)</f>
        <v>92611.872812879505</v>
      </c>
      <c r="M151" s="292" t="str">
        <f t="shared" si="84"/>
        <v>581897.558528269i</v>
      </c>
      <c r="N151" s="292">
        <f>IF(D$32=1, IF(AND('Small Signal'!$B$63&gt;=1,FCCM=0),U151+0,R151+0), 0)</f>
        <v>0</v>
      </c>
      <c r="O151" s="292">
        <f>IF(D$32=1, IF(AND('Small Signal'!$B$63&gt;=1,FCCM=0),V151,S151), 0)</f>
        <v>0</v>
      </c>
      <c r="P151" s="292">
        <f>IF(AND('Small Signal'!$B$63&gt;=1,FCCM=0),AE151+0,AB151+0)</f>
        <v>-10.097531992753661</v>
      </c>
      <c r="Q151" s="292">
        <f>IF(AND('Small Signal'!$B$63&gt;=1,FCCM=0),AF151,AC151)</f>
        <v>60.896588619242152</v>
      </c>
      <c r="R151" s="292">
        <f t="shared" si="85"/>
        <v>-14.87862471506439</v>
      </c>
      <c r="S151" s="292">
        <f t="shared" si="85"/>
        <v>-133.86737310523978</v>
      </c>
      <c r="T151" s="292" t="str">
        <f>IMDIV(IMSUM('Small Signal'!$B$76,IMPRODUCT(M151,'Small Signal'!$B$77)),IMSUM(IMPRODUCT('Small Signal'!$B$80,IMPOWER(M151,2)),IMSUM(IMPRODUCT(M151,'Small Signal'!$B$79),'Small Signal'!$B$78)))</f>
        <v>-0.0781930251647331-0.0478249062329068i</v>
      </c>
      <c r="U151" s="292">
        <f t="shared" si="65"/>
        <v>-20.756498448983663</v>
      </c>
      <c r="V151" s="292">
        <f t="shared" si="66"/>
        <v>-148.54894981054366</v>
      </c>
      <c r="W151" s="292" t="str">
        <f>IMPRODUCT(IMDIV(IMSUM(IMPRODUCT(M151,'Small Signal'!$B$59*'Small Signal'!$B$6*'Small Signal'!$B$51*'Small Signal'!$B$7*'Small Signal'!$B$8),'Small Signal'!$B$59*'Small Signal'!$B$6*'Small Signal'!$B$51),IMSUM(IMSUM(IMPRODUCT(M151,('Small Signal'!$B$5+'Small Signal'!$B$6)*('Small Signal'!$B$58*'Small Signal'!$B$59)+'Small Signal'!$B$5*'Small Signal'!$B$59*('Small Signal'!$B$8+'Small Signal'!$B$9)+'Small Signal'!$B$6*'Small Signal'!$B$59*('Small Signal'!$B$8+'Small Signal'!$B$9)+'Small Signal'!$B$7*'Small Signal'!$B$8*('Small Signal'!$B$5+'Small Signal'!$B$6)),'Small Signal'!$B$6+'Small Signal'!$B$5),IMPRODUCT(IMPOWER(M151,2),'Small Signal'!$B$58*'Small Signal'!$B$59*'Small Signal'!$B$8*'Small Signal'!$B$7*('Small Signal'!$B$5+'Small Signal'!$B$6)+('Small Signal'!$B$5+'Small Signal'!$B$6)*('Small Signal'!$B$9*'Small Signal'!$B$8*'Small Signal'!$B$59*'Small Signal'!$B$7)))),-1)</f>
        <v>-1.44482001931258+0.182295887106194i</v>
      </c>
      <c r="X151" s="292">
        <f t="shared" si="67"/>
        <v>0</v>
      </c>
      <c r="Y151" s="292">
        <f t="shared" si="68"/>
        <v>0</v>
      </c>
      <c r="Z151" s="292" t="str">
        <f t="shared" si="69"/>
        <v>1.10436976525597+0.445187688353514i</v>
      </c>
      <c r="AA151" s="292" t="str">
        <f t="shared" si="70"/>
        <v>0.152091771939178+0.273216700058765i</v>
      </c>
      <c r="AB151" s="289">
        <f t="shared" si="86"/>
        <v>-10.097531992753661</v>
      </c>
      <c r="AC151" s="292">
        <f t="shared" si="87"/>
        <v>60.896588619242152</v>
      </c>
      <c r="AD151" s="292" t="str">
        <f t="shared" si="71"/>
        <v>0.121693131836117+0.0548441150591288i</v>
      </c>
      <c r="AE151" s="289">
        <f t="shared" si="72"/>
        <v>-17.491630972226144</v>
      </c>
      <c r="AF151" s="292">
        <f t="shared" si="73"/>
        <v>24.259923667634045</v>
      </c>
      <c r="AH151" s="292" t="str">
        <f t="shared" si="74"/>
        <v>0.00075-0.0162738214500292i</v>
      </c>
      <c r="AI151" s="292">
        <f t="shared" si="75"/>
        <v>0.95</v>
      </c>
      <c r="AJ151" s="292" t="str">
        <f t="shared" si="76"/>
        <v>1000-1718515.54512308i</v>
      </c>
      <c r="AK151" s="292" t="str">
        <f t="shared" si="77"/>
        <v>0.00102744373211494-0.0162433971033069i</v>
      </c>
      <c r="AL151" s="292" t="str">
        <f t="shared" si="78"/>
        <v>1.18634396516416-0.0457155343495531i</v>
      </c>
      <c r="AM151" s="292" t="str">
        <f t="shared" si="79"/>
        <v>0.019+1.28017462876219i</v>
      </c>
      <c r="AN151" s="292" t="str">
        <f t="shared" si="80"/>
        <v>-0.124967364124578-0.13000839913769i</v>
      </c>
      <c r="AO151" s="292">
        <f t="shared" si="88"/>
        <v>-14.87862471506439</v>
      </c>
      <c r="AP151" s="292">
        <f t="shared" si="89"/>
        <v>-133.86737310523978</v>
      </c>
      <c r="AR151" s="292" t="str">
        <f t="shared" si="81"/>
        <v>1.18634396516416-0.0457155343495531i</v>
      </c>
      <c r="AS151" s="292" t="str">
        <f t="shared" si="82"/>
        <v>-0.124967364124578-0.13000839913769i</v>
      </c>
      <c r="AT151" s="292">
        <f t="shared" si="90"/>
        <v>-14.87862471506439</v>
      </c>
      <c r="AU151" s="292">
        <f t="shared" si="91"/>
        <v>-133.86737310523978</v>
      </c>
    </row>
    <row r="152" spans="2:47" x14ac:dyDescent="0.25">
      <c r="F152" s="292">
        <v>150</v>
      </c>
      <c r="G152" s="293">
        <f t="shared" si="62"/>
        <v>189.35830892464298</v>
      </c>
      <c r="H152" s="293">
        <f t="shared" si="63"/>
        <v>161.88076115085488</v>
      </c>
      <c r="I152" s="294">
        <f t="shared" si="64"/>
        <v>0</v>
      </c>
      <c r="J152" s="292">
        <f t="shared" si="83"/>
        <v>0</v>
      </c>
      <c r="K152" s="292">
        <f t="shared" si="83"/>
        <v>1</v>
      </c>
      <c r="L152" s="292">
        <f>10^('Small Signal'!F152/30)</f>
        <v>100000</v>
      </c>
      <c r="M152" s="292" t="str">
        <f t="shared" si="84"/>
        <v>628318.530717959i</v>
      </c>
      <c r="N152" s="292">
        <f>IF(D$32=1, IF(AND('Small Signal'!$B$63&gt;=1,FCCM=0),U152+0,R152+0), 0)</f>
        <v>0</v>
      </c>
      <c r="O152" s="292">
        <f>IF(D$32=1, IF(AND('Small Signal'!$B$63&gt;=1,FCCM=0),V152,S152), 0)</f>
        <v>0</v>
      </c>
      <c r="P152" s="292">
        <f>IF(AND('Small Signal'!$B$63&gt;=1,FCCM=0),AE152+0,AB152+0)</f>
        <v>-10.931834145488317</v>
      </c>
      <c r="Q152" s="292">
        <f>IF(AND('Small Signal'!$B$63&gt;=1,FCCM=0),AF152,AC152)</f>
        <v>59.481478352492509</v>
      </c>
      <c r="R152" s="292">
        <f t="shared" si="85"/>
        <v>-15.901918388002912</v>
      </c>
      <c r="S152" s="292">
        <f t="shared" si="85"/>
        <v>-136.16340609440638</v>
      </c>
      <c r="T152" s="292" t="str">
        <f>IMDIV(IMSUM('Small Signal'!$B$76,IMPRODUCT(M152,'Small Signal'!$B$77)),IMSUM(IMPRODUCT('Small Signal'!$B$80,IMPOWER(M152,2)),IMSUM(IMPRODUCT(M152,'Small Signal'!$B$79),'Small Signal'!$B$78)))</f>
        <v>-0.0692502760549097-0.0396262116790834i</v>
      </c>
      <c r="U152" s="292">
        <f t="shared" si="65"/>
        <v>-21.961444595554049</v>
      </c>
      <c r="V152" s="292">
        <f t="shared" si="66"/>
        <v>-150.22105980619583</v>
      </c>
      <c r="W152" s="292" t="str">
        <f>IMPRODUCT(IMDIV(IMSUM(IMPRODUCT(M152,'Small Signal'!$B$59*'Small Signal'!$B$6*'Small Signal'!$B$51*'Small Signal'!$B$7*'Small Signal'!$B$8),'Small Signal'!$B$59*'Small Signal'!$B$6*'Small Signal'!$B$51),IMSUM(IMSUM(IMPRODUCT(M152,('Small Signal'!$B$5+'Small Signal'!$B$6)*('Small Signal'!$B$58*'Small Signal'!$B$59)+'Small Signal'!$B$5*'Small Signal'!$B$59*('Small Signal'!$B$8+'Small Signal'!$B$9)+'Small Signal'!$B$6*'Small Signal'!$B$59*('Small Signal'!$B$8+'Small Signal'!$B$9)+'Small Signal'!$B$7*'Small Signal'!$B$8*('Small Signal'!$B$5+'Small Signal'!$B$6)),'Small Signal'!$B$6+'Small Signal'!$B$5),IMPRODUCT(IMPOWER(M152,2),'Small Signal'!$B$58*'Small Signal'!$B$59*'Small Signal'!$B$8*'Small Signal'!$B$7*('Small Signal'!$B$5+'Small Signal'!$B$6)+('Small Signal'!$B$5+'Small Signal'!$B$6)*('Small Signal'!$B$9*'Small Signal'!$B$8*'Small Signal'!$B$59*'Small Signal'!$B$7)))),-1)</f>
        <v>-1.44314896714542+0.187279033154133i</v>
      </c>
      <c r="X152" s="292">
        <f t="shared" si="67"/>
        <v>0</v>
      </c>
      <c r="Y152" s="292">
        <f t="shared" si="68"/>
        <v>0</v>
      </c>
      <c r="Z152" s="292" t="str">
        <f t="shared" si="69"/>
        <v>1.12064338153343+0.47658306616459i</v>
      </c>
      <c r="AA152" s="292" t="str">
        <f t="shared" si="70"/>
        <v>0.144249865521622+0.24470675257547i</v>
      </c>
      <c r="AB152" s="289">
        <f t="shared" si="86"/>
        <v>-10.931834145488317</v>
      </c>
      <c r="AC152" s="292">
        <f t="shared" si="87"/>
        <v>59.481478352492509</v>
      </c>
      <c r="AD152" s="292" t="str">
        <f t="shared" si="71"/>
        <v>0.107359622973998+0.0442174017113347i</v>
      </c>
      <c r="AE152" s="289">
        <f t="shared" si="72"/>
        <v>-18.702692815530501</v>
      </c>
      <c r="AF152" s="292">
        <f t="shared" si="73"/>
        <v>22.384925321474238</v>
      </c>
      <c r="AH152" s="292" t="str">
        <f t="shared" si="74"/>
        <v>0.00075-0.0150714908230961i</v>
      </c>
      <c r="AI152" s="292">
        <f t="shared" si="75"/>
        <v>0.95</v>
      </c>
      <c r="AJ152" s="292" t="str">
        <f t="shared" si="76"/>
        <v>1000-1591549.43091895i</v>
      </c>
      <c r="AK152" s="292" t="str">
        <f t="shared" si="77"/>
        <v>0.000987888096620825-0.0150439413101792i</v>
      </c>
      <c r="AL152" s="292" t="str">
        <f t="shared" si="78"/>
        <v>1.18605218899748-0.0493503580301933i</v>
      </c>
      <c r="AM152" s="292" t="str">
        <f t="shared" si="79"/>
        <v>0.019+1.38230076757951i</v>
      </c>
      <c r="AN152" s="292" t="str">
        <f t="shared" si="80"/>
        <v>-0.115619440258879-0.111016896391067i</v>
      </c>
      <c r="AO152" s="292">
        <f t="shared" si="88"/>
        <v>-15.901918388002912</v>
      </c>
      <c r="AP152" s="292">
        <f t="shared" si="89"/>
        <v>-136.16340609440638</v>
      </c>
      <c r="AR152" s="292" t="str">
        <f t="shared" si="81"/>
        <v>1.18605218899748-0.0493503580301933i</v>
      </c>
      <c r="AS152" s="292" t="str">
        <f t="shared" si="82"/>
        <v>-0.115619440258879-0.111016896391067i</v>
      </c>
      <c r="AT152" s="292">
        <f t="shared" si="90"/>
        <v>-15.901918388002912</v>
      </c>
      <c r="AU152" s="292">
        <f t="shared" si="91"/>
        <v>-136.16340609440638</v>
      </c>
    </row>
    <row r="153" spans="2:47" x14ac:dyDescent="0.25">
      <c r="F153" s="292">
        <v>151</v>
      </c>
      <c r="G153" s="293">
        <f t="shared" si="62"/>
        <v>189.98273876393205</v>
      </c>
      <c r="H153" s="293">
        <f t="shared" si="63"/>
        <v>160.92513255891336</v>
      </c>
      <c r="I153" s="294">
        <f t="shared" si="64"/>
        <v>0</v>
      </c>
      <c r="J153" s="292">
        <f t="shared" si="83"/>
        <v>0</v>
      </c>
      <c r="K153" s="292">
        <f t="shared" si="83"/>
        <v>1</v>
      </c>
      <c r="L153" s="292">
        <f>10^('Small Signal'!F153/30)</f>
        <v>107977.51623277101</v>
      </c>
      <c r="M153" s="292" t="str">
        <f t="shared" si="84"/>
        <v>678442.743499492i</v>
      </c>
      <c r="N153" s="292">
        <f>IF(D$32=1, IF(AND('Small Signal'!$B$63&gt;=1,FCCM=0),U153+0,R153+0), 0)</f>
        <v>0</v>
      </c>
      <c r="O153" s="292">
        <f>IF(D$32=1, IF(AND('Small Signal'!$B$63&gt;=1,FCCM=0),V153,S153), 0)</f>
        <v>0</v>
      </c>
      <c r="P153" s="292">
        <f>IF(AND('Small Signal'!$B$63&gt;=1,FCCM=0),AE153+0,AB153+0)</f>
        <v>-11.774137982892299</v>
      </c>
      <c r="Q153" s="292">
        <f>IF(AND('Small Signal'!$B$63&gt;=1,FCCM=0),AF153,AC153)</f>
        <v>58.026672011200198</v>
      </c>
      <c r="R153" s="292">
        <f t="shared" si="85"/>
        <v>-16.950480538296063</v>
      </c>
      <c r="S153" s="292">
        <f t="shared" si="85"/>
        <v>-138.42904630914603</v>
      </c>
      <c r="T153" s="292" t="str">
        <f>IMDIV(IMSUM('Small Signal'!$B$76,IMPRODUCT(M153,'Small Signal'!$B$77)),IMSUM(IMPRODUCT('Small Signal'!$B$80,IMPOWER(M153,2)),IMSUM(IMPRODUCT(M153,'Small Signal'!$B$79),'Small Signal'!$B$78)))</f>
        <v>-0.0610928316922965-0.0327830650813681i</v>
      </c>
      <c r="U153" s="292">
        <f t="shared" si="65"/>
        <v>-23.181201463140752</v>
      </c>
      <c r="V153" s="292">
        <f t="shared" si="66"/>
        <v>-151.78151864646338</v>
      </c>
      <c r="W153" s="292" t="str">
        <f>IMPRODUCT(IMDIV(IMSUM(IMPRODUCT(M153,'Small Signal'!$B$59*'Small Signal'!$B$6*'Small Signal'!$B$51*'Small Signal'!$B$7*'Small Signal'!$B$8),'Small Signal'!$B$59*'Small Signal'!$B$6*'Small Signal'!$B$51),IMSUM(IMSUM(IMPRODUCT(M153,('Small Signal'!$B$5+'Small Signal'!$B$6)*('Small Signal'!$B$58*'Small Signal'!$B$59)+'Small Signal'!$B$5*'Small Signal'!$B$59*('Small Signal'!$B$8+'Small Signal'!$B$9)+'Small Signal'!$B$6*'Small Signal'!$B$59*('Small Signal'!$B$8+'Small Signal'!$B$9)+'Small Signal'!$B$7*'Small Signal'!$B$8*('Small Signal'!$B$5+'Small Signal'!$B$6)),'Small Signal'!$B$6+'Small Signal'!$B$5),IMPRODUCT(IMPOWER(M153,2),'Small Signal'!$B$58*'Small Signal'!$B$59*'Small Signal'!$B$8*'Small Signal'!$B$7*('Small Signal'!$B$5+'Small Signal'!$B$6)+('Small Signal'!$B$5+'Small Signal'!$B$6)*('Small Signal'!$B$9*'Small Signal'!$B$8*'Small Signal'!$B$59*'Small Signal'!$B$7)))),-1)</f>
        <v>-1.44120602409801+0.19331618684147i</v>
      </c>
      <c r="X153" s="292">
        <f t="shared" si="67"/>
        <v>0</v>
      </c>
      <c r="Y153" s="292">
        <f t="shared" si="68"/>
        <v>0</v>
      </c>
      <c r="Z153" s="292" t="str">
        <f t="shared" si="69"/>
        <v>1.13926832931442+0.509511672572011i</v>
      </c>
      <c r="AA153" s="292" t="str">
        <f t="shared" si="70"/>
        <v>0.136514599966095+0.218695501084008i</v>
      </c>
      <c r="AB153" s="289">
        <f t="shared" si="86"/>
        <v>-11.774137982892299</v>
      </c>
      <c r="AC153" s="292">
        <f t="shared" si="87"/>
        <v>58.026672011200198</v>
      </c>
      <c r="AD153" s="292" t="str">
        <f t="shared" si="71"/>
        <v>0.0943848541986494+0.0354369176175624i</v>
      </c>
      <c r="AE153" s="289">
        <f t="shared" si="72"/>
        <v>-19.929235578252069</v>
      </c>
      <c r="AF153" s="292">
        <f t="shared" si="73"/>
        <v>20.578712268478551</v>
      </c>
      <c r="AH153" s="292" t="str">
        <f t="shared" si="74"/>
        <v>0.00075-0.0139579899120906i</v>
      </c>
      <c r="AI153" s="292">
        <f t="shared" si="75"/>
        <v>0.95</v>
      </c>
      <c r="AJ153" s="292" t="str">
        <f t="shared" si="76"/>
        <v>1000-1473963.73471677i</v>
      </c>
      <c r="AK153" s="292" t="str">
        <f t="shared" si="77"/>
        <v>0.000953958763131123-0.0139329739098612i</v>
      </c>
      <c r="AL153" s="292" t="str">
        <f t="shared" si="78"/>
        <v>1.18571218412706-0.0532720150172395i</v>
      </c>
      <c r="AM153" s="292" t="str">
        <f t="shared" si="79"/>
        <v>0.019+1.49257403569888i</v>
      </c>
      <c r="AN153" s="292" t="str">
        <f t="shared" si="80"/>
        <v>-0.106281016327169-0.0942643943712317i</v>
      </c>
      <c r="AO153" s="292">
        <f t="shared" si="88"/>
        <v>-16.950480538296063</v>
      </c>
      <c r="AP153" s="292">
        <f t="shared" si="89"/>
        <v>-138.42904630914603</v>
      </c>
      <c r="AR153" s="292" t="str">
        <f t="shared" si="81"/>
        <v>1.18571218412706-0.0532720150172395i</v>
      </c>
      <c r="AS153" s="292" t="str">
        <f t="shared" si="82"/>
        <v>-0.106281016327169-0.0942643943712317i</v>
      </c>
      <c r="AT153" s="292">
        <f t="shared" si="90"/>
        <v>-16.950480538296063</v>
      </c>
      <c r="AU153" s="292">
        <f t="shared" si="91"/>
        <v>-138.42904630914603</v>
      </c>
    </row>
    <row r="154" spans="2:47" x14ac:dyDescent="0.25">
      <c r="F154" s="292">
        <v>152</v>
      </c>
      <c r="G154" s="293">
        <f t="shared" si="62"/>
        <v>190.5547385486509</v>
      </c>
      <c r="H154" s="293">
        <f t="shared" si="63"/>
        <v>159.90171740936665</v>
      </c>
      <c r="I154" s="294">
        <f t="shared" si="64"/>
        <v>0</v>
      </c>
      <c r="J154" s="292">
        <f t="shared" si="83"/>
        <v>0</v>
      </c>
      <c r="K154" s="292">
        <f t="shared" si="83"/>
        <v>1</v>
      </c>
      <c r="L154" s="292">
        <f>10^('Small Signal'!F154/30)</f>
        <v>116591.44011798326</v>
      </c>
      <c r="M154" s="292" t="str">
        <f t="shared" si="84"/>
        <v>732565.623492221i</v>
      </c>
      <c r="N154" s="292">
        <f>IF(D$32=1, IF(AND('Small Signal'!$B$63&gt;=1,FCCM=0),U154+0,R154+0), 0)</f>
        <v>0</v>
      </c>
      <c r="O154" s="292">
        <f>IF(D$32=1, IF(AND('Small Signal'!$B$63&gt;=1,FCCM=0),V154,S154), 0)</f>
        <v>0</v>
      </c>
      <c r="P154" s="292">
        <f>IF(AND('Small Signal'!$B$63&gt;=1,FCCM=0),AE154+0,AB154+0)</f>
        <v>-12.62398317616567</v>
      </c>
      <c r="Q154" s="292">
        <f>IF(AND('Small Signal'!$B$63&gt;=1,FCCM=0),AF154,AC154)</f>
        <v>56.528040814680715</v>
      </c>
      <c r="R154" s="292">
        <f t="shared" si="85"/>
        <v>-18.023721541885624</v>
      </c>
      <c r="S154" s="292">
        <f t="shared" si="85"/>
        <v>-140.65263760204249</v>
      </c>
      <c r="T154" s="292" t="str">
        <f>IMDIV(IMSUM('Small Signal'!$B$76,IMPRODUCT(M154,'Small Signal'!$B$77)),IMSUM(IMPRODUCT('Small Signal'!$B$80,IMPOWER(M154,2)),IMSUM(IMPRODUCT(M154,'Small Signal'!$B$79),'Small Signal'!$B$78)))</f>
        <v>-0.0537090308643384-0.0270964952417991i</v>
      </c>
      <c r="U154" s="292">
        <f t="shared" si="65"/>
        <v>-24.414258115173091</v>
      </c>
      <c r="V154" s="292">
        <f t="shared" si="66"/>
        <v>-153.22880961672766</v>
      </c>
      <c r="W154" s="292" t="str">
        <f>IMPRODUCT(IMDIV(IMSUM(IMPRODUCT(M154,'Small Signal'!$B$59*'Small Signal'!$B$6*'Small Signal'!$B$51*'Small Signal'!$B$7*'Small Signal'!$B$8),'Small Signal'!$B$59*'Small Signal'!$B$6*'Small Signal'!$B$51),IMSUM(IMSUM(IMPRODUCT(M154,('Small Signal'!$B$5+'Small Signal'!$B$6)*('Small Signal'!$B$58*'Small Signal'!$B$59)+'Small Signal'!$B$5*'Small Signal'!$B$59*('Small Signal'!$B$8+'Small Signal'!$B$9)+'Small Signal'!$B$6*'Small Signal'!$B$59*('Small Signal'!$B$8+'Small Signal'!$B$9)+'Small Signal'!$B$7*'Small Signal'!$B$8*('Small Signal'!$B$5+'Small Signal'!$B$6)),'Small Signal'!$B$6+'Small Signal'!$B$5),IMPRODUCT(IMPOWER(M154,2),'Small Signal'!$B$58*'Small Signal'!$B$59*'Small Signal'!$B$8*'Small Signal'!$B$7*('Small Signal'!$B$5+'Small Signal'!$B$6)+('Small Signal'!$B$5+'Small Signal'!$B$6)*('Small Signal'!$B$9*'Small Signal'!$B$8*'Small Signal'!$B$59*'Small Signal'!$B$7)))),-1)</f>
        <v>-1.43894773027177+0.200430292080424i</v>
      </c>
      <c r="X154" s="292">
        <f t="shared" si="67"/>
        <v>0</v>
      </c>
      <c r="Y154" s="292">
        <f t="shared" si="68"/>
        <v>0</v>
      </c>
      <c r="Z154" s="292" t="str">
        <f t="shared" si="69"/>
        <v>1.16052343902215+0.543884765492748i</v>
      </c>
      <c r="AA154" s="292" t="str">
        <f t="shared" si="70"/>
        <v>0.128934471962+0.19500602837332i</v>
      </c>
      <c r="AB154" s="289">
        <f t="shared" si="86"/>
        <v>-12.62398317616567</v>
      </c>
      <c r="AC154" s="292">
        <f t="shared" si="87"/>
        <v>56.528040814680715</v>
      </c>
      <c r="AD154" s="292" t="str">
        <f t="shared" si="71"/>
        <v>0.0827154465130058+0.0282255235830108i</v>
      </c>
      <c r="AE154" s="289">
        <f t="shared" si="72"/>
        <v>-21.169904800963636</v>
      </c>
      <c r="AF154" s="292">
        <f t="shared" si="73"/>
        <v>18.841510672843064</v>
      </c>
      <c r="AH154" s="292" t="str">
        <f t="shared" si="74"/>
        <v>0.00075-0.0129267558646199i</v>
      </c>
      <c r="AI154" s="292">
        <f t="shared" si="75"/>
        <v>0.95</v>
      </c>
      <c r="AJ154" s="292" t="str">
        <f t="shared" si="76"/>
        <v>1000-1365065.41930386i</v>
      </c>
      <c r="AK154" s="292" t="str">
        <f t="shared" si="77"/>
        <v>0.000924855780096069-0.0129039837716481i</v>
      </c>
      <c r="AL154" s="292" t="str">
        <f t="shared" si="78"/>
        <v>1.18531601360552-0.0575025794616108i</v>
      </c>
      <c r="AM154" s="292" t="str">
        <f t="shared" si="79"/>
        <v>0.019+1.61164437168289i</v>
      </c>
      <c r="AN154" s="292" t="str">
        <f t="shared" si="80"/>
        <v>-0.0970892460931968-0.079600740991643i</v>
      </c>
      <c r="AO154" s="292">
        <f t="shared" si="88"/>
        <v>-18.023721541885624</v>
      </c>
      <c r="AP154" s="292">
        <f t="shared" si="89"/>
        <v>-140.65263760204249</v>
      </c>
      <c r="AR154" s="292" t="str">
        <f t="shared" si="81"/>
        <v>1.18531601360552-0.0575025794616108i</v>
      </c>
      <c r="AS154" s="292" t="str">
        <f t="shared" si="82"/>
        <v>-0.0970892460931968-0.079600740991643i</v>
      </c>
      <c r="AT154" s="292">
        <f t="shared" si="90"/>
        <v>-18.023721541885624</v>
      </c>
      <c r="AU154" s="292">
        <f t="shared" si="91"/>
        <v>-140.65263760204249</v>
      </c>
    </row>
    <row r="155" spans="2:47" x14ac:dyDescent="0.25">
      <c r="F155" s="292">
        <v>153</v>
      </c>
      <c r="G155" s="293">
        <f t="shared" si="62"/>
        <v>191.05797248572941</v>
      </c>
      <c r="H155" s="293">
        <f t="shared" si="63"/>
        <v>158.80710847758866</v>
      </c>
      <c r="I155" s="294">
        <f t="shared" si="64"/>
        <v>0</v>
      </c>
      <c r="J155" s="292">
        <f t="shared" si="83"/>
        <v>0</v>
      </c>
      <c r="K155" s="292">
        <f t="shared" si="83"/>
        <v>1</v>
      </c>
      <c r="L155" s="292">
        <f>10^('Small Signal'!F155/30)</f>
        <v>125892.54117941685</v>
      </c>
      <c r="M155" s="292" t="str">
        <f t="shared" si="84"/>
        <v>791006.165022013i</v>
      </c>
      <c r="N155" s="292">
        <f>IF(D$32=1, IF(AND('Small Signal'!$B$63&gt;=1,FCCM=0),U155+0,R155+0), 0)</f>
        <v>0</v>
      </c>
      <c r="O155" s="292">
        <f>IF(D$32=1, IF(AND('Small Signal'!$B$63&gt;=1,FCCM=0),V155,S155), 0)</f>
        <v>0</v>
      </c>
      <c r="P155" s="292">
        <f>IF(AND('Small Signal'!$B$63&gt;=1,FCCM=0),AE155+0,AB155+0)</f>
        <v>-13.48101906714599</v>
      </c>
      <c r="Q155" s="292">
        <f>IF(AND('Small Signal'!$B$63&gt;=1,FCCM=0),AF155,AC155)</f>
        <v>54.979790082094731</v>
      </c>
      <c r="R155" s="292">
        <f t="shared" si="85"/>
        <v>-19.120792684933342</v>
      </c>
      <c r="S155" s="292">
        <f t="shared" si="85"/>
        <v>-142.8233212849766</v>
      </c>
      <c r="T155" s="292" t="str">
        <f>IMDIV(IMSUM('Small Signal'!$B$76,IMPRODUCT(M155,'Small Signal'!$B$77)),IMSUM(IMPRODUCT('Small Signal'!$B$80,IMPOWER(M155,2)),IMSUM(IMPRODUCT(M155,'Small Signal'!$B$79),'Small Signal'!$B$78)))</f>
        <v>-0.0470711730526079-0.0223889780131577i</v>
      </c>
      <c r="U155" s="292">
        <f t="shared" si="65"/>
        <v>-25.65916488578636</v>
      </c>
      <c r="V155" s="292">
        <f t="shared" si="66"/>
        <v>-154.56232552653907</v>
      </c>
      <c r="W155" s="292" t="str">
        <f>IMPRODUCT(IMDIV(IMSUM(IMPRODUCT(M155,'Small Signal'!$B$59*'Small Signal'!$B$6*'Small Signal'!$B$51*'Small Signal'!$B$7*'Small Signal'!$B$8),'Small Signal'!$B$59*'Small Signal'!$B$6*'Small Signal'!$B$51),IMSUM(IMSUM(IMPRODUCT(M155,('Small Signal'!$B$5+'Small Signal'!$B$6)*('Small Signal'!$B$58*'Small Signal'!$B$59)+'Small Signal'!$B$5*'Small Signal'!$B$59*('Small Signal'!$B$8+'Small Signal'!$B$9)+'Small Signal'!$B$6*'Small Signal'!$B$59*('Small Signal'!$B$8+'Small Signal'!$B$9)+'Small Signal'!$B$7*'Small Signal'!$B$8*('Small Signal'!$B$5+'Small Signal'!$B$6)),'Small Signal'!$B$6+'Small Signal'!$B$5),IMPRODUCT(IMPOWER(M155,2),'Small Signal'!$B$58*'Small Signal'!$B$59*'Small Signal'!$B$8*'Small Signal'!$B$7*('Small Signal'!$B$5+'Small Signal'!$B$6)+('Small Signal'!$B$5+'Small Signal'!$B$6)*('Small Signal'!$B$9*'Small Signal'!$B$8*'Small Signal'!$B$59*'Small Signal'!$B$7)))),-1)</f>
        <v>-1.43632402829217+0.208647484712903i</v>
      </c>
      <c r="X155" s="292">
        <f t="shared" si="67"/>
        <v>0</v>
      </c>
      <c r="Y155" s="292">
        <f t="shared" si="68"/>
        <v>0</v>
      </c>
      <c r="Z155" s="292" t="str">
        <f t="shared" si="69"/>
        <v>1.18470106905101+0.579568154868188i</v>
      </c>
      <c r="AA155" s="292" t="str">
        <f t="shared" si="70"/>
        <v>0.121551141522767+0.173462763908356i</v>
      </c>
      <c r="AB155" s="289">
        <f t="shared" si="86"/>
        <v>-13.48101906714599</v>
      </c>
      <c r="AC155" s="292">
        <f t="shared" si="87"/>
        <v>54.979790082094731</v>
      </c>
      <c r="AD155" s="292" t="str">
        <f t="shared" si="71"/>
        <v>0.0722808608430975+0.0223365452292911i</v>
      </c>
      <c r="AE155" s="289">
        <f t="shared" si="72"/>
        <v>-22.423425547392654</v>
      </c>
      <c r="AF155" s="292">
        <f t="shared" si="73"/>
        <v>17.1724219732357</v>
      </c>
      <c r="AH155" s="292" t="str">
        <f t="shared" si="74"/>
        <v>0.00075-0.0119717107001732i</v>
      </c>
      <c r="AI155" s="292">
        <f t="shared" si="75"/>
        <v>0.95</v>
      </c>
      <c r="AJ155" s="292" t="str">
        <f t="shared" si="76"/>
        <v>1000-1264212.64993829i</v>
      </c>
      <c r="AK155" s="292" t="str">
        <f t="shared" si="77"/>
        <v>0.000899892848885527-0.0119509353681818i</v>
      </c>
      <c r="AL155" s="292" t="str">
        <f t="shared" si="78"/>
        <v>1.18485444682556-0.0620656790346105i</v>
      </c>
      <c r="AM155" s="292" t="str">
        <f t="shared" si="79"/>
        <v>0.019+1.74021356304843i</v>
      </c>
      <c r="AN155" s="292" t="str">
        <f t="shared" si="80"/>
        <v>-0.0881650745879507-0.0668643897752967i</v>
      </c>
      <c r="AO155" s="292">
        <f t="shared" si="88"/>
        <v>-19.120792684933342</v>
      </c>
      <c r="AP155" s="292">
        <f t="shared" si="89"/>
        <v>-142.8233212849766</v>
      </c>
      <c r="AR155" s="292" t="str">
        <f t="shared" si="81"/>
        <v>1.18485444682556-0.0620656790346105i</v>
      </c>
      <c r="AS155" s="292" t="str">
        <f t="shared" si="82"/>
        <v>-0.0881650745879507-0.0668643897752967i</v>
      </c>
      <c r="AT155" s="292">
        <f t="shared" si="90"/>
        <v>-19.120792684933342</v>
      </c>
      <c r="AU155" s="292">
        <f t="shared" si="91"/>
        <v>-142.8233212849766</v>
      </c>
    </row>
    <row r="156" spans="2:47" x14ac:dyDescent="0.25">
      <c r="F156" s="292">
        <v>154</v>
      </c>
      <c r="G156" s="293">
        <f t="shared" si="62"/>
        <v>191.47499825669166</v>
      </c>
      <c r="H156" s="293">
        <f t="shared" si="63"/>
        <v>157.63806493511288</v>
      </c>
      <c r="I156" s="294">
        <f t="shared" si="64"/>
        <v>0</v>
      </c>
      <c r="J156" s="292">
        <f t="shared" si="83"/>
        <v>0</v>
      </c>
      <c r="K156" s="292">
        <f t="shared" si="83"/>
        <v>1</v>
      </c>
      <c r="L156" s="292">
        <f>10^('Small Signal'!F156/30)</f>
        <v>135935.63908785273</v>
      </c>
      <c r="M156" s="292" t="str">
        <f t="shared" si="84"/>
        <v>854108.810238863i</v>
      </c>
      <c r="N156" s="292">
        <f>IF(D$32=1, IF(AND('Small Signal'!$B$63&gt;=1,FCCM=0),U156+0,R156+0), 0)</f>
        <v>0</v>
      </c>
      <c r="O156" s="292">
        <f>IF(D$32=1, IF(AND('Small Signal'!$B$63&gt;=1,FCCM=0),V156,S156), 0)</f>
        <v>0</v>
      </c>
      <c r="P156" s="292">
        <f>IF(AND('Small Signal'!$B$63&gt;=1,FCCM=0),AE156+0,AB156+0)</f>
        <v>-14.345073844337456</v>
      </c>
      <c r="Q156" s="292">
        <f>IF(AND('Small Signal'!$B$63&gt;=1,FCCM=0),AF156,AC156)</f>
        <v>53.374616378868538</v>
      </c>
      <c r="R156" s="292">
        <f t="shared" si="85"/>
        <v>-20.240621248412005</v>
      </c>
      <c r="S156" s="292">
        <f t="shared" si="85"/>
        <v>-144.93130966542699</v>
      </c>
      <c r="T156" s="292" t="str">
        <f>IMDIV(IMSUM('Small Signal'!$B$76,IMPRODUCT(M156,'Small Signal'!$B$77)),IMSUM(IMPRODUCT('Small Signal'!$B$80,IMPOWER(M156,2)),IMSUM(IMPRODUCT(M156,'Small Signal'!$B$79),'Small Signal'!$B$78)))</f>
        <v>-0.0411399707507532-0.0185043945688258i</v>
      </c>
      <c r="U156" s="292">
        <f t="shared" si="65"/>
        <v>-26.914548341710741</v>
      </c>
      <c r="V156" s="292">
        <f t="shared" si="66"/>
        <v>-155.78220679679708</v>
      </c>
      <c r="W156" s="292" t="str">
        <f>IMPRODUCT(IMDIV(IMSUM(IMPRODUCT(M156,'Small Signal'!$B$59*'Small Signal'!$B$6*'Small Signal'!$B$51*'Small Signal'!$B$7*'Small Signal'!$B$8),'Small Signal'!$B$59*'Small Signal'!$B$6*'Small Signal'!$B$51),IMSUM(IMSUM(IMPRODUCT(M156,('Small Signal'!$B$5+'Small Signal'!$B$6)*('Small Signal'!$B$58*'Small Signal'!$B$59)+'Small Signal'!$B$5*'Small Signal'!$B$59*('Small Signal'!$B$8+'Small Signal'!$B$9)+'Small Signal'!$B$6*'Small Signal'!$B$59*('Small Signal'!$B$8+'Small Signal'!$B$9)+'Small Signal'!$B$7*'Small Signal'!$B$8*('Small Signal'!$B$5+'Small Signal'!$B$6)),'Small Signal'!$B$6+'Small Signal'!$B$5),IMPRODUCT(IMPOWER(M156,2),'Small Signal'!$B$58*'Small Signal'!$B$59*'Small Signal'!$B$8*'Small Signal'!$B$7*('Small Signal'!$B$5+'Small Signal'!$B$6)+('Small Signal'!$B$5+'Small Signal'!$B$6)*('Small Signal'!$B$9*'Small Signal'!$B$8*'Small Signal'!$B$59*'Small Signal'!$B$7)))),-1)</f>
        <v>-1.43327737515803+0.217996482670861i</v>
      </c>
      <c r="X156" s="292">
        <f t="shared" si="67"/>
        <v>0</v>
      </c>
      <c r="Y156" s="292">
        <f t="shared" si="68"/>
        <v>0</v>
      </c>
      <c r="Z156" s="292" t="str">
        <f t="shared" si="69"/>
        <v>1.21210113427349+0.61637464177523i</v>
      </c>
      <c r="AA156" s="292" t="str">
        <f t="shared" si="70"/>
        <v>0.114397188744797+0.153893460973455i</v>
      </c>
      <c r="AB156" s="289">
        <f t="shared" si="86"/>
        <v>-14.345073844337456</v>
      </c>
      <c r="AC156" s="292">
        <f t="shared" si="87"/>
        <v>53.374616378868538</v>
      </c>
      <c r="AD156" s="292" t="str">
        <f t="shared" si="71"/>
        <v>0.0629988822216755+0.0175535611556489i</v>
      </c>
      <c r="AE156" s="289">
        <f t="shared" si="72"/>
        <v>-23.688621032549047</v>
      </c>
      <c r="AF156" s="292">
        <f t="shared" si="73"/>
        <v>15.569586110678655</v>
      </c>
      <c r="AH156" s="292" t="str">
        <f t="shared" si="74"/>
        <v>0.00075-0.0110872254871702i</v>
      </c>
      <c r="AI156" s="292">
        <f t="shared" si="75"/>
        <v>0.95</v>
      </c>
      <c r="AJ156" s="292" t="str">
        <f t="shared" si="76"/>
        <v>1000-1170811.01144518i</v>
      </c>
      <c r="AK156" s="292" t="str">
        <f t="shared" si="77"/>
        <v>0.000878481198984848-0.0110682347563737i</v>
      </c>
      <c r="AL156" s="292" t="str">
        <f t="shared" si="78"/>
        <v>1.18431675314567-0.0669865659688959i</v>
      </c>
      <c r="AM156" s="292" t="str">
        <f t="shared" si="79"/>
        <v>0.019+1.8790393825255i</v>
      </c>
      <c r="AN156" s="292" t="str">
        <f t="shared" si="80"/>
        <v>-0.0796101457382483-0.0558859806676976i</v>
      </c>
      <c r="AO156" s="292">
        <f t="shared" si="88"/>
        <v>-20.240621248412005</v>
      </c>
      <c r="AP156" s="292">
        <f t="shared" si="89"/>
        <v>-144.93130966542699</v>
      </c>
      <c r="AR156" s="292" t="str">
        <f t="shared" si="81"/>
        <v>1.18431675314567-0.0669865659688959i</v>
      </c>
      <c r="AS156" s="292" t="str">
        <f t="shared" si="82"/>
        <v>-0.0796101457382483-0.0558859806676976i</v>
      </c>
      <c r="AT156" s="292">
        <f t="shared" si="90"/>
        <v>-20.240621248412005</v>
      </c>
      <c r="AU156" s="292">
        <f t="shared" si="91"/>
        <v>-144.93130966542699</v>
      </c>
    </row>
    <row r="157" spans="2:47" x14ac:dyDescent="0.25">
      <c r="F157" s="292">
        <v>155</v>
      </c>
      <c r="G157" s="293">
        <f t="shared" si="62"/>
        <v>191.78763704561257</v>
      </c>
      <c r="H157" s="293">
        <f t="shared" si="63"/>
        <v>156.39160677703984</v>
      </c>
      <c r="I157" s="294">
        <f t="shared" si="64"/>
        <v>0</v>
      </c>
      <c r="J157" s="292">
        <f t="shared" si="83"/>
        <v>0</v>
      </c>
      <c r="K157" s="292">
        <f t="shared" si="83"/>
        <v>1</v>
      </c>
      <c r="L157" s="292">
        <f>10^('Small Signal'!F157/30)</f>
        <v>146779.92676220718</v>
      </c>
      <c r="M157" s="292" t="str">
        <f t="shared" si="84"/>
        <v>922245.479221196i</v>
      </c>
      <c r="N157" s="292">
        <f>IF(D$32=1, IF(AND('Small Signal'!$B$63&gt;=1,FCCM=0),U157+0,R157+0), 0)</f>
        <v>0</v>
      </c>
      <c r="O157" s="292">
        <f>IF(D$32=1, IF(AND('Small Signal'!$B$63&gt;=1,FCCM=0),V157,S157), 0)</f>
        <v>0</v>
      </c>
      <c r="P157" s="292">
        <f>IF(AND('Small Signal'!$B$63&gt;=1,FCCM=0),AE157+0,AB157+0)</f>
        <v>-15.216216441938723</v>
      </c>
      <c r="Q157" s="292">
        <f>IF(AND('Small Signal'!$B$63&gt;=1,FCCM=0),AF157,AC157)</f>
        <v>51.70399256144524</v>
      </c>
      <c r="R157" s="292">
        <f t="shared" si="85"/>
        <v>-21.381952555453154</v>
      </c>
      <c r="S157" s="292">
        <f t="shared" si="85"/>
        <v>-146.96808898009206</v>
      </c>
      <c r="T157" s="292" t="str">
        <f>IMDIV(IMSUM('Small Signal'!$B$76,IMPRODUCT(M157,'Small Signal'!$B$77)),IMSUM(IMPRODUCT('Small Signal'!$B$80,IMPOWER(M157,2)),IMSUM(IMPRODUCT(M157,'Small Signal'!$B$79),'Small Signal'!$B$78)))</f>
        <v>-0.0358684448792037-0.0153071947090527i</v>
      </c>
      <c r="U157" s="292">
        <f t="shared" si="65"/>
        <v>-28.179120336283599</v>
      </c>
      <c r="V157" s="292">
        <f t="shared" si="66"/>
        <v>-156.88918010942405</v>
      </c>
      <c r="W157" s="292" t="str">
        <f>IMPRODUCT(IMDIV(IMSUM(IMPRODUCT(M157,'Small Signal'!$B$59*'Small Signal'!$B$6*'Small Signal'!$B$51*'Small Signal'!$B$7*'Small Signal'!$B$8),'Small Signal'!$B$59*'Small Signal'!$B$6*'Small Signal'!$B$51),IMSUM(IMSUM(IMPRODUCT(M157,('Small Signal'!$B$5+'Small Signal'!$B$6)*('Small Signal'!$B$58*'Small Signal'!$B$59)+'Small Signal'!$B$5*'Small Signal'!$B$59*('Small Signal'!$B$8+'Small Signal'!$B$9)+'Small Signal'!$B$6*'Small Signal'!$B$59*('Small Signal'!$B$8+'Small Signal'!$B$9)+'Small Signal'!$B$7*'Small Signal'!$B$8*('Small Signal'!$B$5+'Small Signal'!$B$6)),'Small Signal'!$B$6+'Small Signal'!$B$5),IMPRODUCT(IMPOWER(M157,2),'Small Signal'!$B$58*'Small Signal'!$B$59*'Small Signal'!$B$8*'Small Signal'!$B$7*('Small Signal'!$B$5+'Small Signal'!$B$6)+('Small Signal'!$B$5+'Small Signal'!$B$6)*('Small Signal'!$B$9*'Small Signal'!$B$8*'Small Signal'!$B$59*'Small Signal'!$B$7)))),-1)</f>
        <v>-1.42974177665165+0.22850781737292i</v>
      </c>
      <c r="X157" s="292">
        <f t="shared" si="67"/>
        <v>0</v>
      </c>
      <c r="Y157" s="292">
        <f t="shared" si="68"/>
        <v>0</v>
      </c>
      <c r="Z157" s="292" t="str">
        <f t="shared" si="69"/>
        <v>1.24302277227178+0.654056716093767i</v>
      </c>
      <c r="AA157" s="292" t="str">
        <f t="shared" si="70"/>
        <v>0.107494868967884+0.136131614302792i</v>
      </c>
      <c r="AB157" s="289">
        <f t="shared" si="86"/>
        <v>-15.216216441938723</v>
      </c>
      <c r="AC157" s="292">
        <f t="shared" si="87"/>
        <v>51.70399256144524</v>
      </c>
      <c r="AD157" s="292" t="str">
        <f t="shared" si="71"/>
        <v>0.0547804277603924+0.013689115706966i</v>
      </c>
      <c r="AE157" s="289">
        <f t="shared" si="72"/>
        <v>-24.964425705955527</v>
      </c>
      <c r="AF157" s="292">
        <f t="shared" si="73"/>
        <v>14.030345591506727</v>
      </c>
      <c r="AH157" s="292" t="str">
        <f t="shared" si="74"/>
        <v>0.00075-0.0102680871666552i</v>
      </c>
      <c r="AI157" s="292">
        <f t="shared" si="75"/>
        <v>0.95</v>
      </c>
      <c r="AJ157" s="292" t="str">
        <f t="shared" si="76"/>
        <v>1000-1084310.00479879i</v>
      </c>
      <c r="AK157" s="292" t="str">
        <f t="shared" si="77"/>
        <v>0.000860115745012874-0.0102506978419287i</v>
      </c>
      <c r="AL157" s="292" t="str">
        <f t="shared" si="78"/>
        <v>1.18369046420241-0.0722921804528489i</v>
      </c>
      <c r="AM157" s="292" t="str">
        <f t="shared" si="79"/>
        <v>0.019+2.02894005428663i</v>
      </c>
      <c r="AN157" s="292" t="str">
        <f t="shared" si="80"/>
        <v>-0.0715050309802289-0.0464925508209858i</v>
      </c>
      <c r="AO157" s="292">
        <f t="shared" si="88"/>
        <v>-21.381952555453154</v>
      </c>
      <c r="AP157" s="292">
        <f t="shared" si="89"/>
        <v>-146.96808898009206</v>
      </c>
      <c r="AR157" s="292" t="str">
        <f t="shared" si="81"/>
        <v>1.18369046420241-0.0722921804528489i</v>
      </c>
      <c r="AS157" s="292" t="str">
        <f t="shared" si="82"/>
        <v>-0.0715050309802289-0.0464925508209858i</v>
      </c>
      <c r="AT157" s="292">
        <f t="shared" si="90"/>
        <v>-21.381952555453154</v>
      </c>
      <c r="AU157" s="292">
        <f t="shared" si="91"/>
        <v>-146.96808898009206</v>
      </c>
    </row>
    <row r="158" spans="2:47" x14ac:dyDescent="0.25">
      <c r="F158" s="292">
        <v>156</v>
      </c>
      <c r="G158" s="293">
        <f t="shared" si="62"/>
        <v>191.97742003818189</v>
      </c>
      <c r="H158" s="293">
        <f t="shared" si="63"/>
        <v>155.06512575779018</v>
      </c>
      <c r="I158" s="294">
        <f t="shared" si="64"/>
        <v>0</v>
      </c>
      <c r="J158" s="292">
        <f t="shared" si="83"/>
        <v>0</v>
      </c>
      <c r="K158" s="292">
        <f t="shared" si="83"/>
        <v>1</v>
      </c>
      <c r="L158" s="292">
        <f>10^('Small Signal'!F158/30)</f>
        <v>158489.31924611164</v>
      </c>
      <c r="M158" s="292" t="str">
        <f t="shared" si="84"/>
        <v>995817.762032063i</v>
      </c>
      <c r="N158" s="292">
        <f>IF(D$32=1, IF(AND('Small Signal'!$B$63&gt;=1,FCCM=0),U158+0,R158+0), 0)</f>
        <v>0</v>
      </c>
      <c r="O158" s="292">
        <f>IF(D$32=1, IF(AND('Small Signal'!$B$63&gt;=1,FCCM=0),V158,S158), 0)</f>
        <v>0</v>
      </c>
      <c r="P158" s="292">
        <f>IF(AND('Small Signal'!$B$63&gt;=1,FCCM=0),AE158+0,AB158+0)</f>
        <v>-16.094805528012312</v>
      </c>
      <c r="Q158" s="292">
        <f>IF(AND('Small Signal'!$B$63&gt;=1,FCCM=0),AF158,AC158)</f>
        <v>49.95856131261931</v>
      </c>
      <c r="R158" s="292">
        <f t="shared" si="85"/>
        <v>-22.543395546328888</v>
      </c>
      <c r="S158" s="292">
        <f t="shared" si="85"/>
        <v>-148.92654602409226</v>
      </c>
      <c r="T158" s="292" t="str">
        <f>IMDIV(IMSUM('Small Signal'!$B$76,IMPRODUCT(M158,'Small Signal'!$B$77)),IMSUM(IMPRODUCT('Small Signal'!$B$80,IMPOWER(M158,2)),IMSUM(IMPRODUCT(M158,'Small Signal'!$B$79),'Small Signal'!$B$78)))</f>
        <v>-0.0312051825101588-0.012681005916589i</v>
      </c>
      <c r="U158" s="292">
        <f t="shared" si="65"/>
        <v>-29.451681963388737</v>
      </c>
      <c r="V158" s="292">
        <f t="shared" si="66"/>
        <v>-157.88440471302812</v>
      </c>
      <c r="W158" s="292" t="str">
        <f>IMPRODUCT(IMDIV(IMSUM(IMPRODUCT(M158,'Small Signal'!$B$59*'Small Signal'!$B$6*'Small Signal'!$B$51*'Small Signal'!$B$7*'Small Signal'!$B$8),'Small Signal'!$B$59*'Small Signal'!$B$6*'Small Signal'!$B$51),IMSUM(IMSUM(IMPRODUCT(M158,('Small Signal'!$B$5+'Small Signal'!$B$6)*('Small Signal'!$B$58*'Small Signal'!$B$59)+'Small Signal'!$B$5*'Small Signal'!$B$59*('Small Signal'!$B$8+'Small Signal'!$B$9)+'Small Signal'!$B$6*'Small Signal'!$B$59*('Small Signal'!$B$8+'Small Signal'!$B$9)+'Small Signal'!$B$7*'Small Signal'!$B$8*('Small Signal'!$B$5+'Small Signal'!$B$6)),'Small Signal'!$B$6+'Small Signal'!$B$5),IMPRODUCT(IMPOWER(M158,2),'Small Signal'!$B$58*'Small Signal'!$B$59*'Small Signal'!$B$8*'Small Signal'!$B$7*('Small Signal'!$B$5+'Small Signal'!$B$6)+('Small Signal'!$B$5+'Small Signal'!$B$6)*('Small Signal'!$B$9*'Small Signal'!$B$8*'Small Signal'!$B$59*'Small Signal'!$B$7)))),-1)</f>
        <v>-1.42564175370519+0.240212867189195i</v>
      </c>
      <c r="X158" s="292">
        <f t="shared" si="67"/>
        <v>0</v>
      </c>
      <c r="Y158" s="292">
        <f t="shared" si="68"/>
        <v>0</v>
      </c>
      <c r="Z158" s="292" t="str">
        <f t="shared" si="69"/>
        <v>1.27775336205202+0.692300156790545i</v>
      </c>
      <c r="AA158" s="292" t="str">
        <f t="shared" si="70"/>
        <v>0.100855892094559+0.120018981093617i</v>
      </c>
      <c r="AB158" s="289">
        <f t="shared" si="86"/>
        <v>-16.094805528012312</v>
      </c>
      <c r="AC158" s="292">
        <f t="shared" si="87"/>
        <v>49.95856131261931</v>
      </c>
      <c r="AD158" s="292" t="str">
        <f t="shared" si="71"/>
        <v>0.0475335519085403+0.0105826851517445i</v>
      </c>
      <c r="AE158" s="289">
        <f t="shared" si="72"/>
        <v>-26.249893639911512</v>
      </c>
      <c r="AF158" s="292">
        <f t="shared" si="73"/>
        <v>12.551403865648609</v>
      </c>
      <c r="AH158" s="292" t="str">
        <f t="shared" si="74"/>
        <v>0.00075-0.00950946782709832i</v>
      </c>
      <c r="AI158" s="292">
        <f t="shared" si="75"/>
        <v>0.95</v>
      </c>
      <c r="AJ158" s="292" t="str">
        <f t="shared" si="76"/>
        <v>1000-1004199.80254158i</v>
      </c>
      <c r="AK158" s="292" t="str">
        <f t="shared" si="77"/>
        <v>0.000844363204230376-0.00949352080588754i</v>
      </c>
      <c r="AL158" s="292" t="str">
        <f t="shared" si="78"/>
        <v>1.18296110074173-0.0780112024966718i</v>
      </c>
      <c r="AM158" s="292" t="str">
        <f t="shared" si="79"/>
        <v>0.019+2.19079907647054i</v>
      </c>
      <c r="AN158" s="292" t="str">
        <f t="shared" si="80"/>
        <v>-0.0639088186628591-0.0385118905416814i</v>
      </c>
      <c r="AO158" s="292">
        <f t="shared" si="88"/>
        <v>-22.543395546328888</v>
      </c>
      <c r="AP158" s="292">
        <f t="shared" si="89"/>
        <v>-148.92654602409226</v>
      </c>
      <c r="AR158" s="292" t="str">
        <f t="shared" si="81"/>
        <v>1.18296110074173-0.0780112024966718i</v>
      </c>
      <c r="AS158" s="292" t="str">
        <f t="shared" si="82"/>
        <v>-0.0639088186628591-0.0385118905416814i</v>
      </c>
      <c r="AT158" s="292">
        <f t="shared" si="90"/>
        <v>-22.543395546328888</v>
      </c>
      <c r="AU158" s="292">
        <f t="shared" si="91"/>
        <v>-148.92654602409226</v>
      </c>
    </row>
    <row r="159" spans="2:47" x14ac:dyDescent="0.25">
      <c r="F159" s="292">
        <v>157</v>
      </c>
      <c r="G159" s="293">
        <f t="shared" si="62"/>
        <v>192.02609168177679</v>
      </c>
      <c r="H159" s="293">
        <f t="shared" si="63"/>
        <v>153.65651262432974</v>
      </c>
      <c r="I159" s="294">
        <f t="shared" si="64"/>
        <v>0</v>
      </c>
      <c r="J159" s="292">
        <f t="shared" si="83"/>
        <v>0</v>
      </c>
      <c r="K159" s="292">
        <f t="shared" si="83"/>
        <v>1</v>
      </c>
      <c r="L159" s="292">
        <f>10^('Small Signal'!F159/30)</f>
        <v>171132.83041617845</v>
      </c>
      <c r="M159" s="292" t="str">
        <f t="shared" si="84"/>
        <v>1075259.28564699i</v>
      </c>
      <c r="N159" s="292">
        <f>IF(D$32=1, IF(AND('Small Signal'!$B$63&gt;=1,FCCM=0),U159+0,R159+0), 0)</f>
        <v>0</v>
      </c>
      <c r="O159" s="292">
        <f>IF(D$32=1, IF(AND('Small Signal'!$B$63&gt;=1,FCCM=0),V159,S159), 0)</f>
        <v>0</v>
      </c>
      <c r="P159" s="292">
        <f>IF(AND('Small Signal'!$B$63&gt;=1,FCCM=0),AE159+0,AB159+0)</f>
        <v>-16.981521311433308</v>
      </c>
      <c r="Q159" s="292">
        <f>IF(AND('Small Signal'!$B$63&gt;=1,FCCM=0),AF159,AC159)</f>
        <v>48.128606952539862</v>
      </c>
      <c r="R159" s="292">
        <f t="shared" si="85"/>
        <v>-23.723468580929978</v>
      </c>
      <c r="S159" s="292">
        <f t="shared" si="85"/>
        <v>-150.80102015429543</v>
      </c>
      <c r="T159" s="292" t="str">
        <f>IMDIV(IMSUM('Small Signal'!$B$76,IMPRODUCT(M159,'Small Signal'!$B$77)),IMSUM(IMPRODUCT('Small Signal'!$B$80,IMPOWER(M159,2)),IMSUM(IMPRODUCT(M159,'Small Signal'!$B$79),'Small Signal'!$B$78)))</f>
        <v>-0.0270969473526169-0.0105269030251373i</v>
      </c>
      <c r="U159" s="292">
        <f t="shared" si="65"/>
        <v>-30.73112329716778</v>
      </c>
      <c r="V159" s="292">
        <f t="shared" si="66"/>
        <v>-158.76933118716141</v>
      </c>
      <c r="W159" s="292" t="str">
        <f>IMPRODUCT(IMDIV(IMSUM(IMPRODUCT(M159,'Small Signal'!$B$59*'Small Signal'!$B$6*'Small Signal'!$B$51*'Small Signal'!$B$7*'Small Signal'!$B$8),'Small Signal'!$B$59*'Small Signal'!$B$6*'Small Signal'!$B$51),IMSUM(IMSUM(IMPRODUCT(M159,('Small Signal'!$B$5+'Small Signal'!$B$6)*('Small Signal'!$B$58*'Small Signal'!$B$59)+'Small Signal'!$B$5*'Small Signal'!$B$59*('Small Signal'!$B$8+'Small Signal'!$B$9)+'Small Signal'!$B$6*'Small Signal'!$B$59*('Small Signal'!$B$8+'Small Signal'!$B$9)+'Small Signal'!$B$7*'Small Signal'!$B$8*('Small Signal'!$B$5+'Small Signal'!$B$6)),'Small Signal'!$B$6+'Small Signal'!$B$5),IMPRODUCT(IMPOWER(M159,2),'Small Signal'!$B$58*'Small Signal'!$B$59*'Small Signal'!$B$8*'Small Signal'!$B$7*('Small Signal'!$B$5+'Small Signal'!$B$6)+('Small Signal'!$B$5+'Small Signal'!$B$6)*('Small Signal'!$B$9*'Small Signal'!$B$8*'Small Signal'!$B$59*'Small Signal'!$B$7)))),-1)</f>
        <v>-1.42089125817497+0.253142648051631i</v>
      </c>
      <c r="X159" s="292">
        <f t="shared" si="67"/>
        <v>0</v>
      </c>
      <c r="Y159" s="292">
        <f t="shared" si="68"/>
        <v>0</v>
      </c>
      <c r="Z159" s="292" t="str">
        <f t="shared" si="69"/>
        <v>1.31655475964793+0.730719370215734i</v>
      </c>
      <c r="AA159" s="292" t="str">
        <f t="shared" si="70"/>
        <v>0.0944821419796502+0.105407897175278i</v>
      </c>
      <c r="AB159" s="289">
        <f t="shared" si="86"/>
        <v>-16.981521311433308</v>
      </c>
      <c r="AC159" s="292">
        <f t="shared" si="87"/>
        <v>48.128606952539862</v>
      </c>
      <c r="AD159" s="292" t="str">
        <f t="shared" si="71"/>
        <v>0.0411666237241267+0.00809819147711616i</v>
      </c>
      <c r="AE159" s="289">
        <f t="shared" si="72"/>
        <v>-27.544203143567579</v>
      </c>
      <c r="AF159" s="292">
        <f t="shared" si="73"/>
        <v>11.128973918585837</v>
      </c>
      <c r="AH159" s="292" t="str">
        <f t="shared" si="74"/>
        <v>0.00075-0.00880689624921398i</v>
      </c>
      <c r="AI159" s="292">
        <f t="shared" si="75"/>
        <v>0.95</v>
      </c>
      <c r="AJ159" s="292" t="str">
        <f t="shared" si="76"/>
        <v>1000-930008.243916995i</v>
      </c>
      <c r="AK159" s="292" t="str">
        <f t="shared" si="77"/>
        <v>0.000830851898041549-0.00879225257093152i</v>
      </c>
      <c r="AL159" s="292" t="str">
        <f t="shared" si="78"/>
        <v>1.18211185946506-0.0841740873121013i</v>
      </c>
      <c r="AM159" s="292" t="str">
        <f t="shared" si="79"/>
        <v>0.019+2.36557042842338i</v>
      </c>
      <c r="AN159" s="292" t="str">
        <f t="shared" si="80"/>
        <v>-0.0568599364496218-0.0317766157745091i</v>
      </c>
      <c r="AO159" s="292">
        <f t="shared" si="88"/>
        <v>-23.723468580929978</v>
      </c>
      <c r="AP159" s="292">
        <f t="shared" si="89"/>
        <v>-150.80102015429543</v>
      </c>
      <c r="AR159" s="292" t="str">
        <f t="shared" si="81"/>
        <v>1.18211185946506-0.0841740873121013i</v>
      </c>
      <c r="AS159" s="292" t="str">
        <f t="shared" si="82"/>
        <v>-0.0568599364496218-0.0317766157745091i</v>
      </c>
      <c r="AT159" s="292">
        <f t="shared" si="90"/>
        <v>-23.723468580929978</v>
      </c>
      <c r="AU159" s="292">
        <f t="shared" si="91"/>
        <v>-150.80102015429543</v>
      </c>
    </row>
    <row r="160" spans="2:47" x14ac:dyDescent="0.25">
      <c r="F160" s="292">
        <v>158</v>
      </c>
      <c r="G160" s="293">
        <f t="shared" si="62"/>
        <v>191.91614438124753</v>
      </c>
      <c r="H160" s="293">
        <f t="shared" si="63"/>
        <v>152.16429915639304</v>
      </c>
      <c r="I160" s="294">
        <f t="shared" si="64"/>
        <v>0</v>
      </c>
      <c r="J160" s="292">
        <f t="shared" si="83"/>
        <v>0</v>
      </c>
      <c r="K160" s="292">
        <f t="shared" si="83"/>
        <v>1</v>
      </c>
      <c r="L160" s="292">
        <f>10^('Small Signal'!F160/30)</f>
        <v>184784.97974222922</v>
      </c>
      <c r="M160" s="292" t="str">
        <f t="shared" si="84"/>
        <v>1161038.26970385i</v>
      </c>
      <c r="N160" s="292">
        <f>IF(D$32=1, IF(AND('Small Signal'!$B$63&gt;=1,FCCM=0),U160+0,R160+0), 0)</f>
        <v>0</v>
      </c>
      <c r="O160" s="292">
        <f>IF(D$32=1, IF(AND('Small Signal'!$B$63&gt;=1,FCCM=0),V160,S160), 0)</f>
        <v>0</v>
      </c>
      <c r="P160" s="292">
        <f>IF(AND('Small Signal'!$B$63&gt;=1,FCCM=0),AE160+0,AB160+0)</f>
        <v>-17.877377684514279</v>
      </c>
      <c r="Q160" s="292">
        <f>IF(AND('Small Signal'!$B$63&gt;=1,FCCM=0),AF160,AC160)</f>
        <v>46.204568845836</v>
      </c>
      <c r="R160" s="292">
        <f t="shared" si="85"/>
        <v>-24.920642650728688</v>
      </c>
      <c r="S160" s="292">
        <f t="shared" si="85"/>
        <v>-152.5872883817496</v>
      </c>
      <c r="T160" s="292" t="str">
        <f>IMDIV(IMSUM('Small Signal'!$B$76,IMPRODUCT(M160,'Small Signal'!$B$77)),IMSUM(IMPRODUCT('Small Signal'!$B$80,IMPOWER(M160,2)),IMSUM(IMPRODUCT(M160,'Small Signal'!$B$79),'Small Signal'!$B$78)))</f>
        <v>-0.0234906828110454-0.00876151520786366i</v>
      </c>
      <c r="U160" s="292">
        <f t="shared" si="65"/>
        <v>-32.01641978643417</v>
      </c>
      <c r="V160" s="292">
        <f t="shared" si="66"/>
        <v>-159.54557551151299</v>
      </c>
      <c r="W160" s="292" t="str">
        <f>IMPRODUCT(IMDIV(IMSUM(IMPRODUCT(M160,'Small Signal'!$B$59*'Small Signal'!$B$6*'Small Signal'!$B$51*'Small Signal'!$B$7*'Small Signal'!$B$8),'Small Signal'!$B$59*'Small Signal'!$B$6*'Small Signal'!$B$51),IMSUM(IMSUM(IMPRODUCT(M160,('Small Signal'!$B$5+'Small Signal'!$B$6)*('Small Signal'!$B$58*'Small Signal'!$B$59)+'Small Signal'!$B$5*'Small Signal'!$B$59*('Small Signal'!$B$8+'Small Signal'!$B$9)+'Small Signal'!$B$6*'Small Signal'!$B$59*('Small Signal'!$B$8+'Small Signal'!$B$9)+'Small Signal'!$B$7*'Small Signal'!$B$8*('Small Signal'!$B$5+'Small Signal'!$B$6)),'Small Signal'!$B$6+'Small Signal'!$B$5),IMPRODUCT(IMPOWER(M160,2),'Small Signal'!$B$58*'Small Signal'!$B$59*'Small Signal'!$B$8*'Small Signal'!$B$7*('Small Signal'!$B$5+'Small Signal'!$B$6)+('Small Signal'!$B$5+'Small Signal'!$B$6)*('Small Signal'!$B$9*'Small Signal'!$B$8*'Small Signal'!$B$59*'Small Signal'!$B$7)))),-1)</f>
        <v>-1.41539256640816+0.26732631080626i</v>
      </c>
      <c r="X160" s="292">
        <f t="shared" si="67"/>
        <v>0</v>
      </c>
      <c r="Y160" s="292">
        <f t="shared" si="68"/>
        <v>0</v>
      </c>
      <c r="Z160" s="292" t="str">
        <f t="shared" si="69"/>
        <v>1.35964685864545+0.768855472761466i</v>
      </c>
      <c r="AA160" s="292" t="str">
        <f t="shared" si="70"/>
        <v>0.0883671686026466+0.0921631416024334i</v>
      </c>
      <c r="AB160" s="289">
        <f t="shared" si="86"/>
        <v>-17.877377684514279</v>
      </c>
      <c r="AC160" s="292">
        <f t="shared" si="87"/>
        <v>46.204568845836</v>
      </c>
      <c r="AD160" s="292" t="str">
        <f t="shared" si="71"/>
        <v>0.0355907213681967+0.00612130592148547i</v>
      </c>
      <c r="AE160" s="289">
        <f t="shared" si="72"/>
        <v>-28.846658495297056</v>
      </c>
      <c r="AF160" s="292">
        <f t="shared" si="73"/>
        <v>9.7589150753890941</v>
      </c>
      <c r="AH160" s="292" t="str">
        <f t="shared" si="74"/>
        <v>0.00075-0.0081562315530843i</v>
      </c>
      <c r="AI160" s="292">
        <f t="shared" si="75"/>
        <v>0.95</v>
      </c>
      <c r="AJ160" s="292" t="str">
        <f t="shared" si="76"/>
        <v>1000-861298.052005705i</v>
      </c>
      <c r="AK160" s="292" t="str">
        <f t="shared" si="77"/>
        <v>0.000819262999681082-0.00814276918654658i</v>
      </c>
      <c r="AL160" s="292" t="str">
        <f t="shared" si="78"/>
        <v>1.18112325511381-0.0908130779230842i</v>
      </c>
      <c r="AM160" s="292" t="str">
        <f t="shared" si="79"/>
        <v>0.019+2.55428419334847i</v>
      </c>
      <c r="AN160" s="292" t="str">
        <f t="shared" si="80"/>
        <v>-0.050377959890477-0.026127635629606i</v>
      </c>
      <c r="AO160" s="292">
        <f t="shared" si="88"/>
        <v>-24.920642650728688</v>
      </c>
      <c r="AP160" s="292">
        <f t="shared" si="89"/>
        <v>-152.5872883817496</v>
      </c>
      <c r="AR160" s="292" t="str">
        <f t="shared" si="81"/>
        <v>1.18112325511381-0.0908130779230842i</v>
      </c>
      <c r="AS160" s="292" t="str">
        <f t="shared" si="82"/>
        <v>-0.050377959890477-0.026127635629606i</v>
      </c>
      <c r="AT160" s="292">
        <f t="shared" si="90"/>
        <v>-24.920642650728688</v>
      </c>
      <c r="AU160" s="292">
        <f t="shared" si="91"/>
        <v>-152.5872883817496</v>
      </c>
    </row>
    <row r="161" spans="6:47" x14ac:dyDescent="0.25">
      <c r="F161" s="292">
        <v>159</v>
      </c>
      <c r="G161" s="293">
        <f t="shared" si="62"/>
        <v>191.63135637873094</v>
      </c>
      <c r="H161" s="293">
        <f t="shared" si="63"/>
        <v>150.58781182623198</v>
      </c>
      <c r="I161" s="294">
        <f t="shared" si="64"/>
        <v>0</v>
      </c>
      <c r="J161" s="292">
        <f t="shared" si="83"/>
        <v>0</v>
      </c>
      <c r="K161" s="292">
        <f t="shared" si="83"/>
        <v>1</v>
      </c>
      <c r="L161" s="292">
        <f>10^('Small Signal'!F161/30)</f>
        <v>199526.23149688813</v>
      </c>
      <c r="M161" s="292" t="str">
        <f t="shared" si="84"/>
        <v>1253660.28613816i</v>
      </c>
      <c r="N161" s="292">
        <f>IF(D$32=1, IF(AND('Small Signal'!$B$63&gt;=1,FCCM=0),U161+0,R161+0), 0)</f>
        <v>0</v>
      </c>
      <c r="O161" s="292">
        <f>IF(D$32=1, IF(AND('Small Signal'!$B$63&gt;=1,FCCM=0),V161,S161), 0)</f>
        <v>0</v>
      </c>
      <c r="P161" s="292">
        <f>IF(AND('Small Signal'!$B$63&gt;=1,FCCM=0),AE161+0,AB161+0)</f>
        <v>-18.783714114016782</v>
      </c>
      <c r="Q161" s="292">
        <f>IF(AND('Small Signal'!$B$63&gt;=1,FCCM=0),AF161,AC161)</f>
        <v>44.177557977014771</v>
      </c>
      <c r="R161" s="292">
        <f t="shared" si="85"/>
        <v>-26.133379879310283</v>
      </c>
      <c r="S161" s="292">
        <f t="shared" si="85"/>
        <v>-154.28249537944848</v>
      </c>
      <c r="T161" s="292" t="str">
        <f>IMDIV(IMSUM('Small Signal'!$B$76,IMPRODUCT(M161,'Small Signal'!$B$77)),IMSUM(IMPRODUCT('Small Signal'!$B$80,IMPOWER(M161,2)),IMSUM(IMPRODUCT(M161,'Small Signal'!$B$79),'Small Signal'!$B$78)))</f>
        <v>-0.0203349769961381-0.00731510531019245i</v>
      </c>
      <c r="U161" s="292">
        <f t="shared" si="65"/>
        <v>-33.306626093776934</v>
      </c>
      <c r="V161" s="292">
        <f t="shared" si="66"/>
        <v>-160.21480974624768</v>
      </c>
      <c r="W161" s="292" t="str">
        <f>IMPRODUCT(IMDIV(IMSUM(IMPRODUCT(M161,'Small Signal'!$B$59*'Small Signal'!$B$6*'Small Signal'!$B$51*'Small Signal'!$B$7*'Small Signal'!$B$8),'Small Signal'!$B$59*'Small Signal'!$B$6*'Small Signal'!$B$51),IMSUM(IMSUM(IMPRODUCT(M161,('Small Signal'!$B$5+'Small Signal'!$B$6)*('Small Signal'!$B$58*'Small Signal'!$B$59)+'Small Signal'!$B$5*'Small Signal'!$B$59*('Small Signal'!$B$8+'Small Signal'!$B$9)+'Small Signal'!$B$6*'Small Signal'!$B$59*('Small Signal'!$B$8+'Small Signal'!$B$9)+'Small Signal'!$B$7*'Small Signal'!$B$8*('Small Signal'!$B$5+'Small Signal'!$B$6)),'Small Signal'!$B$6+'Small Signal'!$B$5),IMPRODUCT(IMPOWER(M161,2),'Small Signal'!$B$58*'Small Signal'!$B$59*'Small Signal'!$B$8*'Small Signal'!$B$7*('Small Signal'!$B$5+'Small Signal'!$B$6)+('Small Signal'!$B$5+'Small Signal'!$B$6)*('Small Signal'!$B$9*'Small Signal'!$B$8*'Small Signal'!$B$59*'Small Signal'!$B$7)))),-1)</f>
        <v>-1.409035193436+0.282789290406756i</v>
      </c>
      <c r="X161" s="292">
        <f t="shared" si="67"/>
        <v>0</v>
      </c>
      <c r="Y161" s="292">
        <f t="shared" si="68"/>
        <v>0</v>
      </c>
      <c r="Z161" s="292" t="str">
        <f t="shared" si="69"/>
        <v>1.40718892968158+0.806178232540491i</v>
      </c>
      <c r="AA161" s="292" t="str">
        <f t="shared" si="70"/>
        <v>0.0824982352119603+0.0801631806221129i</v>
      </c>
      <c r="AB161" s="289">
        <f t="shared" si="86"/>
        <v>-18.783714114016782</v>
      </c>
      <c r="AC161" s="292">
        <f t="shared" si="87"/>
        <v>44.177557977014771</v>
      </c>
      <c r="AD161" s="292" t="str">
        <f t="shared" si="71"/>
        <v>0.0307213316851901+0.00455672711057613i</v>
      </c>
      <c r="AE161" s="289">
        <f t="shared" si="72"/>
        <v>-30.156689589866264</v>
      </c>
      <c r="AF161" s="292">
        <f t="shared" si="73"/>
        <v>8.4368577139939553</v>
      </c>
      <c r="AH161" s="292" t="str">
        <f t="shared" si="74"/>
        <v>0.00075-0.00755363879226636i</v>
      </c>
      <c r="AI161" s="292">
        <f t="shared" si="75"/>
        <v>0.95</v>
      </c>
      <c r="AJ161" s="292" t="str">
        <f t="shared" si="76"/>
        <v>1000-797664.256463329i</v>
      </c>
      <c r="AK161" s="292" t="str">
        <f t="shared" si="77"/>
        <v>0.000809323023636567-0.00754125001496611i</v>
      </c>
      <c r="AL161" s="292" t="str">
        <f t="shared" si="78"/>
        <v>1.1799727128564-0.0979621871064447i</v>
      </c>
      <c r="AM161" s="292" t="str">
        <f t="shared" si="79"/>
        <v>0.019+2.75805262950395i</v>
      </c>
      <c r="AN161" s="292" t="str">
        <f t="shared" si="80"/>
        <v>-0.0444660999574998-0.0214168226996567i</v>
      </c>
      <c r="AO161" s="292">
        <f t="shared" si="88"/>
        <v>-26.133379879310283</v>
      </c>
      <c r="AP161" s="292">
        <f t="shared" si="89"/>
        <v>-154.28249537944848</v>
      </c>
      <c r="AR161" s="292" t="str">
        <f t="shared" si="81"/>
        <v>1.1799727128564-0.0979621871064447i</v>
      </c>
      <c r="AS161" s="292" t="str">
        <f t="shared" si="82"/>
        <v>-0.0444660999574998-0.0214168226996567i</v>
      </c>
      <c r="AT161" s="292">
        <f t="shared" si="90"/>
        <v>-26.133379879310283</v>
      </c>
      <c r="AU161" s="292">
        <f t="shared" si="91"/>
        <v>-154.28249537944848</v>
      </c>
    </row>
    <row r="162" spans="6:47" x14ac:dyDescent="0.25">
      <c r="F162" s="292">
        <v>160</v>
      </c>
      <c r="G162" s="293">
        <f t="shared" si="62"/>
        <v>191.15730462098122</v>
      </c>
      <c r="H162" s="293">
        <f t="shared" si="63"/>
        <v>148.92733179822852</v>
      </c>
      <c r="I162" s="294">
        <f t="shared" si="64"/>
        <v>0</v>
      </c>
      <c r="J162" s="292">
        <f t="shared" si="83"/>
        <v>0</v>
      </c>
      <c r="K162" s="292">
        <f t="shared" si="83"/>
        <v>1</v>
      </c>
      <c r="L162" s="292">
        <f>10^('Small Signal'!F162/30)</f>
        <v>215443.46900318863</v>
      </c>
      <c r="M162" s="292" t="str">
        <f t="shared" si="84"/>
        <v>1353671.23896864i</v>
      </c>
      <c r="N162" s="292">
        <f>IF(D$32=1, IF(AND('Small Signal'!$B$63&gt;=1,FCCM=0),U162+0,R162+0), 0)</f>
        <v>0</v>
      </c>
      <c r="O162" s="292">
        <f>IF(D$32=1, IF(AND('Small Signal'!$B$63&gt;=1,FCCM=0),V162,S162), 0)</f>
        <v>0</v>
      </c>
      <c r="P162" s="292">
        <f>IF(AND('Small Signal'!$B$63&gt;=1,FCCM=0),AE162+0,AB162+0)</f>
        <v>-19.702168423447173</v>
      </c>
      <c r="Q162" s="292">
        <f>IF(AND('Small Signal'!$B$63&gt;=1,FCCM=0),AF162,AC162)</f>
        <v>42.039840664099053</v>
      </c>
      <c r="R162" s="292">
        <f t="shared" si="85"/>
        <v>-27.360165963718174</v>
      </c>
      <c r="S162" s="292">
        <f t="shared" si="85"/>
        <v>-155.88504228531932</v>
      </c>
      <c r="T162" s="292" t="str">
        <f>IMDIV(IMSUM('Small Signal'!$B$76,IMPRODUCT(M162,'Small Signal'!$B$77)),IMSUM(IMPRODUCT('Small Signal'!$B$80,IMPOWER(M162,2)),IMSUM(IMPRODUCT(M162,'Small Signal'!$B$79),'Small Signal'!$B$78)))</f>
        <v>-0.0175810727695775-0.00612971718702775i</v>
      </c>
      <c r="U162" s="292">
        <f t="shared" si="65"/>
        <v>-34.600868056469068</v>
      </c>
      <c r="V162" s="292">
        <f t="shared" si="66"/>
        <v>-160.77866951240017</v>
      </c>
      <c r="W162" s="292" t="str">
        <f>IMPRODUCT(IMDIV(IMSUM(IMPRODUCT(M162,'Small Signal'!$B$59*'Small Signal'!$B$6*'Small Signal'!$B$51*'Small Signal'!$B$7*'Small Signal'!$B$8),'Small Signal'!$B$59*'Small Signal'!$B$6*'Small Signal'!$B$51),IMSUM(IMSUM(IMPRODUCT(M162,('Small Signal'!$B$5+'Small Signal'!$B$6)*('Small Signal'!$B$58*'Small Signal'!$B$59)+'Small Signal'!$B$5*'Small Signal'!$B$59*('Small Signal'!$B$8+'Small Signal'!$B$9)+'Small Signal'!$B$6*'Small Signal'!$B$59*('Small Signal'!$B$8+'Small Signal'!$B$9)+'Small Signal'!$B$7*'Small Signal'!$B$8*('Small Signal'!$B$5+'Small Signal'!$B$6)),'Small Signal'!$B$6+'Small Signal'!$B$5),IMPRODUCT(IMPOWER(M162,2),'Small Signal'!$B$58*'Small Signal'!$B$59*'Small Signal'!$B$8*'Small Signal'!$B$7*('Small Signal'!$B$5+'Small Signal'!$B$6)+('Small Signal'!$B$5+'Small Signal'!$B$6)*('Small Signal'!$B$9*'Small Signal'!$B$8*'Small Signal'!$B$59*'Small Signal'!$B$7)))),-1)</f>
        <v>-1.40169488922075+0.299551049598934i</v>
      </c>
      <c r="X162" s="292">
        <f t="shared" si="67"/>
        <v>0</v>
      </c>
      <c r="Y162" s="292">
        <f t="shared" si="68"/>
        <v>0</v>
      </c>
      <c r="Z162" s="292" t="str">
        <f t="shared" si="69"/>
        <v>1.45925963156216+0.842092976575941i</v>
      </c>
      <c r="AA162" s="292" t="str">
        <f t="shared" si="70"/>
        <v>0.0768586826556893+0.0693007013982998i</v>
      </c>
      <c r="AB162" s="289">
        <f t="shared" si="86"/>
        <v>-19.702168423447173</v>
      </c>
      <c r="AC162" s="292">
        <f t="shared" si="87"/>
        <v>42.039840664099053</v>
      </c>
      <c r="AD162" s="292" t="str">
        <f t="shared" si="71"/>
        <v>0.0264794630652537+0.00332556445222321i</v>
      </c>
      <c r="AE162" s="289">
        <f t="shared" si="72"/>
        <v>-31.473850159560705</v>
      </c>
      <c r="AF162" s="292">
        <f t="shared" si="73"/>
        <v>7.1583168713648151</v>
      </c>
      <c r="AH162" s="292" t="str">
        <f t="shared" si="74"/>
        <v>0.00075-0.00699556635103804i</v>
      </c>
      <c r="AI162" s="292">
        <f t="shared" si="75"/>
        <v>0.95</v>
      </c>
      <c r="AJ162" s="292" t="str">
        <f t="shared" si="76"/>
        <v>1000-738731.806669615i</v>
      </c>
      <c r="AK162" s="292" t="str">
        <f t="shared" si="77"/>
        <v>0.000800797381094113-0.00698415560367668i</v>
      </c>
      <c r="AL162" s="292" t="str">
        <f t="shared" si="78"/>
        <v>1.17863410606356-0.105657138800246i</v>
      </c>
      <c r="AM162" s="292" t="str">
        <f t="shared" si="79"/>
        <v>0.019+2.97807672573101i</v>
      </c>
      <c r="AN162" s="292" t="str">
        <f t="shared" si="80"/>
        <v>-0.0391140566011766-0.0175088188747158i</v>
      </c>
      <c r="AO162" s="292">
        <f t="shared" si="88"/>
        <v>-27.360165963718174</v>
      </c>
      <c r="AP162" s="292">
        <f t="shared" si="89"/>
        <v>-155.88504228531932</v>
      </c>
      <c r="AR162" s="292" t="str">
        <f t="shared" si="81"/>
        <v>1.17863410606356-0.105657138800246i</v>
      </c>
      <c r="AS162" s="292" t="str">
        <f t="shared" si="82"/>
        <v>-0.0391140566011766-0.0175088188747158i</v>
      </c>
      <c r="AT162" s="292">
        <f t="shared" si="90"/>
        <v>-27.360165963718174</v>
      </c>
      <c r="AU162" s="292">
        <f t="shared" si="91"/>
        <v>-155.88504228531932</v>
      </c>
    </row>
    <row r="163" spans="6:47" x14ac:dyDescent="0.25">
      <c r="F163" s="292">
        <v>161</v>
      </c>
      <c r="G163" s="293">
        <f t="shared" si="62"/>
        <v>190.48182713962802</v>
      </c>
      <c r="H163" s="293">
        <f t="shared" si="63"/>
        <v>147.18425360649536</v>
      </c>
      <c r="I163" s="294">
        <f t="shared" si="64"/>
        <v>0</v>
      </c>
      <c r="J163" s="292">
        <f t="shared" si="83"/>
        <v>0</v>
      </c>
      <c r="K163" s="292">
        <f t="shared" si="83"/>
        <v>1</v>
      </c>
      <c r="L163" s="292">
        <f>10^('Small Signal'!F163/30)</f>
        <v>232630.50671536254</v>
      </c>
      <c r="M163" s="292" t="str">
        <f t="shared" si="84"/>
        <v>1461660.58179571i</v>
      </c>
      <c r="N163" s="292">
        <f>IF(D$32=1, IF(AND('Small Signal'!$B$63&gt;=1,FCCM=0),U163+0,R163+0), 0)</f>
        <v>0</v>
      </c>
      <c r="O163" s="292">
        <f>IF(D$32=1, IF(AND('Small Signal'!$B$63&gt;=1,FCCM=0),V163,S163), 0)</f>
        <v>0</v>
      </c>
      <c r="P163" s="292">
        <f>IF(AND('Small Signal'!$B$63&gt;=1,FCCM=0),AE163+0,AB163+0)</f>
        <v>-20.634632998132574</v>
      </c>
      <c r="Q163" s="292">
        <f>IF(AND('Small Signal'!$B$63&gt;=1,FCCM=0),AF163,AC163)</f>
        <v>39.785258763623865</v>
      </c>
      <c r="R163" s="292">
        <f t="shared" si="85"/>
        <v>-28.599535941404056</v>
      </c>
      <c r="S163" s="292">
        <f t="shared" si="85"/>
        <v>-157.39444840620465</v>
      </c>
      <c r="T163" s="292" t="str">
        <f>IMDIV(IMSUM('Small Signal'!$B$76,IMPRODUCT(M163,'Small Signal'!$B$77)),IMSUM(IMPRODUCT('Small Signal'!$B$80,IMPOWER(M163,2)),IMSUM(IMPRODUCT(M163,'Small Signal'!$B$79),'Small Signal'!$B$78)))</f>
        <v>-0.0151835081622413-0.00515745289871802i</v>
      </c>
      <c r="U163" s="292">
        <f t="shared" si="65"/>
        <v>-35.898333321092665</v>
      </c>
      <c r="V163" s="292">
        <f t="shared" si="66"/>
        <v>-161.23867772749855</v>
      </c>
      <c r="W163" s="292" t="str">
        <f>IMPRODUCT(IMDIV(IMSUM(IMPRODUCT(M163,'Small Signal'!$B$59*'Small Signal'!$B$6*'Small Signal'!$B$51*'Small Signal'!$B$7*'Small Signal'!$B$8),'Small Signal'!$B$59*'Small Signal'!$B$6*'Small Signal'!$B$51),IMSUM(IMSUM(IMPRODUCT(M163,('Small Signal'!$B$5+'Small Signal'!$B$6)*('Small Signal'!$B$58*'Small Signal'!$B$59)+'Small Signal'!$B$5*'Small Signal'!$B$59*('Small Signal'!$B$8+'Small Signal'!$B$9)+'Small Signal'!$B$6*'Small Signal'!$B$59*('Small Signal'!$B$8+'Small Signal'!$B$9)+'Small Signal'!$B$7*'Small Signal'!$B$8*('Small Signal'!$B$5+'Small Signal'!$B$6)),'Small Signal'!$B$6+'Small Signal'!$B$5),IMPRODUCT(IMPOWER(M163,2),'Small Signal'!$B$58*'Small Signal'!$B$59*'Small Signal'!$B$8*'Small Signal'!$B$7*('Small Signal'!$B$5+'Small Signal'!$B$6)+('Small Signal'!$B$5+'Small Signal'!$B$6)*('Small Signal'!$B$9*'Small Signal'!$B$8*'Small Signal'!$B$59*'Small Signal'!$B$7)))),-1)</f>
        <v>-1.39323280162925+0.317622360864955i</v>
      </c>
      <c r="X163" s="292">
        <f t="shared" si="67"/>
        <v>0</v>
      </c>
      <c r="Y163" s="292">
        <f t="shared" si="68"/>
        <v>0</v>
      </c>
      <c r="Z163" s="292" t="str">
        <f t="shared" si="69"/>
        <v>1.51583708039546+0.87595338750566i</v>
      </c>
      <c r="AA163" s="292" t="str">
        <f t="shared" si="70"/>
        <v>0.0714303767439734+0.0594824177267661i</v>
      </c>
      <c r="AB163" s="289">
        <f t="shared" si="86"/>
        <v>-20.634632998132574</v>
      </c>
      <c r="AC163" s="292">
        <f t="shared" si="87"/>
        <v>39.785258763623865</v>
      </c>
      <c r="AD163" s="292" t="str">
        <f t="shared" si="71"/>
        <v>0.0227922839811807+0.00236291084264841i</v>
      </c>
      <c r="AE163" s="289">
        <f t="shared" si="72"/>
        <v>-32.797815069275174</v>
      </c>
      <c r="AF163" s="292">
        <f t="shared" si="73"/>
        <v>5.9187966313414453</v>
      </c>
      <c r="AH163" s="292" t="str">
        <f t="shared" si="74"/>
        <v>0.00075-0.00647872501156394i</v>
      </c>
      <c r="AI163" s="292">
        <f t="shared" si="75"/>
        <v>0.95</v>
      </c>
      <c r="AJ163" s="292" t="str">
        <f t="shared" si="76"/>
        <v>1000-684153.361221152i</v>
      </c>
      <c r="AK163" s="292" t="str">
        <f t="shared" si="77"/>
        <v>0.000793484850437892-0.006468207134847i</v>
      </c>
      <c r="AL163" s="292" t="str">
        <f t="shared" si="78"/>
        <v>1.17707723485486-0.11393525676342i</v>
      </c>
      <c r="AM163" s="292" t="str">
        <f t="shared" si="79"/>
        <v>0.019+3.21565327995056i</v>
      </c>
      <c r="AN163" s="292" t="str">
        <f t="shared" si="80"/>
        <v>-0.0343009608904452-0.0142820115279192i</v>
      </c>
      <c r="AO163" s="292">
        <f t="shared" si="88"/>
        <v>-28.599535941404056</v>
      </c>
      <c r="AP163" s="292">
        <f t="shared" si="89"/>
        <v>-157.39444840620465</v>
      </c>
      <c r="AR163" s="292" t="str">
        <f t="shared" si="81"/>
        <v>1.17707723485486-0.11393525676342i</v>
      </c>
      <c r="AS163" s="292" t="str">
        <f t="shared" si="82"/>
        <v>-0.0343009608904452-0.0142820115279192i</v>
      </c>
      <c r="AT163" s="292">
        <f t="shared" si="90"/>
        <v>-28.599535941404056</v>
      </c>
      <c r="AU163" s="292">
        <f t="shared" si="91"/>
        <v>-157.39444840620465</v>
      </c>
    </row>
    <row r="164" spans="6:47" x14ac:dyDescent="0.25">
      <c r="F164" s="292">
        <v>162</v>
      </c>
      <c r="G164" s="293">
        <f t="shared" si="62"/>
        <v>189.595414077241</v>
      </c>
      <c r="H164" s="293">
        <f t="shared" si="63"/>
        <v>145.36123239203508</v>
      </c>
      <c r="I164" s="294">
        <f t="shared" si="64"/>
        <v>0</v>
      </c>
      <c r="J164" s="292">
        <f t="shared" si="83"/>
        <v>0</v>
      </c>
      <c r="K164" s="292">
        <f t="shared" si="83"/>
        <v>1</v>
      </c>
      <c r="L164" s="292">
        <f>10^('Small Signal'!F164/30)</f>
        <v>251188.64315095844</v>
      </c>
      <c r="M164" s="292" t="str">
        <f t="shared" si="84"/>
        <v>1578264.79197648i</v>
      </c>
      <c r="N164" s="292">
        <f>IF(D$32=1, IF(AND('Small Signal'!$B$63&gt;=1,FCCM=0),U164+0,R164+0), 0)</f>
        <v>0</v>
      </c>
      <c r="O164" s="292">
        <f>IF(D$32=1, IF(AND('Small Signal'!$B$63&gt;=1,FCCM=0),V164,S164), 0)</f>
        <v>0</v>
      </c>
      <c r="P164" s="292">
        <f>IF(AND('Small Signal'!$B$63&gt;=1,FCCM=0),AE164+0,AB164+0)</f>
        <v>-21.583197928752643</v>
      </c>
      <c r="Q164" s="292">
        <f>IF(AND('Small Signal'!$B$63&gt;=1,FCCM=0),AF164,AC164)</f>
        <v>37.409562795363385</v>
      </c>
      <c r="R164" s="292">
        <f t="shared" si="85"/>
        <v>-29.850093280698982</v>
      </c>
      <c r="S164" s="292">
        <f t="shared" si="85"/>
        <v>-158.81119877469305</v>
      </c>
      <c r="T164" s="292" t="str">
        <f>IMDIV(IMSUM('Small Signal'!$B$76,IMPRODUCT(M164,'Small Signal'!$B$77)),IMSUM(IMPRODUCT('Small Signal'!$B$80,IMPOWER(M164,2)),IMSUM(IMPRODUCT(M164,'Small Signal'!$B$79),'Small Signal'!$B$78)))</f>
        <v>-0.0131004673601398-0.00435891463820619i</v>
      </c>
      <c r="U164" s="292">
        <f t="shared" si="65"/>
        <v>-37.198261081304835</v>
      </c>
      <c r="V164" s="292">
        <f t="shared" si="66"/>
        <v>-161.59618363951211</v>
      </c>
      <c r="W164" s="292" t="str">
        <f>IMPRODUCT(IMDIV(IMSUM(IMPRODUCT(M164,'Small Signal'!$B$59*'Small Signal'!$B$6*'Small Signal'!$B$51*'Small Signal'!$B$7*'Small Signal'!$B$8),'Small Signal'!$B$59*'Small Signal'!$B$6*'Small Signal'!$B$51),IMSUM(IMSUM(IMPRODUCT(M164,('Small Signal'!$B$5+'Small Signal'!$B$6)*('Small Signal'!$B$58*'Small Signal'!$B$59)+'Small Signal'!$B$5*'Small Signal'!$B$59*('Small Signal'!$B$8+'Small Signal'!$B$9)+'Small Signal'!$B$6*'Small Signal'!$B$59*('Small Signal'!$B$8+'Small Signal'!$B$9)+'Small Signal'!$B$7*'Small Signal'!$B$8*('Small Signal'!$B$5+'Small Signal'!$B$6)),'Small Signal'!$B$6+'Small Signal'!$B$5),IMPRODUCT(IMPOWER(M164,2),'Small Signal'!$B$58*'Small Signal'!$B$59*'Small Signal'!$B$8*'Small Signal'!$B$7*('Small Signal'!$B$5+'Small Signal'!$B$6)+('Small Signal'!$B$5+'Small Signal'!$B$6)*('Small Signal'!$B$9*'Small Signal'!$B$8*'Small Signal'!$B$59*'Small Signal'!$B$7)))),-1)</f>
        <v>-1.38349491891478+0.337002077155205i</v>
      </c>
      <c r="X164" s="292">
        <f t="shared" si="67"/>
        <v>0</v>
      </c>
      <c r="Y164" s="292">
        <f t="shared" si="68"/>
        <v>0</v>
      </c>
      <c r="Z164" s="292" t="str">
        <f t="shared" si="69"/>
        <v>1.5767808405902+0.907080709441858i</v>
      </c>
      <c r="AA164" s="292" t="str">
        <f t="shared" si="70"/>
        <v>0.0661960238254524+0.0506281905234453i</v>
      </c>
      <c r="AB164" s="289">
        <f t="shared" si="86"/>
        <v>-21.583197928752643</v>
      </c>
      <c r="AC164" s="292">
        <f t="shared" si="87"/>
        <v>37.409562795363385</v>
      </c>
      <c r="AD164" s="292" t="str">
        <f t="shared" si="71"/>
        <v>0.01959339331538+0.00161565154187044i</v>
      </c>
      <c r="AE164" s="289">
        <f t="shared" si="72"/>
        <v>-34.128377017466867</v>
      </c>
      <c r="AF164" s="292">
        <f t="shared" si="73"/>
        <v>4.71388775503498</v>
      </c>
      <c r="AH164" s="292" t="str">
        <f t="shared" si="74"/>
        <v>0.00075-0.0060000685676058i</v>
      </c>
      <c r="AI164" s="292">
        <f t="shared" si="75"/>
        <v>0.95</v>
      </c>
      <c r="AJ164" s="292" t="str">
        <f t="shared" si="76"/>
        <v>1000-633607.240739172i</v>
      </c>
      <c r="AK164" s="292" t="str">
        <f t="shared" si="77"/>
        <v>0.000787212833124423-0.00599036734706537i</v>
      </c>
      <c r="AL164" s="292" t="str">
        <f t="shared" si="78"/>
        <v>1.17526724149764-0.122835285476898i</v>
      </c>
      <c r="AM164" s="292" t="str">
        <f t="shared" si="79"/>
        <v>0.019+3.47218254234826i</v>
      </c>
      <c r="AN164" s="292" t="str">
        <f t="shared" si="80"/>
        <v>-0.0299981880086832-0.0116287853893668i</v>
      </c>
      <c r="AO164" s="292">
        <f t="shared" si="88"/>
        <v>-29.850093280698982</v>
      </c>
      <c r="AP164" s="292">
        <f t="shared" si="89"/>
        <v>-158.81119877469305</v>
      </c>
      <c r="AR164" s="292" t="str">
        <f t="shared" si="81"/>
        <v>1.17526724149764-0.122835285476898i</v>
      </c>
      <c r="AS164" s="292" t="str">
        <f t="shared" si="82"/>
        <v>-0.0299981880086832-0.0116287853893668i</v>
      </c>
      <c r="AT164" s="292">
        <f t="shared" si="90"/>
        <v>-29.850093280698982</v>
      </c>
      <c r="AU164" s="292">
        <f t="shared" si="91"/>
        <v>-158.81119877469305</v>
      </c>
    </row>
    <row r="165" spans="6:47" x14ac:dyDescent="0.25">
      <c r="F165" s="292">
        <v>163</v>
      </c>
      <c r="G165" s="293">
        <f t="shared" si="62"/>
        <v>188.49151201925304</v>
      </c>
      <c r="H165" s="293">
        <f t="shared" si="63"/>
        <v>143.46230739153444</v>
      </c>
      <c r="I165" s="294">
        <f t="shared" si="64"/>
        <v>0</v>
      </c>
      <c r="J165" s="292">
        <f t="shared" si="83"/>
        <v>0</v>
      </c>
      <c r="K165" s="292">
        <f t="shared" si="83"/>
        <v>1</v>
      </c>
      <c r="L165" s="292">
        <f>10^('Small Signal'!F165/30)</f>
        <v>271227.25793320336</v>
      </c>
      <c r="M165" s="292" t="str">
        <f t="shared" si="84"/>
        <v>1704171.12195251i</v>
      </c>
      <c r="N165" s="292">
        <f>IF(D$32=1, IF(AND('Small Signal'!$B$63&gt;=1,FCCM=0),U165+0,R165+0), 0)</f>
        <v>0</v>
      </c>
      <c r="O165" s="292">
        <f>IF(D$32=1, IF(AND('Small Signal'!$B$63&gt;=1,FCCM=0),V165,S165), 0)</f>
        <v>0</v>
      </c>
      <c r="P165" s="292">
        <f>IF(AND('Small Signal'!$B$63&gt;=1,FCCM=0),AE165+0,AB165+0)</f>
        <v>-22.550085214180807</v>
      </c>
      <c r="Q165" s="292">
        <f>IF(AND('Small Signal'!$B$63&gt;=1,FCCM=0),AF165,AC165)</f>
        <v>34.910642140378812</v>
      </c>
      <c r="R165" s="292">
        <f t="shared" si="85"/>
        <v>-31.110522748232064</v>
      </c>
      <c r="S165" s="292">
        <f t="shared" si="85"/>
        <v>-160.13658849710578</v>
      </c>
      <c r="T165" s="292" t="str">
        <f>IMDIV(IMSUM('Small Signal'!$B$76,IMPRODUCT(M165,'Small Signal'!$B$77)),IMSUM(IMPRODUCT('Small Signal'!$B$80,IMPOWER(M165,2)),IMSUM(IMPRODUCT(M165,'Small Signal'!$B$79),'Small Signal'!$B$78)))</f>
        <v>-0.0112939131714451-0.00370182606752464i</v>
      </c>
      <c r="U165" s="292">
        <f t="shared" si="65"/>
        <v>-38.49993123791883</v>
      </c>
      <c r="V165" s="292">
        <f t="shared" si="66"/>
        <v>-161.8523160439492</v>
      </c>
      <c r="W165" s="292" t="str">
        <f>IMPRODUCT(IMDIV(IMSUM(IMPRODUCT(M165,'Small Signal'!$B$59*'Small Signal'!$B$6*'Small Signal'!$B$51*'Small Signal'!$B$7*'Small Signal'!$B$8),'Small Signal'!$B$59*'Small Signal'!$B$6*'Small Signal'!$B$51),IMSUM(IMSUM(IMPRODUCT(M165,('Small Signal'!$B$5+'Small Signal'!$B$6)*('Small Signal'!$B$58*'Small Signal'!$B$59)+'Small Signal'!$B$5*'Small Signal'!$B$59*('Small Signal'!$B$8+'Small Signal'!$B$9)+'Small Signal'!$B$6*'Small Signal'!$B$59*('Small Signal'!$B$8+'Small Signal'!$B$9)+'Small Signal'!$B$7*'Small Signal'!$B$8*('Small Signal'!$B$5+'Small Signal'!$B$6)),'Small Signal'!$B$6+'Small Signal'!$B$5),IMPRODUCT(IMPOWER(M165,2),'Small Signal'!$B$58*'Small Signal'!$B$59*'Small Signal'!$B$8*'Small Signal'!$B$7*('Small Signal'!$B$5+'Small Signal'!$B$6)+('Small Signal'!$B$5+'Small Signal'!$B$6)*('Small Signal'!$B$9*'Small Signal'!$B$8*'Small Signal'!$B$59*'Small Signal'!$B$7)))),-1)</f>
        <v>-1.3723119371107+0.357673357024586i</v>
      </c>
      <c r="X165" s="292">
        <f t="shared" si="67"/>
        <v>0</v>
      </c>
      <c r="Y165" s="292">
        <f t="shared" si="68"/>
        <v>0</v>
      </c>
      <c r="Z165" s="292" t="str">
        <f t="shared" si="69"/>
        <v>1.6418180583804+0.934789239377782i</v>
      </c>
      <c r="AA165" s="292" t="str">
        <f t="shared" si="70"/>
        <v>0.0611411688974911+0.042669555470321i</v>
      </c>
      <c r="AB165" s="289">
        <f t="shared" si="86"/>
        <v>-22.550085214180807</v>
      </c>
      <c r="AC165" s="292">
        <f t="shared" si="87"/>
        <v>34.910642140378812</v>
      </c>
      <c r="AD165" s="292" t="str">
        <f t="shared" si="71"/>
        <v>0.0168228164185585+0.00104052826359667i</v>
      </c>
      <c r="AE165" s="289">
        <f t="shared" si="72"/>
        <v>-35.465442805132703</v>
      </c>
      <c r="AF165" s="292">
        <f t="shared" si="73"/>
        <v>3.5393613005545714</v>
      </c>
      <c r="AH165" s="292" t="str">
        <f t="shared" si="74"/>
        <v>0.00075-0.00555677587051664i</v>
      </c>
      <c r="AI165" s="292">
        <f t="shared" si="75"/>
        <v>0.95</v>
      </c>
      <c r="AJ165" s="292" t="str">
        <f t="shared" si="76"/>
        <v>1000-586795.531926557i</v>
      </c>
      <c r="AK165" s="292" t="str">
        <f t="shared" si="77"/>
        <v>0.000781833283565235-0.00554782283006314i</v>
      </c>
      <c r="AL165" s="292" t="str">
        <f t="shared" si="78"/>
        <v>1.17316396000612-0.132397125009212i</v>
      </c>
      <c r="AM165" s="292" t="str">
        <f t="shared" si="79"/>
        <v>0.019+3.74917646829552i</v>
      </c>
      <c r="AN165" s="292" t="str">
        <f t="shared" si="80"/>
        <v>-0.0261718913680282-0.00945519358936824i</v>
      </c>
      <c r="AO165" s="292">
        <f t="shared" si="88"/>
        <v>-31.110522748232064</v>
      </c>
      <c r="AP165" s="292">
        <f t="shared" si="89"/>
        <v>-160.13658849710578</v>
      </c>
      <c r="AR165" s="292" t="str">
        <f t="shared" si="81"/>
        <v>1.17316396000612-0.132397125009212i</v>
      </c>
      <c r="AS165" s="292" t="str">
        <f t="shared" si="82"/>
        <v>-0.0261718913680282-0.00945519358936824i</v>
      </c>
      <c r="AT165" s="292">
        <f t="shared" si="90"/>
        <v>-31.110522748232064</v>
      </c>
      <c r="AU165" s="292">
        <f t="shared" si="91"/>
        <v>-160.13658849710578</v>
      </c>
    </row>
    <row r="166" spans="6:47" x14ac:dyDescent="0.25">
      <c r="F166" s="292">
        <v>164</v>
      </c>
      <c r="G166" s="293">
        <f t="shared" si="62"/>
        <v>187.16673189806187</v>
      </c>
      <c r="H166" s="293">
        <f t="shared" si="63"/>
        <v>141.49298790325182</v>
      </c>
      <c r="I166" s="294">
        <f t="shared" si="64"/>
        <v>0</v>
      </c>
      <c r="J166" s="292">
        <f t="shared" si="83"/>
        <v>0</v>
      </c>
      <c r="K166" s="292">
        <f t="shared" si="83"/>
        <v>1</v>
      </c>
      <c r="L166" s="292">
        <f>10^('Small Signal'!F166/30)</f>
        <v>292864.45646252431</v>
      </c>
      <c r="M166" s="292" t="str">
        <f t="shared" si="84"/>
        <v>1840121.64984047i</v>
      </c>
      <c r="N166" s="292">
        <f>IF(D$32=1, IF(AND('Small Signal'!$B$63&gt;=1,FCCM=0),U166+0,R166+0), 0)</f>
        <v>0</v>
      </c>
      <c r="O166" s="292">
        <f>IF(D$32=1, IF(AND('Small Signal'!$B$63&gt;=1,FCCM=0),V166,S166), 0)</f>
        <v>0</v>
      </c>
      <c r="P166" s="292">
        <f>IF(AND('Small Signal'!$B$63&gt;=1,FCCM=0),AE166+0,AB166+0)</f>
        <v>-23.537578436061711</v>
      </c>
      <c r="Q166" s="292">
        <f>IF(AND('Small Signal'!$B$63&gt;=1,FCCM=0),AF166,AC166)</f>
        <v>32.28864423646197</v>
      </c>
      <c r="R166" s="292">
        <f t="shared" si="85"/>
        <v>-32.379597800569108</v>
      </c>
      <c r="S166" s="292">
        <f t="shared" si="85"/>
        <v>-161.37257243766567</v>
      </c>
      <c r="T166" s="292" t="str">
        <f>IMDIV(IMSUM('Small Signal'!$B$76,IMPRODUCT(M166,'Small Signal'!$B$77)),IMSUM(IMPRODUCT('Small Signal'!$B$80,IMPOWER(M166,2)),IMSUM(IMPRODUCT(M166,'Small Signal'!$B$79),'Small Signal'!$B$78)))</f>
        <v>-0.00972956086452616-0.00315983356589856i</v>
      </c>
      <c r="U166" s="292">
        <f t="shared" si="65"/>
        <v>-39.802653207776245</v>
      </c>
      <c r="V166" s="292">
        <f t="shared" si="66"/>
        <v>-162.00794960065858</v>
      </c>
      <c r="W166" s="292" t="str">
        <f>IMPRODUCT(IMDIV(IMSUM(IMPRODUCT(M166,'Small Signal'!$B$59*'Small Signal'!$B$6*'Small Signal'!$B$51*'Small Signal'!$B$7*'Small Signal'!$B$8),'Small Signal'!$B$59*'Small Signal'!$B$6*'Small Signal'!$B$51),IMSUM(IMSUM(IMPRODUCT(M166,('Small Signal'!$B$5+'Small Signal'!$B$6)*('Small Signal'!$B$58*'Small Signal'!$B$59)+'Small Signal'!$B$5*'Small Signal'!$B$59*('Small Signal'!$B$8+'Small Signal'!$B$9)+'Small Signal'!$B$6*'Small Signal'!$B$59*('Small Signal'!$B$8+'Small Signal'!$B$9)+'Small Signal'!$B$7*'Small Signal'!$B$8*('Small Signal'!$B$5+'Small Signal'!$B$6)),'Small Signal'!$B$6+'Small Signal'!$B$5),IMPRODUCT(IMPOWER(M166,2),'Small Signal'!$B$58*'Small Signal'!$B$59*'Small Signal'!$B$8*'Small Signal'!$B$7*('Small Signal'!$B$5+'Small Signal'!$B$6)+('Small Signal'!$B$5+'Small Signal'!$B$6)*('Small Signal'!$B$9*'Small Signal'!$B$8*'Small Signal'!$B$59*'Small Signal'!$B$7)))),-1)</f>
        <v>-1.35949973358678+0.3795993364991i</v>
      </c>
      <c r="X166" s="292">
        <f t="shared" si="67"/>
        <v>0</v>
      </c>
      <c r="Y166" s="292">
        <f t="shared" si="68"/>
        <v>0</v>
      </c>
      <c r="Z166" s="292" t="str">
        <f t="shared" si="69"/>
        <v>1.71053607125106+0.958417133820699i</v>
      </c>
      <c r="AA166" s="292" t="str">
        <f t="shared" si="70"/>
        <v>0.0562557268203074+0.035547790665053i</v>
      </c>
      <c r="AB166" s="289">
        <f t="shared" si="86"/>
        <v>-23.537578436061711</v>
      </c>
      <c r="AC166" s="292">
        <f t="shared" si="87"/>
        <v>32.28864423646197</v>
      </c>
      <c r="AD166" s="292" t="str">
        <f t="shared" si="71"/>
        <v>0.0144268061283024+0.000602458042415917i</v>
      </c>
      <c r="AE166" s="289">
        <f t="shared" si="72"/>
        <v>-36.809029167094813</v>
      </c>
      <c r="AF166" s="292">
        <f t="shared" si="73"/>
        <v>2.3912610124649083</v>
      </c>
      <c r="AH166" s="292" t="str">
        <f t="shared" si="74"/>
        <v>0.00075-0.00514623420169962i</v>
      </c>
      <c r="AI166" s="292">
        <f t="shared" si="75"/>
        <v>0.95</v>
      </c>
      <c r="AJ166" s="292" t="str">
        <f t="shared" si="76"/>
        <v>1000-543442.331699481i</v>
      </c>
      <c r="AK166" s="292" t="str">
        <f t="shared" si="77"/>
        <v>0.000777219217394134-0.00513796759849333i</v>
      </c>
      <c r="AL166" s="292" t="str">
        <f t="shared" si="78"/>
        <v>1.17072119933998-0.142661457816235i</v>
      </c>
      <c r="AM166" s="292" t="str">
        <f t="shared" si="79"/>
        <v>0.019+4.04826762964903i</v>
      </c>
      <c r="AN166" s="292" t="str">
        <f t="shared" si="80"/>
        <v>-0.0227851723800161-0.00768020226823835i</v>
      </c>
      <c r="AO166" s="292">
        <f t="shared" si="88"/>
        <v>-32.379597800569108</v>
      </c>
      <c r="AP166" s="292">
        <f t="shared" si="89"/>
        <v>-161.37257243766567</v>
      </c>
      <c r="AR166" s="292" t="str">
        <f t="shared" si="81"/>
        <v>1.17072119933998-0.142661457816235i</v>
      </c>
      <c r="AS166" s="292" t="str">
        <f t="shared" si="82"/>
        <v>-0.0227851723800161-0.00768020226823835i</v>
      </c>
      <c r="AT166" s="292">
        <f t="shared" si="90"/>
        <v>-32.379597800569108</v>
      </c>
      <c r="AU166" s="292">
        <f t="shared" si="91"/>
        <v>-161.37257243766567</v>
      </c>
    </row>
    <row r="167" spans="6:47" x14ac:dyDescent="0.25">
      <c r="F167" s="292">
        <v>165</v>
      </c>
      <c r="G167" s="293">
        <f t="shared" si="62"/>
        <v>185.62095592337707</v>
      </c>
      <c r="H167" s="293">
        <f t="shared" si="63"/>
        <v>139.4602877301385</v>
      </c>
      <c r="I167" s="294">
        <f t="shared" si="64"/>
        <v>0</v>
      </c>
      <c r="J167" s="292">
        <f t="shared" si="83"/>
        <v>0</v>
      </c>
      <c r="K167" s="292">
        <f t="shared" si="83"/>
        <v>1</v>
      </c>
      <c r="L167" s="292">
        <f>10^('Small Signal'!F167/30)</f>
        <v>316227.7660168382</v>
      </c>
      <c r="M167" s="292" t="str">
        <f t="shared" si="84"/>
        <v>1986917.65315922i</v>
      </c>
      <c r="N167" s="292">
        <f>IF(D$32=1, IF(AND('Small Signal'!$B$63&gt;=1,FCCM=0),U167+0,R167+0), 0)</f>
        <v>0</v>
      </c>
      <c r="O167" s="292">
        <f>IF(D$32=1, IF(AND('Small Signal'!$B$63&gt;=1,FCCM=0),V167,S167), 0)</f>
        <v>0</v>
      </c>
      <c r="P167" s="292">
        <f>IF(AND('Small Signal'!$B$63&gt;=1,FCCM=0),AE167+0,AB167+0)</f>
        <v>-24.547952351953629</v>
      </c>
      <c r="Q167" s="292">
        <f>IF(AND('Small Signal'!$B$63&gt;=1,FCCM=0),AF167,AC167)</f>
        <v>29.545982300302182</v>
      </c>
      <c r="R167" s="292">
        <f t="shared" si="85"/>
        <v>-33.656183398665092</v>
      </c>
      <c r="S167" s="292">
        <f t="shared" si="85"/>
        <v>-162.52162638540185</v>
      </c>
      <c r="T167" s="292" t="str">
        <f>IMDIV(IMSUM('Small Signal'!$B$76,IMPRODUCT(M167,'Small Signal'!$B$77)),IMSUM(IMPRODUCT('Small Signal'!$B$80,IMPOWER(M167,2)),IMSUM(IMPRODUCT(M167,'Small Signal'!$B$79),'Small Signal'!$B$78)))</f>
        <v>-0.00837674209867797-0.00271147864877669i</v>
      </c>
      <c r="U167" s="292">
        <f t="shared" si="65"/>
        <v>-41.105754535175201</v>
      </c>
      <c r="V167" s="292">
        <f t="shared" si="66"/>
        <v>-162.06368333379788</v>
      </c>
      <c r="W167" s="292" t="str">
        <f>IMPRODUCT(IMDIV(IMSUM(IMPRODUCT(M167,'Small Signal'!$B$59*'Small Signal'!$B$6*'Small Signal'!$B$51*'Small Signal'!$B$7*'Small Signal'!$B$8),'Small Signal'!$B$59*'Small Signal'!$B$6*'Small Signal'!$B$51),IMSUM(IMSUM(IMPRODUCT(M167,('Small Signal'!$B$5+'Small Signal'!$B$6)*('Small Signal'!$B$58*'Small Signal'!$B$59)+'Small Signal'!$B$5*'Small Signal'!$B$59*('Small Signal'!$B$8+'Small Signal'!$B$9)+'Small Signal'!$B$6*'Small Signal'!$B$59*('Small Signal'!$B$8+'Small Signal'!$B$9)+'Small Signal'!$B$7*'Small Signal'!$B$8*('Small Signal'!$B$5+'Small Signal'!$B$6)),'Small Signal'!$B$6+'Small Signal'!$B$5),IMPRODUCT(IMPOWER(M167,2),'Small Signal'!$B$58*'Small Signal'!$B$59*'Small Signal'!$B$8*'Small Signal'!$B$7*('Small Signal'!$B$5+'Small Signal'!$B$6)+('Small Signal'!$B$5+'Small Signal'!$B$6)*('Small Signal'!$B$9*'Small Signal'!$B$8*'Small Signal'!$B$59*'Small Signal'!$B$7)))),-1)</f>
        <v>-1.34486066438606+0.402718282057968i</v>
      </c>
      <c r="X167" s="292">
        <f t="shared" si="67"/>
        <v>0</v>
      </c>
      <c r="Y167" s="292">
        <f t="shared" si="68"/>
        <v>0</v>
      </c>
      <c r="Z167" s="292" t="str">
        <f t="shared" si="69"/>
        <v>1.78238358122812+0.977360613279936i</v>
      </c>
      <c r="AA167" s="292" t="str">
        <f t="shared" si="70"/>
        <v>0.0515349405330341+0.029211689236648i</v>
      </c>
      <c r="AB167" s="289">
        <f t="shared" si="86"/>
        <v>-24.547952351953629</v>
      </c>
      <c r="AC167" s="292">
        <f t="shared" si="87"/>
        <v>29.545982300302182</v>
      </c>
      <c r="AD167" s="292" t="str">
        <f t="shared" si="71"/>
        <v>0.0123575129674909+0.000273093789840186i</v>
      </c>
      <c r="AE167" s="289">
        <f t="shared" si="72"/>
        <v>-38.159257995363163</v>
      </c>
      <c r="AF167" s="292">
        <f t="shared" si="73"/>
        <v>1.2659970568543331</v>
      </c>
      <c r="AH167" s="292" t="str">
        <f t="shared" si="74"/>
        <v>0.00075-0.00476602387353096i</v>
      </c>
      <c r="AI167" s="292">
        <f t="shared" si="75"/>
        <v>0.95</v>
      </c>
      <c r="AJ167" s="292" t="str">
        <f t="shared" si="76"/>
        <v>1000-503292.12104487i</v>
      </c>
      <c r="AK167" s="292" t="str">
        <f t="shared" si="77"/>
        <v>0.000773261716026815-0.0047583878562351i</v>
      </c>
      <c r="AL167" s="292" t="str">
        <f t="shared" si="78"/>
        <v>1.16788596271338-0.153669241234105i</v>
      </c>
      <c r="AM167" s="292" t="str">
        <f t="shared" si="79"/>
        <v>0.019+4.37121883695028i</v>
      </c>
      <c r="AN167" s="292" t="str">
        <f t="shared" si="80"/>
        <v>-0.0197998537792262-0.00623465444259994i</v>
      </c>
      <c r="AO167" s="292">
        <f t="shared" si="88"/>
        <v>-33.656183398665092</v>
      </c>
      <c r="AP167" s="292">
        <f t="shared" si="89"/>
        <v>-162.52162638540185</v>
      </c>
      <c r="AR167" s="292" t="str">
        <f t="shared" si="81"/>
        <v>1.16788596271338-0.153669241234105i</v>
      </c>
      <c r="AS167" s="292" t="str">
        <f t="shared" si="82"/>
        <v>-0.0197998537792262-0.00623465444259994i</v>
      </c>
      <c r="AT167" s="292">
        <f t="shared" si="90"/>
        <v>-33.656183398665092</v>
      </c>
      <c r="AU167" s="292">
        <f t="shared" si="91"/>
        <v>-162.52162638540185</v>
      </c>
    </row>
    <row r="168" spans="6:47" x14ac:dyDescent="0.25">
      <c r="F168" s="292">
        <v>166</v>
      </c>
      <c r="G168" s="293">
        <f t="shared" si="62"/>
        <v>183.85734365625913</v>
      </c>
      <c r="H168" s="293">
        <f t="shared" si="63"/>
        <v>137.37269559768365</v>
      </c>
      <c r="I168" s="294">
        <f t="shared" si="64"/>
        <v>0</v>
      </c>
      <c r="J168" s="292">
        <f t="shared" si="83"/>
        <v>0</v>
      </c>
      <c r="K168" s="292">
        <f t="shared" si="83"/>
        <v>1</v>
      </c>
      <c r="L168" s="292">
        <f>10^('Small Signal'!F168/30)</f>
        <v>341454.88738336053</v>
      </c>
      <c r="M168" s="292" t="str">
        <f t="shared" si="84"/>
        <v>2145424.33147179i</v>
      </c>
      <c r="N168" s="292">
        <f>IF(D$32=1, IF(AND('Small Signal'!$B$63&gt;=1,FCCM=0),U168+0,R168+0), 0)</f>
        <v>0</v>
      </c>
      <c r="O168" s="292">
        <f>IF(D$32=1, IF(AND('Small Signal'!$B$63&gt;=1,FCCM=0),V168,S168), 0)</f>
        <v>0</v>
      </c>
      <c r="P168" s="292">
        <f>IF(AND('Small Signal'!$B$63&gt;=1,FCCM=0),AE168+0,AB168+0)</f>
        <v>-25.583406648761752</v>
      </c>
      <c r="Q168" s="292">
        <f>IF(AND('Small Signal'!$B$63&gt;=1,FCCM=0),AF168,AC168)</f>
        <v>26.687238513857711</v>
      </c>
      <c r="R168" s="292">
        <f t="shared" si="85"/>
        <v>-34.939235183805849</v>
      </c>
      <c r="S168" s="292">
        <f t="shared" si="85"/>
        <v>-163.58662369471188</v>
      </c>
      <c r="T168" s="292" t="str">
        <f>IMDIV(IMSUM('Small Signal'!$B$76,IMPRODUCT(M168,'Small Signal'!$B$77)),IMSUM(IMPRODUCT('Small Signal'!$B$80,IMPOWER(M168,2)),IMSUM(IMPRODUCT(M168,'Small Signal'!$B$79),'Small Signal'!$B$78)))</f>
        <v>-0.00720819731384649-0.00233932737444395i</v>
      </c>
      <c r="U168" s="292">
        <f t="shared" si="65"/>
        <v>-42.40856940765152</v>
      </c>
      <c r="V168" s="292">
        <f t="shared" si="66"/>
        <v>-162.01983065591196</v>
      </c>
      <c r="W168" s="292" t="str">
        <f>IMPRODUCT(IMDIV(IMSUM(IMPRODUCT(M168,'Small Signal'!$B$59*'Small Signal'!$B$6*'Small Signal'!$B$51*'Small Signal'!$B$7*'Small Signal'!$B$8),'Small Signal'!$B$59*'Small Signal'!$B$6*'Small Signal'!$B$51),IMSUM(IMSUM(IMPRODUCT(M168,('Small Signal'!$B$5+'Small Signal'!$B$6)*('Small Signal'!$B$58*'Small Signal'!$B$59)+'Small Signal'!$B$5*'Small Signal'!$B$59*('Small Signal'!$B$8+'Small Signal'!$B$9)+'Small Signal'!$B$6*'Small Signal'!$B$59*('Small Signal'!$B$8+'Small Signal'!$B$9)+'Small Signal'!$B$7*'Small Signal'!$B$8*('Small Signal'!$B$5+'Small Signal'!$B$6)),'Small Signal'!$B$6+'Small Signal'!$B$5),IMPRODUCT(IMPOWER(M168,2),'Small Signal'!$B$58*'Small Signal'!$B$59*'Small Signal'!$B$8*'Small Signal'!$B$7*('Small Signal'!$B$5+'Small Signal'!$B$6)+('Small Signal'!$B$5+'Small Signal'!$B$6)*('Small Signal'!$B$9*'Small Signal'!$B$8*'Small Signal'!$B$59*'Small Signal'!$B$7)))),-1)</f>
        <v>-1.32818593515568+0.426938320284297i</v>
      </c>
      <c r="X168" s="292">
        <f t="shared" si="67"/>
        <v>0</v>
      </c>
      <c r="Y168" s="292">
        <f t="shared" si="68"/>
        <v>0</v>
      </c>
      <c r="Z168" s="292" t="str">
        <f t="shared" si="69"/>
        <v>1.85668181176304+0.991108768834892i</v>
      </c>
      <c r="AA168" s="292" t="str">
        <f t="shared" si="70"/>
        <v>0.0469797113143981+0.0236152240075892i</v>
      </c>
      <c r="AB168" s="289">
        <f t="shared" si="86"/>
        <v>-25.583406648761752</v>
      </c>
      <c r="AC168" s="292">
        <f t="shared" si="87"/>
        <v>26.687238513857711</v>
      </c>
      <c r="AD168" s="292" t="str">
        <f t="shared" si="71"/>
        <v>0.010572574789918+0.000029606063009717i</v>
      </c>
      <c r="AE168" s="289">
        <f t="shared" si="72"/>
        <v>-39.51635062469331</v>
      </c>
      <c r="AF168" s="292">
        <f t="shared" si="73"/>
        <v>0.16044322772113939</v>
      </c>
      <c r="AH168" s="292" t="str">
        <f t="shared" si="74"/>
        <v>0.00075-0.00441390396798597i</v>
      </c>
      <c r="AI168" s="292">
        <f t="shared" si="75"/>
        <v>0.95</v>
      </c>
      <c r="AJ168" s="292" t="str">
        <f t="shared" si="76"/>
        <v>1000-466108.259019318i</v>
      </c>
      <c r="AK168" s="292" t="str">
        <f t="shared" si="77"/>
        <v>0.000769867357045743-0.00440684786800669i</v>
      </c>
      <c r="AL168" s="292" t="str">
        <f t="shared" si="78"/>
        <v>1.1645976100394-0.165461034850274i</v>
      </c>
      <c r="AM168" s="292" t="str">
        <f t="shared" si="79"/>
        <v>0.019+4.71993352923794i</v>
      </c>
      <c r="AN168" s="292" t="str">
        <f t="shared" si="80"/>
        <v>-0.0171778639210649-0.00506007832726045i</v>
      </c>
      <c r="AO168" s="292">
        <f t="shared" si="88"/>
        <v>-34.939235183805849</v>
      </c>
      <c r="AP168" s="292">
        <f t="shared" si="89"/>
        <v>-163.58662369471188</v>
      </c>
      <c r="AR168" s="292" t="str">
        <f t="shared" si="81"/>
        <v>1.1645976100394-0.165461034850274i</v>
      </c>
      <c r="AS168" s="292" t="str">
        <f t="shared" si="82"/>
        <v>-0.0171778639210649-0.00506007832726045i</v>
      </c>
      <c r="AT168" s="292">
        <f t="shared" si="90"/>
        <v>-34.939235183805849</v>
      </c>
      <c r="AU168" s="292">
        <f t="shared" si="91"/>
        <v>-163.58662369471188</v>
      </c>
    </row>
    <row r="169" spans="6:47" x14ac:dyDescent="0.25">
      <c r="F169" s="292">
        <v>167</v>
      </c>
      <c r="G169" s="293">
        <f t="shared" si="62"/>
        <v>181.88224164411588</v>
      </c>
      <c r="H169" s="293">
        <f t="shared" si="63"/>
        <v>135.24007256891747</v>
      </c>
      <c r="I169" s="294">
        <f t="shared" si="64"/>
        <v>0</v>
      </c>
      <c r="J169" s="292">
        <f t="shared" si="83"/>
        <v>0</v>
      </c>
      <c r="K169" s="292">
        <f t="shared" si="83"/>
        <v>1</v>
      </c>
      <c r="L169" s="292">
        <f>10^('Small Signal'!F169/30)</f>
        <v>368694.50645195803</v>
      </c>
      <c r="M169" s="292" t="str">
        <f t="shared" si="84"/>
        <v>2316575.90577677i</v>
      </c>
      <c r="N169" s="292">
        <f>IF(D$32=1, IF(AND('Small Signal'!$B$63&gt;=1,FCCM=0),U169+0,R169+0), 0)</f>
        <v>0</v>
      </c>
      <c r="O169" s="292">
        <f>IF(D$32=1, IF(AND('Small Signal'!$B$63&gt;=1,FCCM=0),V169,S169), 0)</f>
        <v>0</v>
      </c>
      <c r="P169" s="292">
        <f>IF(AND('Small Signal'!$B$63&gt;=1,FCCM=0),AE169+0,AB169+0)</f>
        <v>-26.646007631647024</v>
      </c>
      <c r="Q169" s="292">
        <f>IF(AND('Small Signal'!$B$63&gt;=1,FCCM=0),AF169,AC169)</f>
        <v>23.718976699849616</v>
      </c>
      <c r="R169" s="292">
        <f t="shared" si="85"/>
        <v>-36.227795916847988</v>
      </c>
      <c r="S169" s="292">
        <f t="shared" si="85"/>
        <v>-164.57072960785271</v>
      </c>
      <c r="T169" s="292" t="str">
        <f>IMDIV(IMSUM('Small Signal'!$B$76,IMPRODUCT(M169,'Small Signal'!$B$77)),IMSUM(IMPRODUCT('Small Signal'!$B$80,IMPOWER(M169,2)),IMSUM(IMPRODUCT(M169,'Small Signal'!$B$79),'Small Signal'!$B$78)))</f>
        <v>-0.00619982589102117-0.0020292398832156i</v>
      </c>
      <c r="U169" s="292">
        <f t="shared" si="65"/>
        <v>-43.710427146604729</v>
      </c>
      <c r="V169" s="292">
        <f t="shared" si="66"/>
        <v>-161.87642056967636</v>
      </c>
      <c r="W169" s="292" t="str">
        <f>IMPRODUCT(IMDIV(IMSUM(IMPRODUCT(M169,'Small Signal'!$B$59*'Small Signal'!$B$6*'Small Signal'!$B$51*'Small Signal'!$B$7*'Small Signal'!$B$8),'Small Signal'!$B$59*'Small Signal'!$B$6*'Small Signal'!$B$51),IMSUM(IMSUM(IMPRODUCT(M169,('Small Signal'!$B$5+'Small Signal'!$B$6)*('Small Signal'!$B$58*'Small Signal'!$B$59)+'Small Signal'!$B$5*'Small Signal'!$B$59*('Small Signal'!$B$8+'Small Signal'!$B$9)+'Small Signal'!$B$6*'Small Signal'!$B$59*('Small Signal'!$B$8+'Small Signal'!$B$9)+'Small Signal'!$B$7*'Small Signal'!$B$8*('Small Signal'!$B$5+'Small Signal'!$B$6)),'Small Signal'!$B$6+'Small Signal'!$B$5),IMPRODUCT(IMPOWER(M169,2),'Small Signal'!$B$58*'Small Signal'!$B$59*'Small Signal'!$B$8*'Small Signal'!$B$7*('Small Signal'!$B$5+'Small Signal'!$B$6)+('Small Signal'!$B$5+'Small Signal'!$B$6)*('Small Signal'!$B$9*'Small Signal'!$B$8*'Small Signal'!$B$59*'Small Signal'!$B$7)))),-1)</f>
        <v>-1.3092593162788+0.452131923026523i</v>
      </c>
      <c r="X169" s="292">
        <f t="shared" si="67"/>
        <v>0</v>
      </c>
      <c r="Y169" s="292">
        <f t="shared" si="68"/>
        <v>0</v>
      </c>
      <c r="Z169" s="292" t="str">
        <f t="shared" si="69"/>
        <v>1.93264600131253+0.999275572929326i</v>
      </c>
      <c r="AA169" s="292" t="str">
        <f t="shared" si="70"/>
        <v>0.0425963043117388+0.0187152994564717i</v>
      </c>
      <c r="AB169" s="289">
        <f t="shared" si="86"/>
        <v>-26.646007631647024</v>
      </c>
      <c r="AC169" s="292">
        <f t="shared" si="87"/>
        <v>23.718976699849616</v>
      </c>
      <c r="AD169" s="292" t="str">
        <f t="shared" si="71"/>
        <v>0.00903466393780637-0.000146337980472499i</v>
      </c>
      <c r="AE169" s="289">
        <f t="shared" si="72"/>
        <v>-40.880620699041728</v>
      </c>
      <c r="AF169" s="292">
        <f t="shared" si="73"/>
        <v>-0.92796097260638855</v>
      </c>
      <c r="AH169" s="292" t="str">
        <f t="shared" si="74"/>
        <v>0.00075-0.0040877991289138i</v>
      </c>
      <c r="AI169" s="292">
        <f t="shared" si="75"/>
        <v>0.95</v>
      </c>
      <c r="AJ169" s="292" t="str">
        <f t="shared" si="76"/>
        <v>1000-431671.588013297i</v>
      </c>
      <c r="AK169" s="292" t="str">
        <f t="shared" si="77"/>
        <v>0.000766956009929289-0.00408127686024433i</v>
      </c>
      <c r="AL169" s="292" t="str">
        <f t="shared" si="78"/>
        <v>1.16078697686174-0.178076127194746i</v>
      </c>
      <c r="AM169" s="292" t="str">
        <f t="shared" si="79"/>
        <v>0.019+5.09646699270889i</v>
      </c>
      <c r="AN169" s="292" t="str">
        <f t="shared" si="80"/>
        <v>-0.0148822653526859-0.00410743964374471i</v>
      </c>
      <c r="AO169" s="292">
        <f t="shared" si="88"/>
        <v>-36.227795916847988</v>
      </c>
      <c r="AP169" s="292">
        <f t="shared" si="89"/>
        <v>-164.57072960785271</v>
      </c>
      <c r="AR169" s="292" t="str">
        <f t="shared" si="81"/>
        <v>1.16078697686174-0.178076127194746i</v>
      </c>
      <c r="AS169" s="292" t="str">
        <f t="shared" si="82"/>
        <v>-0.0148822653526859-0.00410743964374471i</v>
      </c>
      <c r="AT169" s="292">
        <f t="shared" si="90"/>
        <v>-36.227795916847988</v>
      </c>
      <c r="AU169" s="292">
        <f t="shared" si="91"/>
        <v>-164.57072960785271</v>
      </c>
    </row>
    <row r="170" spans="6:47" x14ac:dyDescent="0.25">
      <c r="F170" s="292">
        <v>168</v>
      </c>
      <c r="G170" s="293">
        <f t="shared" si="62"/>
        <v>179.70500516368779</v>
      </c>
      <c r="H170" s="293">
        <f t="shared" si="63"/>
        <v>133.07347301079969</v>
      </c>
      <c r="I170" s="294">
        <f t="shared" si="64"/>
        <v>0</v>
      </c>
      <c r="J170" s="292">
        <f t="shared" si="83"/>
        <v>0</v>
      </c>
      <c r="K170" s="292">
        <f t="shared" si="83"/>
        <v>1</v>
      </c>
      <c r="L170" s="292">
        <f>10^('Small Signal'!F170/30)</f>
        <v>398107.17055349716</v>
      </c>
      <c r="M170" s="292" t="str">
        <f t="shared" si="84"/>
        <v>2501381.12470457i</v>
      </c>
      <c r="N170" s="292">
        <f>IF(D$32=1, IF(AND('Small Signal'!$B$63&gt;=1,FCCM=0),U170+0,R170+0), 0)</f>
        <v>0</v>
      </c>
      <c r="O170" s="292">
        <f>IF(D$32=1, IF(AND('Small Signal'!$B$63&gt;=1,FCCM=0),V170,S170), 0)</f>
        <v>0</v>
      </c>
      <c r="P170" s="292">
        <f>IF(AND('Small Signal'!$B$63&gt;=1,FCCM=0),AE170+0,AB170+0)</f>
        <v>-27.737640860684415</v>
      </c>
      <c r="Q170" s="292">
        <f>IF(AND('Small Signal'!$B$63&gt;=1,FCCM=0),AF170,AC170)</f>
        <v>20.64948486336062</v>
      </c>
      <c r="R170" s="292">
        <f t="shared" si="85"/>
        <v>-37.520990000205259</v>
      </c>
      <c r="S170" s="292">
        <f t="shared" si="85"/>
        <v>-165.47731409558202</v>
      </c>
      <c r="T170" s="292" t="str">
        <f>IMDIV(IMSUM('Small Signal'!$B$76,IMPRODUCT(M170,'Small Signal'!$B$77)),IMSUM(IMPRODUCT('Small Signal'!$B$80,IMPOWER(M170,2)),IMSUM(IMPRODUCT(M170,'Small Signal'!$B$79),'Small Signal'!$B$78)))</f>
        <v>-0.00533041581146749-0.00176976245502248i</v>
      </c>
      <c r="U170" s="292">
        <f t="shared" si="65"/>
        <v>-45.010640732326848</v>
      </c>
      <c r="V170" s="292">
        <f t="shared" si="66"/>
        <v>-161.63321003982767</v>
      </c>
      <c r="W170" s="292" t="str">
        <f>IMPRODUCT(IMDIV(IMSUM(IMPRODUCT(M170,'Small Signal'!$B$59*'Small Signal'!$B$6*'Small Signal'!$B$51*'Small Signal'!$B$7*'Small Signal'!$B$8),'Small Signal'!$B$59*'Small Signal'!$B$6*'Small Signal'!$B$51),IMSUM(IMSUM(IMPRODUCT(M170,('Small Signal'!$B$5+'Small Signal'!$B$6)*('Small Signal'!$B$58*'Small Signal'!$B$59)+'Small Signal'!$B$5*'Small Signal'!$B$59*('Small Signal'!$B$8+'Small Signal'!$B$9)+'Small Signal'!$B$6*'Small Signal'!$B$59*('Small Signal'!$B$8+'Small Signal'!$B$9)+'Small Signal'!$B$7*'Small Signal'!$B$8*('Small Signal'!$B$5+'Small Signal'!$B$6)),'Small Signal'!$B$6+'Small Signal'!$B$5),IMPRODUCT(IMPOWER(M170,2),'Small Signal'!$B$58*'Small Signal'!$B$59*'Small Signal'!$B$8*'Small Signal'!$B$7*('Small Signal'!$B$5+'Small Signal'!$B$6)+('Small Signal'!$B$5+'Small Signal'!$B$6)*('Small Signal'!$B$9*'Small Signal'!$B$8*'Small Signal'!$B$59*'Small Signal'!$B$7)))),-1)</f>
        <v>-1.2878624720588+0.478130433344039i</v>
      </c>
      <c r="X170" s="292">
        <f t="shared" si="67"/>
        <v>0</v>
      </c>
      <c r="Y170" s="292">
        <f t="shared" si="68"/>
        <v>0</v>
      </c>
      <c r="Z170" s="292" t="str">
        <f t="shared" si="69"/>
        <v>2.00941625766935+1.00162556478497i</v>
      </c>
      <c r="AA170" s="292" t="str">
        <f t="shared" si="70"/>
        <v>0.0383954937939743+0.0144697758887469i</v>
      </c>
      <c r="AB170" s="289">
        <f t="shared" si="86"/>
        <v>-27.737640860684415</v>
      </c>
      <c r="AC170" s="292">
        <f t="shared" si="87"/>
        <v>20.64948486336062</v>
      </c>
      <c r="AD170" s="292" t="str">
        <f t="shared" si="71"/>
        <v>0.00771101977359374-0.000269423371558766i</v>
      </c>
      <c r="AE170" s="289">
        <f t="shared" si="72"/>
        <v>-42.252465001578756</v>
      </c>
      <c r="AF170" s="292">
        <f t="shared" si="73"/>
        <v>-2.0011030124403626</v>
      </c>
      <c r="AH170" s="292" t="str">
        <f t="shared" si="74"/>
        <v>0.00075-0.00378578733011563i</v>
      </c>
      <c r="AI170" s="292">
        <f t="shared" si="75"/>
        <v>0.95</v>
      </c>
      <c r="AJ170" s="292" t="str">
        <f t="shared" si="76"/>
        <v>1000-399779.142060212i</v>
      </c>
      <c r="AK170" s="292" t="str">
        <f t="shared" si="77"/>
        <v>0.000764458945220599-0.00377975687819695i</v>
      </c>
      <c r="AL170" s="292" t="str">
        <f t="shared" si="78"/>
        <v>1.15637547174136-0.191551421623733i</v>
      </c>
      <c r="AM170" s="292" t="str">
        <f t="shared" si="79"/>
        <v>0.019+5.50303847435005i</v>
      </c>
      <c r="AN170" s="292" t="str">
        <f t="shared" si="80"/>
        <v>-0.0128779751905002-0.00333591137961193i</v>
      </c>
      <c r="AO170" s="292">
        <f t="shared" si="88"/>
        <v>-37.520990000205259</v>
      </c>
      <c r="AP170" s="292">
        <f t="shared" si="89"/>
        <v>-165.47731409558202</v>
      </c>
      <c r="AR170" s="292" t="str">
        <f t="shared" si="81"/>
        <v>1.15637547174136-0.191551421623733i</v>
      </c>
      <c r="AS170" s="292" t="str">
        <f t="shared" si="82"/>
        <v>-0.0128779751905002-0.00333591137961193i</v>
      </c>
      <c r="AT170" s="292">
        <f t="shared" si="90"/>
        <v>-37.520990000205259</v>
      </c>
      <c r="AU170" s="292">
        <f t="shared" si="91"/>
        <v>-165.47731409558202</v>
      </c>
    </row>
    <row r="171" spans="6:47" x14ac:dyDescent="0.25">
      <c r="F171" s="292">
        <v>169</v>
      </c>
      <c r="G171" s="293">
        <f t="shared" si="62"/>
        <v>177.33774456991711</v>
      </c>
      <c r="H171" s="293">
        <f t="shared" si="63"/>
        <v>130.88489274992037</v>
      </c>
      <c r="I171" s="294">
        <f t="shared" si="64"/>
        <v>0</v>
      </c>
      <c r="J171" s="292">
        <f t="shared" si="83"/>
        <v>0</v>
      </c>
      <c r="K171" s="292">
        <f t="shared" si="83"/>
        <v>1</v>
      </c>
      <c r="L171" s="292">
        <f>10^('Small Signal'!F171/30)</f>
        <v>429866.2347082285</v>
      </c>
      <c r="M171" s="292" t="str">
        <f t="shared" si="84"/>
        <v>2700929.20997135i</v>
      </c>
      <c r="N171" s="292">
        <f>IF(D$32=1, IF(AND('Small Signal'!$B$63&gt;=1,FCCM=0),U171+0,R171+0), 0)</f>
        <v>0</v>
      </c>
      <c r="O171" s="292">
        <f>IF(D$32=1, IF(AND('Small Signal'!$B$63&gt;=1,FCCM=0),V171,S171), 0)</f>
        <v>0</v>
      </c>
      <c r="P171" s="292">
        <f>IF(AND('Small Signal'!$B$63&gt;=1,FCCM=0),AE171+0,AB171+0)</f>
        <v>-28.859976681160102</v>
      </c>
      <c r="Q171" s="292">
        <f>IF(AND('Small Signal'!$B$63&gt;=1,FCCM=0),AF171,AC171)</f>
        <v>17.48847285489467</v>
      </c>
      <c r="R171" s="292">
        <f t="shared" si="85"/>
        <v>-38.818016799627664</v>
      </c>
      <c r="S171" s="292">
        <f t="shared" si="85"/>
        <v>-166.30988306467191</v>
      </c>
      <c r="T171" s="292" t="str">
        <f>IMDIV(IMSUM('Small Signal'!$B$76,IMPRODUCT(M171,'Small Signal'!$B$77)),IMSUM(IMPRODUCT('Small Signal'!$B$80,IMPOWER(M171,2)),IMSUM(IMPRODUCT(M171,'Small Signal'!$B$79),'Small Signal'!$B$78)))</f>
        <v>-0.00458136840434007-0.00155162495160831i</v>
      </c>
      <c r="U171" s="292">
        <f t="shared" si="65"/>
        <v>-46.308495432292666</v>
      </c>
      <c r="V171" s="292">
        <f t="shared" si="66"/>
        <v>-161.28970786799263</v>
      </c>
      <c r="W171" s="292" t="str">
        <f>IMPRODUCT(IMDIV(IMSUM(IMPRODUCT(M171,'Small Signal'!$B$59*'Small Signal'!$B$6*'Small Signal'!$B$51*'Small Signal'!$B$7*'Small Signal'!$B$8),'Small Signal'!$B$59*'Small Signal'!$B$6*'Small Signal'!$B$51),IMSUM(IMSUM(IMPRODUCT(M171,('Small Signal'!$B$5+'Small Signal'!$B$6)*('Small Signal'!$B$58*'Small Signal'!$B$59)+'Small Signal'!$B$5*'Small Signal'!$B$59*('Small Signal'!$B$8+'Small Signal'!$B$9)+'Small Signal'!$B$6*'Small Signal'!$B$59*('Small Signal'!$B$8+'Small Signal'!$B$9)+'Small Signal'!$B$7*'Small Signal'!$B$8*('Small Signal'!$B$5+'Small Signal'!$B$6)),'Small Signal'!$B$6+'Small Signal'!$B$5),IMPRODUCT(IMPOWER(M171,2),'Small Signal'!$B$58*'Small Signal'!$B$59*'Small Signal'!$B$8*'Small Signal'!$B$7*('Small Signal'!$B$5+'Small Signal'!$B$6)+('Small Signal'!$B$5+'Small Signal'!$B$6)*('Small Signal'!$B$9*'Small Signal'!$B$8*'Small Signal'!$B$59*'Small Signal'!$B$7)))),-1)</f>
        <v>-1.26378213854475+0.50471904434122i</v>
      </c>
      <c r="X171" s="292">
        <f t="shared" si="67"/>
        <v>0</v>
      </c>
      <c r="Y171" s="292">
        <f t="shared" si="68"/>
        <v>0</v>
      </c>
      <c r="Z171" s="292" t="str">
        <f t="shared" si="69"/>
        <v>2.08609544167182+0.998090134930417i</v>
      </c>
      <c r="AA171" s="292" t="str">
        <f t="shared" si="70"/>
        <v>0.0343912694544691+0.0108359191784715i</v>
      </c>
      <c r="AB171" s="289">
        <f t="shared" si="86"/>
        <v>-28.859976681160102</v>
      </c>
      <c r="AC171" s="292">
        <f t="shared" si="87"/>
        <v>17.48847285489467</v>
      </c>
      <c r="AD171" s="292" t="str">
        <f t="shared" si="71"/>
        <v>0.00657298622224998-0.000351387983250635i</v>
      </c>
      <c r="AE171" s="289">
        <f t="shared" si="72"/>
        <v>-43.632351522856524</v>
      </c>
      <c r="AF171" s="292">
        <f t="shared" si="73"/>
        <v>-3.0600857936654835</v>
      </c>
      <c r="AH171" s="292" t="str">
        <f t="shared" si="74"/>
        <v>0.00075-0.00350608854713279i</v>
      </c>
      <c r="AI171" s="292">
        <f t="shared" si="75"/>
        <v>0.95</v>
      </c>
      <c r="AJ171" s="292" t="str">
        <f t="shared" si="76"/>
        <v>1000-370242.950577223i</v>
      </c>
      <c r="AK171" s="292" t="str">
        <f t="shared" si="77"/>
        <v>0.000762317212594925-0.00350051153096708i</v>
      </c>
      <c r="AL171" s="292" t="str">
        <f t="shared" si="78"/>
        <v>1.15127418548934-0.205920037420569i</v>
      </c>
      <c r="AM171" s="292" t="str">
        <f t="shared" si="79"/>
        <v>0.019+5.94204426193697i</v>
      </c>
      <c r="AN171" s="292" t="str">
        <f t="shared" si="80"/>
        <v>-0.0111322301787648-0.00271171095037522i</v>
      </c>
      <c r="AO171" s="292">
        <f t="shared" si="88"/>
        <v>-38.818016799627664</v>
      </c>
      <c r="AP171" s="292">
        <f t="shared" si="89"/>
        <v>-166.30988306467191</v>
      </c>
      <c r="AR171" s="292" t="str">
        <f t="shared" si="81"/>
        <v>1.15127418548934-0.205920037420569i</v>
      </c>
      <c r="AS171" s="292" t="str">
        <f t="shared" si="82"/>
        <v>-0.0111322301787648-0.00271171095037522i</v>
      </c>
      <c r="AT171" s="292">
        <f t="shared" si="90"/>
        <v>-38.818016799627664</v>
      </c>
      <c r="AU171" s="292">
        <f t="shared" si="91"/>
        <v>-166.30988306467191</v>
      </c>
    </row>
    <row r="172" spans="6:47" x14ac:dyDescent="0.25">
      <c r="F172" s="292">
        <v>170</v>
      </c>
      <c r="G172" s="293">
        <f t="shared" si="62"/>
        <v>174.79501218215077</v>
      </c>
      <c r="H172" s="293">
        <f t="shared" si="63"/>
        <v>128.68695579110201</v>
      </c>
      <c r="I172" s="294">
        <f t="shared" si="64"/>
        <v>0</v>
      </c>
      <c r="J172" s="292">
        <f t="shared" si="83"/>
        <v>0</v>
      </c>
      <c r="K172" s="292">
        <f t="shared" si="83"/>
        <v>1</v>
      </c>
      <c r="L172" s="292">
        <f>10^('Small Signal'!F172/30)</f>
        <v>464158.88336127886</v>
      </c>
      <c r="M172" s="292" t="str">
        <f t="shared" si="84"/>
        <v>2916396.27613247i</v>
      </c>
      <c r="N172" s="292">
        <f>IF(D$32=1, IF(AND('Small Signal'!$B$63&gt;=1,FCCM=0),U172+0,R172+0), 0)</f>
        <v>0</v>
      </c>
      <c r="O172" s="292">
        <f>IF(D$32=1, IF(AND('Small Signal'!$B$63&gt;=1,FCCM=0),V172,S172), 0)</f>
        <v>0</v>
      </c>
      <c r="P172" s="292">
        <f>IF(AND('Small Signal'!$B$63&gt;=1,FCCM=0),AE172+0,AB172+0)</f>
        <v>-30.014449281059129</v>
      </c>
      <c r="Q172" s="292">
        <f>IF(AND('Small Signal'!$B$63&gt;=1,FCCM=0),AF172,AC172)</f>
        <v>14.246752910665403</v>
      </c>
      <c r="R172" s="292">
        <f t="shared" si="85"/>
        <v>-40.118143378902516</v>
      </c>
      <c r="S172" s="292">
        <f t="shared" si="85"/>
        <v>-167.07202711480676</v>
      </c>
      <c r="T172" s="292" t="str">
        <f>IMDIV(IMSUM('Small Signal'!$B$76,IMPRODUCT(M172,'Small Signal'!$B$77)),IMSUM(IMPRODUCT('Small Signal'!$B$80,IMPOWER(M172,2)),IMSUM(IMPRODUCT(M172,'Small Signal'!$B$79),'Small Signal'!$B$78)))</f>
        <v>-0.00393642894378379-0.00136732772853991i</v>
      </c>
      <c r="U172" s="292">
        <f t="shared" si="65"/>
        <v>-47.603237631227564</v>
      </c>
      <c r="V172" s="292">
        <f t="shared" si="66"/>
        <v>-160.84521071952</v>
      </c>
      <c r="W172" s="292" t="str">
        <f>IMPRODUCT(IMDIV(IMSUM(IMPRODUCT(M172,'Small Signal'!$B$59*'Small Signal'!$B$6*'Small Signal'!$B$51*'Small Signal'!$B$7*'Small Signal'!$B$8),'Small Signal'!$B$59*'Small Signal'!$B$6*'Small Signal'!$B$51),IMSUM(IMSUM(IMPRODUCT(M172,('Small Signal'!$B$5+'Small Signal'!$B$6)*('Small Signal'!$B$58*'Small Signal'!$B$59)+'Small Signal'!$B$5*'Small Signal'!$B$59*('Small Signal'!$B$8+'Small Signal'!$B$9)+'Small Signal'!$B$6*'Small Signal'!$B$59*('Small Signal'!$B$8+'Small Signal'!$B$9)+'Small Signal'!$B$7*'Small Signal'!$B$8*('Small Signal'!$B$5+'Small Signal'!$B$6)),'Small Signal'!$B$6+'Small Signal'!$B$5),IMPRODUCT(IMPOWER(M172,2),'Small Signal'!$B$58*'Small Signal'!$B$59*'Small Signal'!$B$8*'Small Signal'!$B$7*('Small Signal'!$B$5+'Small Signal'!$B$6)+('Small Signal'!$B$5+'Small Signal'!$B$6)*('Small Signal'!$B$9*'Small Signal'!$B$8*'Small Signal'!$B$59*'Small Signal'!$B$7)))),-1)</f>
        <v>-1.23681930004094+0.531632781520999i</v>
      </c>
      <c r="X172" s="292">
        <f t="shared" si="67"/>
        <v>0</v>
      </c>
      <c r="Y172" s="292">
        <f t="shared" si="68"/>
        <v>0</v>
      </c>
      <c r="Z172" s="292" t="str">
        <f t="shared" si="69"/>
        <v>2.16179065170171+0.988772356983582i</v>
      </c>
      <c r="AA172" s="292" t="str">
        <f t="shared" si="70"/>
        <v>0.0305992683092654+0.00776937819806539i</v>
      </c>
      <c r="AB172" s="289">
        <f t="shared" si="86"/>
        <v>-30.014449281059129</v>
      </c>
      <c r="AC172" s="292">
        <f t="shared" si="87"/>
        <v>14.246752910665403</v>
      </c>
      <c r="AD172" s="292" t="str">
        <f t="shared" si="71"/>
        <v>0.00559556753448603-0.000401597344504245i</v>
      </c>
      <c r="AE172" s="289">
        <f t="shared" si="72"/>
        <v>-45.020803980924491</v>
      </c>
      <c r="AF172" s="292">
        <f t="shared" si="73"/>
        <v>-4.1051146946401182</v>
      </c>
      <c r="AH172" s="292" t="str">
        <f t="shared" si="74"/>
        <v>0.00075-0.00324705426597755i</v>
      </c>
      <c r="AI172" s="292">
        <f t="shared" si="75"/>
        <v>0.95</v>
      </c>
      <c r="AJ172" s="292" t="str">
        <f t="shared" si="76"/>
        <v>1000-342888.930487229i</v>
      </c>
      <c r="AK172" s="292" t="str">
        <f t="shared" si="77"/>
        <v>0.000760480249606293-0.00324189556078473i</v>
      </c>
      <c r="AL172" s="292" t="str">
        <f t="shared" si="78"/>
        <v>1.14538306038619-0.221209579843394i</v>
      </c>
      <c r="AM172" s="292" t="str">
        <f t="shared" si="79"/>
        <v>0.019+6.41607180749143i</v>
      </c>
      <c r="AN172" s="292" t="str">
        <f t="shared" si="80"/>
        <v>-0.00961484851950068-0.00220703521306523i</v>
      </c>
      <c r="AO172" s="292">
        <f t="shared" si="88"/>
        <v>-40.118143378902516</v>
      </c>
      <c r="AP172" s="292">
        <f t="shared" si="89"/>
        <v>-167.07202711480676</v>
      </c>
      <c r="AR172" s="292" t="str">
        <f t="shared" si="81"/>
        <v>1.14538306038619-0.221209579843394i</v>
      </c>
      <c r="AS172" s="292" t="str">
        <f t="shared" si="82"/>
        <v>-0.00961484851950068-0.00220703521306523i</v>
      </c>
      <c r="AT172" s="292">
        <f t="shared" si="90"/>
        <v>-40.118143378902516</v>
      </c>
      <c r="AU172" s="292">
        <f t="shared" si="91"/>
        <v>-167.07202711480676</v>
      </c>
    </row>
    <row r="173" spans="6:47" x14ac:dyDescent="0.25">
      <c r="F173" s="292">
        <v>171</v>
      </c>
      <c r="G173" s="293">
        <f t="shared" si="62"/>
        <v>172.09344793648452</v>
      </c>
      <c r="H173" s="293">
        <f t="shared" si="63"/>
        <v>126.49255814059072</v>
      </c>
      <c r="I173" s="294">
        <f t="shared" si="64"/>
        <v>0</v>
      </c>
      <c r="J173" s="292">
        <f t="shared" si="83"/>
        <v>0</v>
      </c>
      <c r="K173" s="292">
        <f t="shared" si="83"/>
        <v>1</v>
      </c>
      <c r="L173" s="292">
        <f>10^('Small Signal'!F173/30)</f>
        <v>501187.23362727347</v>
      </c>
      <c r="M173" s="292" t="str">
        <f t="shared" si="84"/>
        <v>3149052.26247287i</v>
      </c>
      <c r="N173" s="292">
        <f>IF(D$32=1, IF(AND('Small Signal'!$B$63&gt;=1,FCCM=0),U173+0,R173+0), 0)</f>
        <v>0</v>
      </c>
      <c r="O173" s="292">
        <f>IF(D$32=1, IF(AND('Small Signal'!$B$63&gt;=1,FCCM=0),V173,S173), 0)</f>
        <v>0</v>
      </c>
      <c r="P173" s="292">
        <f>IF(AND('Small Signal'!$B$63&gt;=1,FCCM=0),AE173+0,AB173+0)</f>
        <v>-31.202248488370543</v>
      </c>
      <c r="Q173" s="292">
        <f>IF(AND('Small Signal'!$B$63&gt;=1,FCCM=0),AF173,AC173)</f>
        <v>10.935930173844369</v>
      </c>
      <c r="R173" s="292">
        <f t="shared" si="85"/>
        <v>-41.420697167100741</v>
      </c>
      <c r="S173" s="292">
        <f t="shared" si="85"/>
        <v>-167.76738660184827</v>
      </c>
      <c r="T173" s="292" t="str">
        <f>IMDIV(IMSUM('Small Signal'!$B$76,IMPRODUCT(M173,'Small Signal'!$B$77)),IMSUM(IMPRODUCT('Small Signal'!$B$80,IMPOWER(M173,2)),IMSUM(IMPRODUCT(M173,'Small Signal'!$B$79),'Small Signal'!$B$78)))</f>
        <v>-0.00338143015509689-0.00121080370368789i</v>
      </c>
      <c r="U173" s="292">
        <f t="shared" si="65"/>
        <v>-48.894064011779157</v>
      </c>
      <c r="V173" s="292">
        <f t="shared" si="66"/>
        <v>-160.29885221577968</v>
      </c>
      <c r="W173" s="292" t="str">
        <f>IMPRODUCT(IMDIV(IMSUM(IMPRODUCT(M173,'Small Signal'!$B$59*'Small Signal'!$B$6*'Small Signal'!$B$51*'Small Signal'!$B$7*'Small Signal'!$B$8),'Small Signal'!$B$59*'Small Signal'!$B$6*'Small Signal'!$B$51),IMSUM(IMSUM(IMPRODUCT(M173,('Small Signal'!$B$5+'Small Signal'!$B$6)*('Small Signal'!$B$58*'Small Signal'!$B$59)+'Small Signal'!$B$5*'Small Signal'!$B$59*('Small Signal'!$B$8+'Small Signal'!$B$9)+'Small Signal'!$B$6*'Small Signal'!$B$59*('Small Signal'!$B$8+'Small Signal'!$B$9)+'Small Signal'!$B$7*'Small Signal'!$B$8*('Small Signal'!$B$5+'Small Signal'!$B$6)),'Small Signal'!$B$6+'Small Signal'!$B$5),IMPRODUCT(IMPOWER(M173,2),'Small Signal'!$B$58*'Small Signal'!$B$59*'Small Signal'!$B$8*'Small Signal'!$B$7*('Small Signal'!$B$5+'Small Signal'!$B$6)+('Small Signal'!$B$5+'Small Signal'!$B$6)*('Small Signal'!$B$9*'Small Signal'!$B$8*'Small Signal'!$B$59*'Small Signal'!$B$7)))),-1)</f>
        <v>-1.20680036627804+0.558554172594874i</v>
      </c>
      <c r="X173" s="292">
        <f t="shared" si="67"/>
        <v>0</v>
      </c>
      <c r="Y173" s="292">
        <f t="shared" si="68"/>
        <v>0</v>
      </c>
      <c r="Z173" s="292" t="str">
        <f t="shared" si="69"/>
        <v>2.23565429473095+0.973939743458085i</v>
      </c>
      <c r="AA173" s="292" t="str">
        <f t="shared" si="70"/>
        <v>0.0270351179904434+0.0052237276764925i</v>
      </c>
      <c r="AB173" s="289">
        <f t="shared" si="86"/>
        <v>-31.202248488370543</v>
      </c>
      <c r="AC173" s="292">
        <f t="shared" si="87"/>
        <v>10.935930173844369</v>
      </c>
      <c r="AD173" s="292" t="str">
        <f t="shared" si="71"/>
        <v>0.00475701061060273-0.000427513569366147i</v>
      </c>
      <c r="AE173" s="289">
        <f t="shared" si="72"/>
        <v>-46.418382019857475</v>
      </c>
      <c r="AF173" s="292">
        <f t="shared" si="73"/>
        <v>-5.1353881246720983</v>
      </c>
      <c r="AH173" s="292" t="str">
        <f t="shared" si="74"/>
        <v>0.00075-0.0030071577669723i</v>
      </c>
      <c r="AI173" s="292">
        <f t="shared" si="75"/>
        <v>0.95</v>
      </c>
      <c r="AJ173" s="292" t="str">
        <f t="shared" si="76"/>
        <v>1000-317555.860192274i</v>
      </c>
      <c r="AK173" s="292" t="str">
        <f t="shared" si="77"/>
        <v>0.00075890468832072-0.00300238517711912i</v>
      </c>
      <c r="AL173" s="292" t="str">
        <f t="shared" si="78"/>
        <v>1.1385901860347-0.237440033298053i</v>
      </c>
      <c r="AM173" s="292" t="str">
        <f t="shared" si="79"/>
        <v>0.019+6.92791497744031i</v>
      </c>
      <c r="AN173" s="292" t="str">
        <f t="shared" si="80"/>
        <v>-0.00829833603660727-0.00179910867636415i</v>
      </c>
      <c r="AO173" s="292">
        <f t="shared" si="88"/>
        <v>-41.420697167100741</v>
      </c>
      <c r="AP173" s="292">
        <f t="shared" si="89"/>
        <v>-167.76738660184827</v>
      </c>
      <c r="AR173" s="292" t="str">
        <f t="shared" si="81"/>
        <v>1.1385901860347-0.237440033298053i</v>
      </c>
      <c r="AS173" s="292" t="str">
        <f t="shared" si="82"/>
        <v>-0.00829833603660727-0.00179910867636415i</v>
      </c>
      <c r="AT173" s="292">
        <f t="shared" si="90"/>
        <v>-41.420697167100741</v>
      </c>
      <c r="AU173" s="292">
        <f t="shared" si="91"/>
        <v>-167.76738660184827</v>
      </c>
    </row>
    <row r="174" spans="6:47" x14ac:dyDescent="0.25">
      <c r="F174" s="292">
        <v>172</v>
      </c>
      <c r="G174" s="293">
        <f t="shared" si="62"/>
        <v>169.25140251693585</v>
      </c>
      <c r="H174" s="293">
        <f t="shared" si="63"/>
        <v>124.31449259179509</v>
      </c>
      <c r="I174" s="294">
        <f t="shared" si="64"/>
        <v>0</v>
      </c>
      <c r="J174" s="292">
        <f t="shared" si="83"/>
        <v>0</v>
      </c>
      <c r="K174" s="292">
        <f t="shared" si="83"/>
        <v>1</v>
      </c>
      <c r="L174" s="292">
        <f>10^('Small Signal'!F174/30)</f>
        <v>541169.52654646419</v>
      </c>
      <c r="M174" s="292" t="str">
        <f t="shared" si="84"/>
        <v>3400268.41789008i</v>
      </c>
      <c r="N174" s="292">
        <f>IF(D$32=1, IF(AND('Small Signal'!$B$63&gt;=1,FCCM=0),U174+0,R174+0), 0)</f>
        <v>0</v>
      </c>
      <c r="O174" s="292">
        <f>IF(D$32=1, IF(AND('Small Signal'!$B$63&gt;=1,FCCM=0),V174,S174), 0)</f>
        <v>0</v>
      </c>
      <c r="P174" s="292">
        <f>IF(AND('Small Signal'!$B$63&gt;=1,FCCM=0),AE174+0,AB174+0)</f>
        <v>-32.424322193160172</v>
      </c>
      <c r="Q174" s="292">
        <f>IF(AND('Small Signal'!$B$63&gt;=1,FCCM=0),AF174,AC174)</f>
        <v>7.5681261712940087</v>
      </c>
      <c r="R174" s="292">
        <f t="shared" si="85"/>
        <v>-42.725059001119007</v>
      </c>
      <c r="S174" s="292">
        <f t="shared" si="85"/>
        <v>-168.39963149509049</v>
      </c>
      <c r="T174" s="292" t="str">
        <f>IMDIV(IMSUM('Small Signal'!$B$76,IMPRODUCT(M174,'Small Signal'!$B$77)),IMSUM(IMPRODUCT('Small Signal'!$B$80,IMPOWER(M174,2)),IMSUM(IMPRODUCT(M174,'Small Signal'!$B$79),'Small Signal'!$B$78)))</f>
        <v>-0.00290405292058507-0.00107714301146059i</v>
      </c>
      <c r="U174" s="292">
        <f t="shared" si="65"/>
        <v>-50.180111305706355</v>
      </c>
      <c r="V174" s="292">
        <f t="shared" si="66"/>
        <v>-159.64966618301065</v>
      </c>
      <c r="W174" s="292" t="str">
        <f>IMPRODUCT(IMDIV(IMSUM(IMPRODUCT(M174,'Small Signal'!$B$59*'Small Signal'!$B$6*'Small Signal'!$B$51*'Small Signal'!$B$7*'Small Signal'!$B$8),'Small Signal'!$B$59*'Small Signal'!$B$6*'Small Signal'!$B$51),IMSUM(IMSUM(IMPRODUCT(M174,('Small Signal'!$B$5+'Small Signal'!$B$6)*('Small Signal'!$B$58*'Small Signal'!$B$59)+'Small Signal'!$B$5*'Small Signal'!$B$59*('Small Signal'!$B$8+'Small Signal'!$B$9)+'Small Signal'!$B$6*'Small Signal'!$B$59*('Small Signal'!$B$8+'Small Signal'!$B$9)+'Small Signal'!$B$7*'Small Signal'!$B$8*('Small Signal'!$B$5+'Small Signal'!$B$6)),'Small Signal'!$B$6+'Small Signal'!$B$5),IMPRODUCT(IMPOWER(M174,2),'Small Signal'!$B$58*'Small Signal'!$B$59*'Small Signal'!$B$8*'Small Signal'!$B$7*('Small Signal'!$B$5+'Small Signal'!$B$6)+('Small Signal'!$B$5+'Small Signal'!$B$6)*('Small Signal'!$B$9*'Small Signal'!$B$8*'Small Signal'!$B$59*'Small Signal'!$B$7)))),-1)</f>
        <v>-1.17359013105723+0.585113390086541i</v>
      </c>
      <c r="X174" s="292">
        <f t="shared" si="67"/>
        <v>0</v>
      </c>
      <c r="Y174" s="292">
        <f t="shared" si="68"/>
        <v>0</v>
      </c>
      <c r="Z174" s="292" t="str">
        <f t="shared" si="69"/>
        <v>2.30692079769563+0.954005857556503i</v>
      </c>
      <c r="AA174" s="292" t="str">
        <f t="shared" si="70"/>
        <v>0.0237128721883641+0.0031505472646873i</v>
      </c>
      <c r="AB174" s="289">
        <f t="shared" si="86"/>
        <v>-32.424322193160172</v>
      </c>
      <c r="AC174" s="292">
        <f t="shared" si="87"/>
        <v>7.5681261712940087</v>
      </c>
      <c r="AD174" s="292" t="str">
        <f t="shared" si="71"/>
        <v>0.0040384186467103-0.000435075841366837i</v>
      </c>
      <c r="AE174" s="289">
        <f t="shared" si="72"/>
        <v>-47.825656431013066</v>
      </c>
      <c r="AF174" s="292">
        <f t="shared" si="73"/>
        <v>-6.1489989331398949</v>
      </c>
      <c r="AH174" s="292" t="str">
        <f t="shared" si="74"/>
        <v>0.00075-0.00278498512643101i</v>
      </c>
      <c r="AI174" s="292">
        <f t="shared" si="75"/>
        <v>0.95</v>
      </c>
      <c r="AJ174" s="292" t="str">
        <f t="shared" si="76"/>
        <v>1000-294094.429351114i</v>
      </c>
      <c r="AK174" s="292" t="str">
        <f t="shared" si="77"/>
        <v>0.000757553331701064-0.00278056910031355i</v>
      </c>
      <c r="AL174" s="292" t="str">
        <f t="shared" si="78"/>
        <v>1.13077131097082-0.254621236641635i</v>
      </c>
      <c r="AM174" s="292" t="str">
        <f t="shared" si="79"/>
        <v>0.019+7.48059051935818i</v>
      </c>
      <c r="AN174" s="292" t="str">
        <f t="shared" si="80"/>
        <v>-0.00715787780456165-0.00146934927774331i</v>
      </c>
      <c r="AO174" s="292">
        <f t="shared" si="88"/>
        <v>-42.725059001119007</v>
      </c>
      <c r="AP174" s="292">
        <f t="shared" si="89"/>
        <v>-168.39963149509049</v>
      </c>
      <c r="AR174" s="292" t="str">
        <f t="shared" si="81"/>
        <v>1.13077131097082-0.254621236641635i</v>
      </c>
      <c r="AS174" s="292" t="str">
        <f t="shared" si="82"/>
        <v>-0.00715787780456165-0.00146934927774331i</v>
      </c>
      <c r="AT174" s="292">
        <f t="shared" si="90"/>
        <v>-42.725059001119007</v>
      </c>
      <c r="AU174" s="292">
        <f t="shared" si="91"/>
        <v>-168.39963149509049</v>
      </c>
    </row>
    <row r="175" spans="6:47" x14ac:dyDescent="0.25">
      <c r="F175" s="292">
        <v>173</v>
      </c>
      <c r="G175" s="293">
        <f t="shared" si="62"/>
        <v>166.28855492704793</v>
      </c>
      <c r="H175" s="293">
        <f t="shared" si="63"/>
        <v>122.16508076765888</v>
      </c>
      <c r="I175" s="294">
        <f t="shared" si="64"/>
        <v>0</v>
      </c>
      <c r="J175" s="292">
        <f t="shared" si="83"/>
        <v>0</v>
      </c>
      <c r="K175" s="292">
        <f t="shared" si="83"/>
        <v>1</v>
      </c>
      <c r="L175" s="292">
        <f>10^('Small Signal'!F175/30)</f>
        <v>584341.41337351827</v>
      </c>
      <c r="M175" s="292" t="str">
        <f t="shared" si="84"/>
        <v>3671525.38288504i</v>
      </c>
      <c r="N175" s="292">
        <f>IF(D$32=1, IF(AND('Small Signal'!$B$63&gt;=1,FCCM=0),U175+0,R175+0), 0)</f>
        <v>0</v>
      </c>
      <c r="O175" s="292">
        <f>IF(D$32=1, IF(AND('Small Signal'!$B$63&gt;=1,FCCM=0),V175,S175), 0)</f>
        <v>0</v>
      </c>
      <c r="P175" s="292">
        <f>IF(AND('Small Signal'!$B$63&gt;=1,FCCM=0),AE175+0,AB175+0)</f>
        <v>-33.681386268673613</v>
      </c>
      <c r="Q175" s="292">
        <f>IF(AND('Small Signal'!$B$63&gt;=1,FCCM=0),AF175,AC175)</f>
        <v>4.1557509565827386</v>
      </c>
      <c r="R175" s="292">
        <f t="shared" si="85"/>
        <v>-44.030656927584729</v>
      </c>
      <c r="S175" s="292">
        <f t="shared" si="85"/>
        <v>-168.97245432275233</v>
      </c>
      <c r="T175" s="292" t="str">
        <f>IMDIV(IMSUM('Small Signal'!$B$76,IMPRODUCT(M175,'Small Signal'!$B$77)),IMSUM(IMPRODUCT('Small Signal'!$B$80,IMPOWER(M175,2)),IMSUM(IMPRODUCT(M175,'Small Signal'!$B$79),'Small Signal'!$B$78)))</f>
        <v>-0.00249360645564792-0.000962369401088851i</v>
      </c>
      <c r="U175" s="292">
        <f t="shared" si="65"/>
        <v>-51.460446926747949</v>
      </c>
      <c r="V175" s="292">
        <f t="shared" si="66"/>
        <v>-158.8966651960406</v>
      </c>
      <c r="W175" s="292" t="str">
        <f>IMPRODUCT(IMDIV(IMSUM(IMPRODUCT(M175,'Small Signal'!$B$59*'Small Signal'!$B$6*'Small Signal'!$B$51*'Small Signal'!$B$7*'Small Signal'!$B$8),'Small Signal'!$B$59*'Small Signal'!$B$6*'Small Signal'!$B$51),IMSUM(IMSUM(IMPRODUCT(M175,('Small Signal'!$B$5+'Small Signal'!$B$6)*('Small Signal'!$B$58*'Small Signal'!$B$59)+'Small Signal'!$B$5*'Small Signal'!$B$59*('Small Signal'!$B$8+'Small Signal'!$B$9)+'Small Signal'!$B$6*'Small Signal'!$B$59*('Small Signal'!$B$8+'Small Signal'!$B$9)+'Small Signal'!$B$7*'Small Signal'!$B$8*('Small Signal'!$B$5+'Small Signal'!$B$6)),'Small Signal'!$B$6+'Small Signal'!$B$5),IMPRODUCT(IMPOWER(M175,2),'Small Signal'!$B$58*'Small Signal'!$B$59*'Small Signal'!$B$8*'Small Signal'!$B$7*('Small Signal'!$B$5+'Small Signal'!$B$6)+('Small Signal'!$B$5+'Small Signal'!$B$6)*('Small Signal'!$B$9*'Small Signal'!$B$8*'Small Signal'!$B$59*'Small Signal'!$B$7)))),-1)</f>
        <v>-1.13710599984781+0.610891685458666i</v>
      </c>
      <c r="X175" s="292">
        <f t="shared" si="67"/>
        <v>0</v>
      </c>
      <c r="Y175" s="292">
        <f t="shared" si="68"/>
        <v>0</v>
      </c>
      <c r="Z175" s="292" t="str">
        <f t="shared" si="69"/>
        <v>2.37493571793258+0.929503079444233i</v>
      </c>
      <c r="AA175" s="292" t="str">
        <f t="shared" si="70"/>
        <v>0.0206436891136552+0.0014999497493137i</v>
      </c>
      <c r="AB175" s="289">
        <f t="shared" si="86"/>
        <v>-33.681386268673613</v>
      </c>
      <c r="AC175" s="292">
        <f t="shared" si="87"/>
        <v>4.1557509565827386</v>
      </c>
      <c r="AD175" s="292" t="str">
        <f t="shared" si="71"/>
        <v>0.0034233983274415-0.000429007430513292i</v>
      </c>
      <c r="AE175" s="289">
        <f t="shared" si="72"/>
        <v>-49.243178997559056</v>
      </c>
      <c r="AF175" s="292">
        <f t="shared" si="73"/>
        <v>-7.142856511140943</v>
      </c>
      <c r="AH175" s="292" t="str">
        <f t="shared" si="74"/>
        <v>0.00075-0.0025792268831479i</v>
      </c>
      <c r="AI175" s="292">
        <f t="shared" si="75"/>
        <v>0.95</v>
      </c>
      <c r="AJ175" s="292" t="str">
        <f t="shared" si="76"/>
        <v>1000-272366.358860418i</v>
      </c>
      <c r="AK175" s="292" t="str">
        <f t="shared" si="77"/>
        <v>0.00075639427560528-0.00257514026326939i</v>
      </c>
      <c r="AL175" s="292" t="str">
        <f t="shared" si="78"/>
        <v>1.12178968538786-0.272749910960963i</v>
      </c>
      <c r="AM175" s="292" t="str">
        <f t="shared" si="79"/>
        <v>0.019+8.07735584234709i</v>
      </c>
      <c r="AN175" s="292" t="str">
        <f t="shared" si="80"/>
        <v>-0.00617124932644966-0.00120264864744931i</v>
      </c>
      <c r="AO175" s="292">
        <f t="shared" si="88"/>
        <v>-44.030656927584729</v>
      </c>
      <c r="AP175" s="292">
        <f t="shared" si="89"/>
        <v>-168.97245432275233</v>
      </c>
      <c r="AR175" s="292" t="str">
        <f t="shared" si="81"/>
        <v>1.12178968538786-0.272749910960963i</v>
      </c>
      <c r="AS175" s="292" t="str">
        <f t="shared" si="82"/>
        <v>-0.00617124932644966-0.00120264864744931i</v>
      </c>
      <c r="AT175" s="292">
        <f t="shared" si="90"/>
        <v>-44.030656927584729</v>
      </c>
      <c r="AU175" s="292">
        <f t="shared" si="91"/>
        <v>-168.97245432275233</v>
      </c>
    </row>
    <row r="176" spans="6:47" x14ac:dyDescent="0.25">
      <c r="F176" s="292">
        <v>174</v>
      </c>
      <c r="G176" s="293">
        <f t="shared" si="62"/>
        <v>163.22553758579971</v>
      </c>
      <c r="H176" s="293">
        <f t="shared" si="63"/>
        <v>120.05583777975045</v>
      </c>
      <c r="I176" s="294">
        <f t="shared" si="64"/>
        <v>0</v>
      </c>
      <c r="J176" s="292">
        <f t="shared" si="83"/>
        <v>0</v>
      </c>
      <c r="K176" s="292">
        <f t="shared" si="83"/>
        <v>1</v>
      </c>
      <c r="L176" s="292">
        <f>10^('Small Signal'!F176/30)</f>
        <v>630957.34448019415</v>
      </c>
      <c r="M176" s="292" t="str">
        <f t="shared" si="84"/>
        <v>3964421.916295i</v>
      </c>
      <c r="N176" s="292">
        <f>IF(D$32=1, IF(AND('Small Signal'!$B$63&gt;=1,FCCM=0),U176+0,R176+0), 0)</f>
        <v>0</v>
      </c>
      <c r="O176" s="292">
        <f>IF(D$32=1, IF(AND('Small Signal'!$B$63&gt;=1,FCCM=0),V176,S176), 0)</f>
        <v>0</v>
      </c>
      <c r="P176" s="292">
        <f>IF(AND('Small Signal'!$B$63&gt;=1,FCCM=0),AE176+0,AB176+0)</f>
        <v>-34.973938361599153</v>
      </c>
      <c r="Q176" s="292">
        <f>IF(AND('Small Signal'!$B$63&gt;=1,FCCM=0),AF176,AC176)</f>
        <v>0.71133027074314559</v>
      </c>
      <c r="R176" s="292">
        <f t="shared" si="85"/>
        <v>-45.336961105347712</v>
      </c>
      <c r="S176" s="292">
        <f t="shared" si="85"/>
        <v>-169.48957431136282</v>
      </c>
      <c r="T176" s="292" t="str">
        <f>IMDIV(IMSUM('Small Signal'!$B$76,IMPRODUCT(M176,'Small Signal'!$B$77)),IMSUM(IMPRODUCT('Small Signal'!$B$80,IMPOWER(M176,2)),IMSUM(IMPRODUCT(M176,'Small Signal'!$B$79),'Small Signal'!$B$78)))</f>
        <v>-0.00214082879202314-0.00086325916043803i</v>
      </c>
      <c r="U176" s="292">
        <f t="shared" si="65"/>
        <v>-52.734060905516593</v>
      </c>
      <c r="V176" s="292">
        <f t="shared" si="66"/>
        <v>-158.03893541820634</v>
      </c>
      <c r="W176" s="292" t="str">
        <f>IMPRODUCT(IMDIV(IMSUM(IMPRODUCT(M176,'Small Signal'!$B$59*'Small Signal'!$B$6*'Small Signal'!$B$51*'Small Signal'!$B$7*'Small Signal'!$B$8),'Small Signal'!$B$59*'Small Signal'!$B$6*'Small Signal'!$B$51),IMSUM(IMSUM(IMPRODUCT(M176,('Small Signal'!$B$5+'Small Signal'!$B$6)*('Small Signal'!$B$58*'Small Signal'!$B$59)+'Small Signal'!$B$5*'Small Signal'!$B$59*('Small Signal'!$B$8+'Small Signal'!$B$9)+'Small Signal'!$B$6*'Small Signal'!$B$59*('Small Signal'!$B$8+'Small Signal'!$B$9)+'Small Signal'!$B$7*'Small Signal'!$B$8*('Small Signal'!$B$5+'Small Signal'!$B$6)),'Small Signal'!$B$6+'Small Signal'!$B$5),IMPRODUCT(IMPOWER(M176,2),'Small Signal'!$B$58*'Small Signal'!$B$59*'Small Signal'!$B$8*'Small Signal'!$B$7*('Small Signal'!$B$5+'Small Signal'!$B$6)+('Small Signal'!$B$5+'Small Signal'!$B$6)*('Small Signal'!$B$9*'Small Signal'!$B$8*'Small Signal'!$B$59*'Small Signal'!$B$7)))),-1)</f>
        <v>-1.09733262663373+0.635428857079208i</v>
      </c>
      <c r="X176" s="292">
        <f t="shared" si="67"/>
        <v>0</v>
      </c>
      <c r="Y176" s="292">
        <f t="shared" si="68"/>
        <v>0</v>
      </c>
      <c r="Z176" s="292" t="str">
        <f t="shared" si="69"/>
        <v>2.43917518344538+0.901049742792032i</v>
      </c>
      <c r="AA176" s="292" t="str">
        <f t="shared" si="70"/>
        <v>0.0178348561730212+0.00022143210236672i</v>
      </c>
      <c r="AB176" s="289">
        <f t="shared" si="86"/>
        <v>-34.973938361599153</v>
      </c>
      <c r="AC176" s="292">
        <f t="shared" si="87"/>
        <v>0.71133027074314559</v>
      </c>
      <c r="AD176" s="292" t="str">
        <f t="shared" si="71"/>
        <v>0.00289774106320416-0.000413061950528433i</v>
      </c>
      <c r="AE176" s="289">
        <f t="shared" si="72"/>
        <v>-50.671446984837843</v>
      </c>
      <c r="AF176" s="292">
        <f t="shared" si="73"/>
        <v>-8.1126416797322474</v>
      </c>
      <c r="AH176" s="292" t="str">
        <f t="shared" si="74"/>
        <v>0.00075-0.00238867032057652i</v>
      </c>
      <c r="AI176" s="292">
        <f t="shared" si="75"/>
        <v>0.95</v>
      </c>
      <c r="AJ176" s="292" t="str">
        <f t="shared" si="76"/>
        <v>1000-252243.585852881i</v>
      </c>
      <c r="AK176" s="292" t="str">
        <f t="shared" si="77"/>
        <v>0.0007554001556904-0.0023848881233143i</v>
      </c>
      <c r="AL176" s="292" t="str">
        <f t="shared" si="78"/>
        <v>1.11149637937354-0.291806230652925i</v>
      </c>
      <c r="AM176" s="292" t="str">
        <f t="shared" si="79"/>
        <v>0.019+8.721728215849i</v>
      </c>
      <c r="AN176" s="292" t="str">
        <f t="shared" si="80"/>
        <v>-0.00531867451198034-0.000986759132399433i</v>
      </c>
      <c r="AO176" s="292">
        <f t="shared" si="88"/>
        <v>-45.336961105347712</v>
      </c>
      <c r="AP176" s="292">
        <f t="shared" si="89"/>
        <v>-169.48957431136282</v>
      </c>
      <c r="AR176" s="292" t="str">
        <f t="shared" si="81"/>
        <v>1.11149637937354-0.291806230652925i</v>
      </c>
      <c r="AS176" s="292" t="str">
        <f t="shared" si="82"/>
        <v>-0.00531867451198034-0.000986759132399433i</v>
      </c>
      <c r="AT176" s="292">
        <f t="shared" si="90"/>
        <v>-45.336961105347712</v>
      </c>
      <c r="AU176" s="292">
        <f t="shared" si="91"/>
        <v>-169.48957431136282</v>
      </c>
    </row>
    <row r="177" spans="6:47" x14ac:dyDescent="0.25">
      <c r="F177" s="292">
        <v>175</v>
      </c>
      <c r="G177" s="293">
        <f t="shared" si="62"/>
        <v>160.0835767686437</v>
      </c>
      <c r="H177" s="293">
        <f t="shared" si="63"/>
        <v>117.9971907491924</v>
      </c>
      <c r="I177" s="294">
        <f t="shared" si="64"/>
        <v>0</v>
      </c>
      <c r="J177" s="292">
        <f t="shared" si="83"/>
        <v>0</v>
      </c>
      <c r="K177" s="292">
        <f t="shared" si="83"/>
        <v>0</v>
      </c>
      <c r="L177" s="292">
        <f>10^('Small Signal'!F177/30)</f>
        <v>681292.06905796123</v>
      </c>
      <c r="M177" s="292" t="str">
        <f t="shared" si="84"/>
        <v>4280684.31820296i</v>
      </c>
      <c r="N177" s="292">
        <f>IF(D$32=1, IF(AND('Small Signal'!$B$63&gt;=1,FCCM=0),U177+0,R177+0), 0)</f>
        <v>0</v>
      </c>
      <c r="O177" s="292">
        <f>IF(D$32=1, IF(AND('Small Signal'!$B$63&gt;=1,FCCM=0),V177,S177), 0)</f>
        <v>0</v>
      </c>
      <c r="P177" s="292">
        <f>IF(AND('Small Signal'!$B$63&gt;=1,FCCM=0),AE177+0,AB177+0)</f>
        <v>-36.302272028828156</v>
      </c>
      <c r="Q177" s="292">
        <f>IF(AND('Small Signal'!$B$63&gt;=1,FCCM=0),AF177,AC177)</f>
        <v>-2.7526158225885307</v>
      </c>
      <c r="R177" s="292">
        <f t="shared" si="85"/>
        <v>-46.643480117095805</v>
      </c>
      <c r="S177" s="292">
        <f t="shared" si="85"/>
        <v>-169.95475058233558</v>
      </c>
      <c r="T177" s="292" t="str">
        <f>IMDIV(IMSUM('Small Signal'!$B$76,IMPRODUCT(M177,'Small Signal'!$B$77)),IMSUM(IMPRODUCT('Small Signal'!$B$80,IMPOWER(M177,2)),IMSUM(IMPRODUCT(M177,'Small Signal'!$B$79),'Small Signal'!$B$78)))</f>
        <v>-0.00183770742084331-0.000777194815393577i</v>
      </c>
      <c r="U177" s="292">
        <f t="shared" si="65"/>
        <v>-53.999859668917964</v>
      </c>
      <c r="V177" s="292">
        <f t="shared" si="66"/>
        <v>-157.07574835447252</v>
      </c>
      <c r="W177" s="292" t="str">
        <f>IMPRODUCT(IMDIV(IMSUM(IMPRODUCT(M177,'Small Signal'!$B$59*'Small Signal'!$B$6*'Small Signal'!$B$51*'Small Signal'!$B$7*'Small Signal'!$B$8),'Small Signal'!$B$59*'Small Signal'!$B$6*'Small Signal'!$B$51),IMSUM(IMSUM(IMPRODUCT(M177,('Small Signal'!$B$5+'Small Signal'!$B$6)*('Small Signal'!$B$58*'Small Signal'!$B$59)+'Small Signal'!$B$5*'Small Signal'!$B$59*('Small Signal'!$B$8+'Small Signal'!$B$9)+'Small Signal'!$B$6*'Small Signal'!$B$59*('Small Signal'!$B$8+'Small Signal'!$B$9)+'Small Signal'!$B$7*'Small Signal'!$B$8*('Small Signal'!$B$5+'Small Signal'!$B$6)),'Small Signal'!$B$6+'Small Signal'!$B$5),IMPRODUCT(IMPOWER(M177,2),'Small Signal'!$B$58*'Small Signal'!$B$59*'Small Signal'!$B$8*'Small Signal'!$B$7*('Small Signal'!$B$5+'Small Signal'!$B$6)+('Small Signal'!$B$5+'Small Signal'!$B$6)*('Small Signal'!$B$9*'Small Signal'!$B$8*'Small Signal'!$B$59*'Small Signal'!$B$7)))),-1)</f>
        <v>-1.05433574086037+0.658235268995891i</v>
      </c>
      <c r="X177" s="292">
        <f t="shared" si="67"/>
        <v>0</v>
      </c>
      <c r="Y177" s="292">
        <f t="shared" si="68"/>
        <v>0</v>
      </c>
      <c r="Z177" s="292" t="str">
        <f t="shared" si="69"/>
        <v>2.49925496627183+0.869315189716034i</v>
      </c>
      <c r="AA177" s="292" t="str">
        <f t="shared" si="70"/>
        <v>0.015289209025063-0.000735093009461331i</v>
      </c>
      <c r="AB177" s="289">
        <f t="shared" si="86"/>
        <v>-36.302272028828156</v>
      </c>
      <c r="AC177" s="292">
        <f t="shared" si="87"/>
        <v>-2.7526158225885307</v>
      </c>
      <c r="AD177" s="292" t="str">
        <f t="shared" si="71"/>
        <v>0.00244913765341223-0.000390219567013716i</v>
      </c>
      <c r="AE177" s="289">
        <f t="shared" si="72"/>
        <v>-52.110862898116793</v>
      </c>
      <c r="AF177" s="292">
        <f t="shared" si="73"/>
        <v>-9.0528080201373466</v>
      </c>
      <c r="AH177" s="292" t="str">
        <f t="shared" si="74"/>
        <v>0.00075-0.00221219231921133i</v>
      </c>
      <c r="AI177" s="292">
        <f t="shared" si="75"/>
        <v>0.95</v>
      </c>
      <c r="AJ177" s="292" t="str">
        <f t="shared" si="76"/>
        <v>1000-233607.508908716i</v>
      </c>
      <c r="AK177" s="292" t="str">
        <f t="shared" si="77"/>
        <v>0.00075454750145747-0.00220869153977122i</v>
      </c>
      <c r="AL177" s="292" t="str">
        <f t="shared" si="78"/>
        <v>1.09973125087155-0.311749961275215i</v>
      </c>
      <c r="AM177" s="292" t="str">
        <f t="shared" si="79"/>
        <v>0.019+9.41750550004651i</v>
      </c>
      <c r="AN177" s="292" t="str">
        <f t="shared" si="80"/>
        <v>-0.00458265154848155-0.000811777310697381i</v>
      </c>
      <c r="AO177" s="292">
        <f t="shared" si="88"/>
        <v>-46.643480117095805</v>
      </c>
      <c r="AP177" s="292">
        <f t="shared" si="89"/>
        <v>-169.95475058233558</v>
      </c>
      <c r="AR177" s="292" t="str">
        <f t="shared" si="81"/>
        <v>1.09973125087155-0.311749961275215i</v>
      </c>
      <c r="AS177" s="292" t="str">
        <f t="shared" si="82"/>
        <v>-0.00458265154848155-0.000811777310697381i</v>
      </c>
      <c r="AT177" s="292">
        <f t="shared" si="90"/>
        <v>-46.643480117095805</v>
      </c>
      <c r="AU177" s="292">
        <f t="shared" si="91"/>
        <v>-169.95475058233558</v>
      </c>
    </row>
    <row r="178" spans="6:47" x14ac:dyDescent="0.25">
      <c r="F178" s="292">
        <v>176</v>
      </c>
      <c r="G178" s="293">
        <f t="shared" si="62"/>
        <v>156.8841508034794</v>
      </c>
      <c r="H178" s="293">
        <f t="shared" si="63"/>
        <v>115.99826595217763</v>
      </c>
      <c r="I178" s="294">
        <f t="shared" si="64"/>
        <v>0</v>
      </c>
      <c r="J178" s="292">
        <f t="shared" si="83"/>
        <v>0</v>
      </c>
      <c r="K178" s="292">
        <f t="shared" si="83"/>
        <v>0</v>
      </c>
      <c r="L178" s="292">
        <f>10^('Small Signal'!F178/30)</f>
        <v>735642.25445964152</v>
      </c>
      <c r="M178" s="292" t="str">
        <f t="shared" si="84"/>
        <v>4622176.60456129i</v>
      </c>
      <c r="N178" s="292">
        <f>IF(D$32=1, IF(AND('Small Signal'!$B$63&gt;=1,FCCM=0),U178+0,R178+0), 0)</f>
        <v>0</v>
      </c>
      <c r="O178" s="292">
        <f>IF(D$32=1, IF(AND('Small Signal'!$B$63&gt;=1,FCCM=0),V178,S178), 0)</f>
        <v>0</v>
      </c>
      <c r="P178" s="292">
        <f>IF(AND('Small Signal'!$B$63&gt;=1,FCCM=0),AE178+0,AB178+0)</f>
        <v>-37.66648840634182</v>
      </c>
      <c r="Q178" s="292">
        <f>IF(AND('Small Signal'!$B$63&gt;=1,FCCM=0),AF178,AC178)</f>
        <v>-6.2236550400487776</v>
      </c>
      <c r="R178" s="292">
        <f t="shared" si="85"/>
        <v>-47.949758967385392</v>
      </c>
      <c r="S178" s="292">
        <f t="shared" si="85"/>
        <v>-170.37180193105038</v>
      </c>
      <c r="T178" s="292" t="str">
        <f>IMDIV(IMSUM('Small Signal'!$B$76,IMPRODUCT(M178,'Small Signal'!$B$77)),IMSUM(IMPRODUCT('Small Signal'!$B$80,IMPOWER(M178,2)),IMSUM(IMPRODUCT(M178,'Small Signal'!$B$79),'Small Signal'!$B$78)))</f>
        <v>-0.00157731930123382-0.000702047148999468i</v>
      </c>
      <c r="U178" s="292">
        <f t="shared" si="65"/>
        <v>-55.256662332697466</v>
      </c>
      <c r="V178" s="292">
        <f t="shared" si="66"/>
        <v>-156.00668943521313</v>
      </c>
      <c r="W178" s="292" t="str">
        <f>IMPRODUCT(IMDIV(IMSUM(IMPRODUCT(M178,'Small Signal'!$B$59*'Small Signal'!$B$6*'Small Signal'!$B$51*'Small Signal'!$B$7*'Small Signal'!$B$8),'Small Signal'!$B$59*'Small Signal'!$B$6*'Small Signal'!$B$51),IMSUM(IMSUM(IMPRODUCT(M178,('Small Signal'!$B$5+'Small Signal'!$B$6)*('Small Signal'!$B$58*'Small Signal'!$B$59)+'Small Signal'!$B$5*'Small Signal'!$B$59*('Small Signal'!$B$8+'Small Signal'!$B$9)+'Small Signal'!$B$6*'Small Signal'!$B$59*('Small Signal'!$B$8+'Small Signal'!$B$9)+'Small Signal'!$B$7*'Small Signal'!$B$8*('Small Signal'!$B$5+'Small Signal'!$B$6)),'Small Signal'!$B$6+'Small Signal'!$B$5),IMPRODUCT(IMPOWER(M178,2),'Small Signal'!$B$58*'Small Signal'!$B$59*'Small Signal'!$B$8*'Small Signal'!$B$7*('Small Signal'!$B$5+'Small Signal'!$B$6)+('Small Signal'!$B$5+'Small Signal'!$B$6)*('Small Signal'!$B$9*'Small Signal'!$B$8*'Small Signal'!$B$59*'Small Signal'!$B$7)))),-1)</f>
        <v>-1.0082736403636+0.67880853992018i</v>
      </c>
      <c r="X178" s="292">
        <f t="shared" si="67"/>
        <v>0</v>
      </c>
      <c r="Y178" s="292">
        <f t="shared" si="68"/>
        <v>0</v>
      </c>
      <c r="Z178" s="292" t="str">
        <f t="shared" si="69"/>
        <v>2.55492978457627+0.834986052764507i</v>
      </c>
      <c r="AA178" s="292" t="str">
        <f t="shared" si="70"/>
        <v>0.0130049414639999-0.00141822155850815i</v>
      </c>
      <c r="AB178" s="289">
        <f t="shared" si="86"/>
        <v>-37.66648840634182</v>
      </c>
      <c r="AC178" s="292">
        <f t="shared" si="87"/>
        <v>-6.2236550400487776</v>
      </c>
      <c r="AD178" s="292" t="str">
        <f t="shared" si="71"/>
        <v>0.00206692507403825-0.000362842177229868i</v>
      </c>
      <c r="AE178" s="289">
        <f t="shared" si="72"/>
        <v>-53.561690887422358</v>
      </c>
      <c r="AF178" s="292">
        <f t="shared" si="73"/>
        <v>-9.9566436085642547</v>
      </c>
      <c r="AH178" s="292" t="str">
        <f t="shared" si="74"/>
        <v>0.00075-0.00204875273704428i</v>
      </c>
      <c r="AI178" s="292">
        <f t="shared" si="75"/>
        <v>0.95</v>
      </c>
      <c r="AJ178" s="292" t="str">
        <f t="shared" si="76"/>
        <v>1000-216348.289031876i</v>
      </c>
      <c r="AK178" s="292" t="str">
        <f t="shared" si="77"/>
        <v>0.000753816182198202-0.00204551217590755i</v>
      </c>
      <c r="AL178" s="292" t="str">
        <f t="shared" si="78"/>
        <v>1.08632476454929-0.332516235529479i</v>
      </c>
      <c r="AM178" s="292" t="str">
        <f t="shared" si="79"/>
        <v>0.019+10.1687885300348i</v>
      </c>
      <c r="AN178" s="292" t="str">
        <f t="shared" si="80"/>
        <v>-0.00394776248718565-0.000669712680570288i</v>
      </c>
      <c r="AO178" s="292">
        <f t="shared" si="88"/>
        <v>-47.949758967385392</v>
      </c>
      <c r="AP178" s="292">
        <f t="shared" si="89"/>
        <v>-170.37180193105038</v>
      </c>
      <c r="AR178" s="292" t="str">
        <f t="shared" si="81"/>
        <v>1.08632476454929-0.332516235529479i</v>
      </c>
      <c r="AS178" s="292" t="str">
        <f t="shared" si="82"/>
        <v>-0.00394776248718565-0.000669712680570288i</v>
      </c>
      <c r="AT178" s="292">
        <f t="shared" si="90"/>
        <v>-47.949758967385392</v>
      </c>
      <c r="AU178" s="292">
        <f t="shared" si="91"/>
        <v>-170.37180193105038</v>
      </c>
    </row>
    <row r="179" spans="6:47" x14ac:dyDescent="0.25">
      <c r="F179" s="292">
        <v>177</v>
      </c>
      <c r="G179" s="293">
        <f t="shared" si="62"/>
        <v>153.64866425672437</v>
      </c>
      <c r="H179" s="293">
        <f t="shared" si="63"/>
        <v>114.06675171166893</v>
      </c>
      <c r="I179" s="294">
        <f t="shared" si="64"/>
        <v>0</v>
      </c>
      <c r="J179" s="292">
        <f t="shared" si="83"/>
        <v>0</v>
      </c>
      <c r="K179" s="292">
        <f t="shared" si="83"/>
        <v>0</v>
      </c>
      <c r="L179" s="292">
        <f>10^('Small Signal'!F179/30)</f>
        <v>794328.23472428333</v>
      </c>
      <c r="M179" s="292" t="str">
        <f t="shared" si="84"/>
        <v>4990911.49349752i</v>
      </c>
      <c r="N179" s="292">
        <f>IF(D$32=1, IF(AND('Small Signal'!$B$63&gt;=1,FCCM=0),U179+0,R179+0), 0)</f>
        <v>0</v>
      </c>
      <c r="O179" s="292">
        <f>IF(D$32=1, IF(AND('Small Signal'!$B$63&gt;=1,FCCM=0),V179,S179), 0)</f>
        <v>0</v>
      </c>
      <c r="P179" s="292">
        <f>IF(AND('Small Signal'!$B$63&gt;=1,FCCM=0),AE179+0,AB179+0)</f>
        <v>-39.066503777180912</v>
      </c>
      <c r="Q179" s="292">
        <f>IF(AND('Small Signal'!$B$63&gt;=1,FCCM=0),AF179,AC179)</f>
        <v>-9.6895037836990774</v>
      </c>
      <c r="R179" s="292">
        <f t="shared" si="85"/>
        <v>-49.255379003136895</v>
      </c>
      <c r="S179" s="292">
        <f t="shared" si="85"/>
        <v>-170.74463026119022</v>
      </c>
      <c r="T179" s="292" t="str">
        <f>IMDIV(IMSUM('Small Signal'!$B$76,IMPRODUCT(M179,'Small Signal'!$B$77)),IMSUM(IMPRODUCT('Small Signal'!$B$80,IMPOWER(M179,2)),IMSUM(IMPRODUCT(M179,'Small Signal'!$B$79),'Small Signal'!$B$78)))</f>
        <v>-0.0013536890414904-0.000636080202755511i</v>
      </c>
      <c r="U179" s="292">
        <f t="shared" si="65"/>
        <v>-56.503200291304978</v>
      </c>
      <c r="V179" s="292">
        <f t="shared" si="66"/>
        <v>-154.83180227024201</v>
      </c>
      <c r="W179" s="292" t="str">
        <f>IMPRODUCT(IMDIV(IMSUM(IMPRODUCT(M179,'Small Signal'!$B$59*'Small Signal'!$B$6*'Small Signal'!$B$51*'Small Signal'!$B$7*'Small Signal'!$B$8),'Small Signal'!$B$59*'Small Signal'!$B$6*'Small Signal'!$B$51),IMSUM(IMSUM(IMPRODUCT(M179,('Small Signal'!$B$5+'Small Signal'!$B$6)*('Small Signal'!$B$58*'Small Signal'!$B$59)+'Small Signal'!$B$5*'Small Signal'!$B$59*('Small Signal'!$B$8+'Small Signal'!$B$9)+'Small Signal'!$B$6*'Small Signal'!$B$59*('Small Signal'!$B$8+'Small Signal'!$B$9)+'Small Signal'!$B$7*'Small Signal'!$B$8*('Small Signal'!$B$5+'Small Signal'!$B$6)),'Small Signal'!$B$6+'Small Signal'!$B$5),IMPRODUCT(IMPOWER(M179,2),'Small Signal'!$B$58*'Small Signal'!$B$59*'Small Signal'!$B$8*'Small Signal'!$B$7*('Small Signal'!$B$5+'Small Signal'!$B$6)+('Small Signal'!$B$5+'Small Signal'!$B$6)*('Small Signal'!$B$9*'Small Signal'!$B$8*'Small Signal'!$B$59*'Small Signal'!$B$7)))),-1)</f>
        <v>-0.959404661610788+0.696654460579588i</v>
      </c>
      <c r="X179" s="292">
        <f t="shared" si="67"/>
        <v>0</v>
      </c>
      <c r="Y179" s="292">
        <f t="shared" si="68"/>
        <v>0</v>
      </c>
      <c r="Z179" s="292" t="str">
        <f t="shared" si="69"/>
        <v>2.60608442255283+0.79873639774233i</v>
      </c>
      <c r="AA179" s="292" t="str">
        <f t="shared" si="70"/>
        <v>0.010975762175002-0.00187405201406349i</v>
      </c>
      <c r="AB179" s="289">
        <f t="shared" si="86"/>
        <v>-39.066503777180912</v>
      </c>
      <c r="AC179" s="292">
        <f t="shared" si="87"/>
        <v>-9.6895037836990774</v>
      </c>
      <c r="AD179" s="292" t="str">
        <f t="shared" si="71"/>
        <v>0.00174186368731332-0.000332795197310022i</v>
      </c>
      <c r="AE179" s="289">
        <f t="shared" si="72"/>
        <v>-55.024012037856131</v>
      </c>
      <c r="AF179" s="292">
        <f t="shared" si="73"/>
        <v>-10.816405590707513</v>
      </c>
      <c r="AH179" s="292" t="str">
        <f t="shared" si="74"/>
        <v>0.00075-0.00189738827908183i</v>
      </c>
      <c r="AI179" s="292">
        <f t="shared" si="75"/>
        <v>0.95</v>
      </c>
      <c r="AJ179" s="292" t="str">
        <f t="shared" si="76"/>
        <v>1000-200364.202271041i</v>
      </c>
      <c r="AK179" s="292" t="str">
        <f t="shared" si="77"/>
        <v>0.000753188931770728-0.00189438838690047i</v>
      </c>
      <c r="AL179" s="292" t="str">
        <f t="shared" si="78"/>
        <v>1.0711008812471-0.354011104463309i</v>
      </c>
      <c r="AM179" s="292" t="str">
        <f t="shared" si="79"/>
        <v>0.019+10.9800052856945i</v>
      </c>
      <c r="AN179" s="292" t="str">
        <f t="shared" si="80"/>
        <v>-0.00340047802828044-0.000554130163258266i</v>
      </c>
      <c r="AO179" s="292">
        <f t="shared" si="88"/>
        <v>-49.255379003136895</v>
      </c>
      <c r="AP179" s="292">
        <f t="shared" si="89"/>
        <v>-170.74463026119022</v>
      </c>
      <c r="AR179" s="292" t="str">
        <f t="shared" si="81"/>
        <v>1.0711008812471-0.354011104463309i</v>
      </c>
      <c r="AS179" s="292" t="str">
        <f t="shared" si="82"/>
        <v>-0.00340047802828044-0.000554130163258266i</v>
      </c>
      <c r="AT179" s="292">
        <f t="shared" si="90"/>
        <v>-49.255379003136895</v>
      </c>
      <c r="AU179" s="292">
        <f t="shared" si="91"/>
        <v>-170.74463026119022</v>
      </c>
    </row>
    <row r="180" spans="6:47" x14ac:dyDescent="0.25">
      <c r="F180" s="292">
        <v>178</v>
      </c>
      <c r="G180" s="293">
        <f t="shared" si="62"/>
        <v>150.39813449579486</v>
      </c>
      <c r="H180" s="293">
        <f t="shared" si="63"/>
        <v>112.20883664334417</v>
      </c>
      <c r="I180" s="294">
        <f t="shared" si="64"/>
        <v>0</v>
      </c>
      <c r="J180" s="292">
        <f t="shared" si="83"/>
        <v>0</v>
      </c>
      <c r="K180" s="292">
        <f t="shared" si="83"/>
        <v>0</v>
      </c>
      <c r="L180" s="292">
        <f>10^('Small Signal'!F180/30)</f>
        <v>857695.89859089628</v>
      </c>
      <c r="M180" s="292" t="str">
        <f t="shared" si="84"/>
        <v>5389062.26805451i</v>
      </c>
      <c r="N180" s="292">
        <f>IF(D$32=1, IF(AND('Small Signal'!$B$63&gt;=1,FCCM=0),U180+0,R180+0), 0)</f>
        <v>0</v>
      </c>
      <c r="O180" s="292">
        <f>IF(D$32=1, IF(AND('Small Signal'!$B$63&gt;=1,FCCM=0),V180,S180), 0)</f>
        <v>0</v>
      </c>
      <c r="P180" s="292">
        <f>IF(AND('Small Signal'!$B$63&gt;=1,FCCM=0),AE180+0,AB180+0)</f>
        <v>-40.502052836787115</v>
      </c>
      <c r="Q180" s="292">
        <f>IF(AND('Small Signal'!$B$63&gt;=1,FCCM=0),AF180,AC180)</f>
        <v>-13.138086855967575</v>
      </c>
      <c r="R180" s="292">
        <f t="shared" si="85"/>
        <v>-50.559959927897324</v>
      </c>
      <c r="S180" s="292">
        <f t="shared" si="85"/>
        <v>-171.07724419236209</v>
      </c>
      <c r="T180" s="292" t="str">
        <f>IMDIV(IMSUM('Small Signal'!$B$76,IMPRODUCT(M180,'Small Signal'!$B$77)),IMSUM(IMPRODUCT('Small Signal'!$B$80,IMPOWER(M180,2)),IMSUM(IMPRODUCT(M180,'Small Signal'!$B$79),'Small Signal'!$B$78)))</f>
        <v>-0.0011616638400239-0.000577874874213784i</v>
      </c>
      <c r="U180" s="292">
        <f t="shared" si="65"/>
        <v>-57.738120973444367</v>
      </c>
      <c r="V180" s="292">
        <f t="shared" si="66"/>
        <v>-153.55174591392947</v>
      </c>
      <c r="W180" s="292" t="str">
        <f>IMPRODUCT(IMDIV(IMSUM(IMPRODUCT(M180,'Small Signal'!$B$59*'Small Signal'!$B$6*'Small Signal'!$B$51*'Small Signal'!$B$7*'Small Signal'!$B$8),'Small Signal'!$B$59*'Small Signal'!$B$6*'Small Signal'!$B$51),IMSUM(IMSUM(IMPRODUCT(M180,('Small Signal'!$B$5+'Small Signal'!$B$6)*('Small Signal'!$B$58*'Small Signal'!$B$59)+'Small Signal'!$B$5*'Small Signal'!$B$59*('Small Signal'!$B$8+'Small Signal'!$B$9)+'Small Signal'!$B$6*'Small Signal'!$B$59*('Small Signal'!$B$8+'Small Signal'!$B$9)+'Small Signal'!$B$7*'Small Signal'!$B$8*('Small Signal'!$B$5+'Small Signal'!$B$6)),'Small Signal'!$B$6+'Small Signal'!$B$5),IMPRODUCT(IMPOWER(M180,2),'Small Signal'!$B$58*'Small Signal'!$B$59*'Small Signal'!$B$8*'Small Signal'!$B$7*('Small Signal'!$B$5+'Small Signal'!$B$6)+('Small Signal'!$B$5+'Small Signal'!$B$6)*('Small Signal'!$B$9*'Small Signal'!$B$8*'Small Signal'!$B$59*'Small Signal'!$B$7)))),-1)</f>
        <v>-0.908089003179946+0.711311026967251i</v>
      </c>
      <c r="X180" s="292">
        <f t="shared" si="67"/>
        <v>0</v>
      </c>
      <c r="Y180" s="292">
        <f t="shared" si="68"/>
        <v>0</v>
      </c>
      <c r="Z180" s="292" t="str">
        <f t="shared" si="69"/>
        <v>2.65271883869131+0.761203452799273i</v>
      </c>
      <c r="AA180" s="292" t="str">
        <f t="shared" si="70"/>
        <v>0.00919132910632262-0.00214533099977517i</v>
      </c>
      <c r="AB180" s="289">
        <f t="shared" si="86"/>
        <v>-40.502052836787115</v>
      </c>
      <c r="AC180" s="292">
        <f t="shared" si="87"/>
        <v>-13.138086855967575</v>
      </c>
      <c r="AD180" s="292" t="str">
        <f t="shared" si="71"/>
        <v>0.00146594292875307-0.000301542480550589i</v>
      </c>
      <c r="AE180" s="289">
        <f t="shared" si="72"/>
        <v>-56.49768163714225</v>
      </c>
      <c r="AF180" s="292">
        <f t="shared" si="73"/>
        <v>-11.623536200740537</v>
      </c>
      <c r="AH180" s="292" t="str">
        <f t="shared" si="74"/>
        <v>0.00075-0.00175720681978974i</v>
      </c>
      <c r="AI180" s="292">
        <f t="shared" si="75"/>
        <v>0.95</v>
      </c>
      <c r="AJ180" s="292" t="str">
        <f t="shared" si="76"/>
        <v>1000-185561.040169797i</v>
      </c>
      <c r="AK180" s="292" t="str">
        <f t="shared" si="77"/>
        <v>0.000752650940990688-0.00175442955820998i</v>
      </c>
      <c r="AL180" s="292" t="str">
        <f t="shared" si="78"/>
        <v>1.05388123971091-0.376107085631289i</v>
      </c>
      <c r="AM180" s="292" t="str">
        <f t="shared" si="79"/>
        <v>0.019+11.8559369897199i</v>
      </c>
      <c r="AN180" s="292" t="str">
        <f t="shared" si="80"/>
        <v>-0.00292896552814432-0.00045985564096637i</v>
      </c>
      <c r="AO180" s="292">
        <f t="shared" si="88"/>
        <v>-50.559959927897324</v>
      </c>
      <c r="AP180" s="292">
        <f t="shared" si="89"/>
        <v>-171.07724419236209</v>
      </c>
      <c r="AR180" s="292" t="str">
        <f t="shared" si="81"/>
        <v>1.05388123971091-0.376107085631289i</v>
      </c>
      <c r="AS180" s="292" t="str">
        <f t="shared" si="82"/>
        <v>-0.00292896552814432-0.00045985564096637i</v>
      </c>
      <c r="AT180" s="292">
        <f t="shared" si="90"/>
        <v>-50.559959927897324</v>
      </c>
      <c r="AU180" s="292">
        <f t="shared" si="91"/>
        <v>-171.07724419236209</v>
      </c>
    </row>
    <row r="181" spans="6:47" x14ac:dyDescent="0.25">
      <c r="F181" s="292">
        <v>179</v>
      </c>
      <c r="G181" s="293">
        <f t="shared" si="62"/>
        <v>147.15288791498082</v>
      </c>
      <c r="H181" s="293">
        <f t="shared" si="63"/>
        <v>110.42921654641241</v>
      </c>
      <c r="I181" s="294">
        <f t="shared" si="64"/>
        <v>0</v>
      </c>
      <c r="J181" s="292">
        <f t="shared" si="83"/>
        <v>0</v>
      </c>
      <c r="K181" s="292">
        <f t="shared" si="83"/>
        <v>0</v>
      </c>
      <c r="L181" s="292">
        <f>10^('Small Signal'!F181/30)</f>
        <v>926118.72812879446</v>
      </c>
      <c r="M181" s="292" t="str">
        <f t="shared" si="84"/>
        <v>5818975.58528269i</v>
      </c>
      <c r="N181" s="292">
        <f>IF(D$32=1, IF(AND('Small Signal'!$B$63&gt;=1,FCCM=0),U181+0,R181+0), 0)</f>
        <v>0</v>
      </c>
      <c r="O181" s="292">
        <f>IF(D$32=1, IF(AND('Small Signal'!$B$63&gt;=1,FCCM=0),V181,S181), 0)</f>
        <v>0</v>
      </c>
      <c r="P181" s="292">
        <f>IF(AND('Small Signal'!$B$63&gt;=1,FCCM=0),AE181+0,AB181+0)</f>
        <v>-41.972688858694191</v>
      </c>
      <c r="Q181" s="292">
        <f>IF(AND('Small Signal'!$B$63&gt;=1,FCCM=0),AF181,AC181)</f>
        <v>-16.557613662603892</v>
      </c>
      <c r="R181" s="292">
        <f t="shared" si="85"/>
        <v>-51.863163978692199</v>
      </c>
      <c r="S181" s="292">
        <f t="shared" si="85"/>
        <v>-171.37377875664214</v>
      </c>
      <c r="T181" s="292" t="str">
        <f>IMDIV(IMSUM('Small Signal'!$B$76,IMPRODUCT(M181,'Small Signal'!$B$77)),IMSUM(IMPRODUCT('Small Signal'!$B$80,IMPOWER(M181,2)),IMSUM(IMPRODUCT(M181,'Small Signal'!$B$79),'Small Signal'!$B$78)))</f>
        <v>-0.000996803679214015-0.000526267525470086i</v>
      </c>
      <c r="U181" s="292">
        <f t="shared" si="65"/>
        <v>-58.959996656930485</v>
      </c>
      <c r="V181" s="292">
        <f t="shared" si="66"/>
        <v>-152.16796056353056</v>
      </c>
      <c r="W181" s="292" t="str">
        <f>IMPRODUCT(IMDIV(IMSUM(IMPRODUCT(M181,'Small Signal'!$B$59*'Small Signal'!$B$6*'Small Signal'!$B$51*'Small Signal'!$B$7*'Small Signal'!$B$8),'Small Signal'!$B$59*'Small Signal'!$B$6*'Small Signal'!$B$51),IMSUM(IMSUM(IMPRODUCT(M181,('Small Signal'!$B$5+'Small Signal'!$B$6)*('Small Signal'!$B$58*'Small Signal'!$B$59)+'Small Signal'!$B$5*'Small Signal'!$B$59*('Small Signal'!$B$8+'Small Signal'!$B$9)+'Small Signal'!$B$6*'Small Signal'!$B$59*('Small Signal'!$B$8+'Small Signal'!$B$9)+'Small Signal'!$B$7*'Small Signal'!$B$8*('Small Signal'!$B$5+'Small Signal'!$B$6)),'Small Signal'!$B$6+'Small Signal'!$B$5),IMPRODUCT(IMPOWER(M181,2),'Small Signal'!$B$58*'Small Signal'!$B$59*'Small Signal'!$B$8*'Small Signal'!$B$7*('Small Signal'!$B$5+'Small Signal'!$B$6)+('Small Signal'!$B$5+'Small Signal'!$B$6)*('Small Signal'!$B$9*'Small Signal'!$B$8*'Small Signal'!$B$59*'Small Signal'!$B$7)))),-1)</f>
        <v>-0.854783637371913+0.722373801627556i</v>
      </c>
      <c r="X181" s="292">
        <f t="shared" si="67"/>
        <v>0</v>
      </c>
      <c r="Y181" s="292">
        <f t="shared" si="68"/>
        <v>0</v>
      </c>
      <c r="Z181" s="292" t="str">
        <f t="shared" si="69"/>
        <v>2.69492959863668+0.722969710709255i</v>
      </c>
      <c r="AA181" s="292" t="str">
        <f t="shared" si="70"/>
        <v>0.00763788165416677-0.00227080025270653i</v>
      </c>
      <c r="AB181" s="289">
        <f t="shared" si="86"/>
        <v>-41.972688858694191</v>
      </c>
      <c r="AC181" s="292">
        <f t="shared" si="87"/>
        <v>-16.557613662603892</v>
      </c>
      <c r="AD181" s="292" t="str">
        <f t="shared" si="71"/>
        <v>0.00123221334771121-0.000270219993578127i</v>
      </c>
      <c r="AE181" s="289">
        <f t="shared" si="72"/>
        <v>-57.982292211220667</v>
      </c>
      <c r="AF181" s="292">
        <f t="shared" si="73"/>
        <v>-12.368962512903888</v>
      </c>
      <c r="AH181" s="292" t="str">
        <f t="shared" si="74"/>
        <v>0.00075-0.00162738214500292i</v>
      </c>
      <c r="AI181" s="292">
        <f t="shared" si="75"/>
        <v>0.95</v>
      </c>
      <c r="AJ181" s="292" t="str">
        <f t="shared" si="76"/>
        <v>1000-171851.554512308i</v>
      </c>
      <c r="AK181" s="292" t="str">
        <f t="shared" si="77"/>
        <v>0.000752189508018649-0.00162481086132109i</v>
      </c>
      <c r="AL181" s="292" t="str">
        <f t="shared" si="78"/>
        <v>1.03449082753831-0.398639031759065i</v>
      </c>
      <c r="AM181" s="292" t="str">
        <f t="shared" si="79"/>
        <v>0.019+12.8017462876219i</v>
      </c>
      <c r="AN181" s="292" t="str">
        <f t="shared" si="80"/>
        <v>-0.00252290556760294-0.000382734684134551i</v>
      </c>
      <c r="AO181" s="292">
        <f t="shared" si="88"/>
        <v>-51.863163978692199</v>
      </c>
      <c r="AP181" s="292">
        <f t="shared" si="89"/>
        <v>-171.37377875664214</v>
      </c>
      <c r="AR181" s="292" t="str">
        <f t="shared" si="81"/>
        <v>1.03449082753831-0.398639031759065i</v>
      </c>
      <c r="AS181" s="292" t="str">
        <f t="shared" si="82"/>
        <v>-0.00252290556760294-0.000382734684134551i</v>
      </c>
      <c r="AT181" s="292">
        <f t="shared" si="90"/>
        <v>-51.863163978692199</v>
      </c>
      <c r="AU181" s="292">
        <f t="shared" si="91"/>
        <v>-171.37377875664214</v>
      </c>
    </row>
    <row r="182" spans="6:47" x14ac:dyDescent="0.25">
      <c r="F182" s="292">
        <v>180</v>
      </c>
      <c r="G182" s="293">
        <f t="shared" si="62"/>
        <v>143.93226636177235</v>
      </c>
      <c r="H182" s="293">
        <f t="shared" si="63"/>
        <v>108.73115877100024</v>
      </c>
      <c r="I182" s="294">
        <f t="shared" si="64"/>
        <v>0</v>
      </c>
      <c r="J182" s="292">
        <f t="shared" si="83"/>
        <v>0</v>
      </c>
      <c r="K182" s="292">
        <f t="shared" si="83"/>
        <v>0</v>
      </c>
      <c r="L182" s="292">
        <f>10^('Small Signal'!F182/30)</f>
        <v>1000000</v>
      </c>
      <c r="M182" s="292" t="str">
        <f t="shared" si="84"/>
        <v>6283185.30717959i</v>
      </c>
      <c r="N182" s="292">
        <f>IF(D$32=1, IF(AND('Small Signal'!$B$63&gt;=1,FCCM=0),U182+0,R182+0), 0)</f>
        <v>0</v>
      </c>
      <c r="O182" s="292">
        <f>IF(D$32=1, IF(AND('Small Signal'!$B$63&gt;=1,FCCM=0),V182,S182), 0)</f>
        <v>0</v>
      </c>
      <c r="P182" s="292">
        <f>IF(AND('Small Signal'!$B$63&gt;=1,FCCM=0),AE182+0,AB182+0)</f>
        <v>-43.477783063033463</v>
      </c>
      <c r="Q182" s="292">
        <f>IF(AND('Small Signal'!$B$63&gt;=1,FCCM=0),AF182,AC182)</f>
        <v>-19.936682438366873</v>
      </c>
      <c r="R182" s="292">
        <f t="shared" si="85"/>
        <v>-53.16470218163375</v>
      </c>
      <c r="S182" s="292">
        <f t="shared" si="85"/>
        <v>-171.63850655576658</v>
      </c>
      <c r="T182" s="292" t="str">
        <f>IMDIV(IMSUM('Small Signal'!$B$76,IMPRODUCT(M182,'Small Signal'!$B$77)),IMSUM(IMPRODUCT('Small Signal'!$B$80,IMPOWER(M182,2)),IMSUM(IMPRODUCT(M182,'Small Signal'!$B$79),'Small Signal'!$B$78)))</f>
        <v>-0.000855285257217503-0.000480300683992377i</v>
      </c>
      <c r="U182" s="292">
        <f t="shared" si="65"/>
        <v>-60.167339170244318</v>
      </c>
      <c r="V182" s="292">
        <f t="shared" si="66"/>
        <v>-150.68283484686918</v>
      </c>
      <c r="W182" s="292" t="str">
        <f>IMPRODUCT(IMDIV(IMSUM(IMPRODUCT(M182,'Small Signal'!$B$59*'Small Signal'!$B$6*'Small Signal'!$B$51*'Small Signal'!$B$7*'Small Signal'!$B$8),'Small Signal'!$B$59*'Small Signal'!$B$6*'Small Signal'!$B$51),IMSUM(IMSUM(IMPRODUCT(M182,('Small Signal'!$B$5+'Small Signal'!$B$6)*('Small Signal'!$B$58*'Small Signal'!$B$59)+'Small Signal'!$B$5*'Small Signal'!$B$59*('Small Signal'!$B$8+'Small Signal'!$B$9)+'Small Signal'!$B$6*'Small Signal'!$B$59*('Small Signal'!$B$8+'Small Signal'!$B$9)+'Small Signal'!$B$7*'Small Signal'!$B$8*('Small Signal'!$B$5+'Small Signal'!$B$6)),'Small Signal'!$B$6+'Small Signal'!$B$5),IMPRODUCT(IMPOWER(M182,2),'Small Signal'!$B$58*'Small Signal'!$B$59*'Small Signal'!$B$8*'Small Signal'!$B$7*('Small Signal'!$B$5+'Small Signal'!$B$6)+('Small Signal'!$B$5+'Small Signal'!$B$6)*('Small Signal'!$B$9*'Small Signal'!$B$8*'Small Signal'!$B$59*'Small Signal'!$B$7)))),-1)</f>
        <v>-0.800029709626777+0.729520278077727i</v>
      </c>
      <c r="X182" s="292">
        <f t="shared" si="67"/>
        <v>0</v>
      </c>
      <c r="Y182" s="292">
        <f t="shared" si="68"/>
        <v>0</v>
      </c>
      <c r="Z182" s="292" t="str">
        <f t="shared" si="69"/>
        <v>2.73288979685875+0.684551379624124i</v>
      </c>
      <c r="AA182" s="292" t="str">
        <f t="shared" si="70"/>
        <v>0.00629899185076806-0.00228476553459539i</v>
      </c>
      <c r="AB182" s="289">
        <f t="shared" si="86"/>
        <v>-43.477783063033463</v>
      </c>
      <c r="AC182" s="292">
        <f t="shared" si="87"/>
        <v>-19.936682438366873</v>
      </c>
      <c r="AD182" s="292" t="str">
        <f t="shared" si="71"/>
        <v>0.00103464270452682-0.000239693121933129i</v>
      </c>
      <c r="AE182" s="289">
        <f t="shared" si="72"/>
        <v>-59.477146490818356</v>
      </c>
      <c r="AF182" s="292">
        <f t="shared" si="73"/>
        <v>-13.043473678683659</v>
      </c>
      <c r="AH182" s="292" t="str">
        <f t="shared" si="74"/>
        <v>0.00075-0.00150714908230961i</v>
      </c>
      <c r="AI182" s="292">
        <f t="shared" si="75"/>
        <v>0.95</v>
      </c>
      <c r="AJ182" s="292" t="str">
        <f t="shared" si="76"/>
        <v>1000-159154.943091895i</v>
      </c>
      <c r="AK182" s="292" t="str">
        <f t="shared" si="77"/>
        <v>0.000751793738492851-0.00150476839620831i</v>
      </c>
      <c r="AL182" s="292" t="str">
        <f t="shared" si="78"/>
        <v>1.01276527473523-0.421400755990144i</v>
      </c>
      <c r="AM182" s="292" t="str">
        <f t="shared" si="79"/>
        <v>0.019+13.8230076757951i</v>
      </c>
      <c r="AN182" s="292" t="str">
        <f t="shared" si="80"/>
        <v>-0.00217332038878186-0.000319435716684898i</v>
      </c>
      <c r="AO182" s="292">
        <f t="shared" si="88"/>
        <v>-53.16470218163375</v>
      </c>
      <c r="AP182" s="292">
        <f t="shared" si="89"/>
        <v>-171.63850655576658</v>
      </c>
      <c r="AR182" s="292" t="str">
        <f t="shared" si="81"/>
        <v>1.01276527473523-0.421400755990144i</v>
      </c>
      <c r="AS182" s="292" t="str">
        <f t="shared" si="82"/>
        <v>-0.00217332038878186-0.000319435716684898i</v>
      </c>
      <c r="AT182" s="292">
        <f t="shared" si="90"/>
        <v>-53.16470218163375</v>
      </c>
      <c r="AU182" s="292">
        <f t="shared" si="91"/>
        <v>-171.63850655576658</v>
      </c>
    </row>
    <row r="183" spans="6:47" x14ac:dyDescent="0.25">
      <c r="F183" s="292">
        <v>181</v>
      </c>
      <c r="G183" s="293">
        <f t="shared" si="62"/>
        <v>140.75434879370178</v>
      </c>
      <c r="H183" s="293">
        <f t="shared" si="63"/>
        <v>107.11661050154935</v>
      </c>
      <c r="I183" s="294">
        <f t="shared" si="64"/>
        <v>0</v>
      </c>
      <c r="J183" s="292">
        <f t="shared" si="83"/>
        <v>0</v>
      </c>
      <c r="K183" s="292">
        <f t="shared" si="83"/>
        <v>0</v>
      </c>
      <c r="L183" s="292">
        <f>10^('Small Signal'!F183/30)</f>
        <v>1079775.1623277115</v>
      </c>
      <c r="M183" s="292" t="str">
        <f t="shared" si="84"/>
        <v>6784427.43499493i</v>
      </c>
      <c r="N183" s="292">
        <f>IF(D$32=1, IF(AND('Small Signal'!$B$63&gt;=1,FCCM=0),U183+0,R183+0), 0)</f>
        <v>0</v>
      </c>
      <c r="O183" s="292">
        <f>IF(D$32=1, IF(AND('Small Signal'!$B$63&gt;=1,FCCM=0),V183,S183), 0)</f>
        <v>0</v>
      </c>
      <c r="P183" s="292">
        <f>IF(AND('Small Signal'!$B$63&gt;=1,FCCM=0),AE183+0,AB183+0)</f>
        <v>-45.016526058308273</v>
      </c>
      <c r="Q183" s="292">
        <f>IF(AND('Small Signal'!$B$63&gt;=1,FCCM=0),AF183,AC183)</f>
        <v>-23.264415301050523</v>
      </c>
      <c r="R183" s="292">
        <f t="shared" si="85"/>
        <v>-54.464342392900519</v>
      </c>
      <c r="S183" s="292">
        <f t="shared" si="85"/>
        <v>-171.8758354272307</v>
      </c>
      <c r="T183" s="292" t="str">
        <f>IMDIV(IMSUM('Small Signal'!$B$76,IMPRODUCT(M183,'Small Signal'!$B$77)),IMSUM(IMPRODUCT('Small Signal'!$B$80,IMPOWER(M183,2)),IMSUM(IMPRODUCT(M183,'Small Signal'!$B$79),'Small Signal'!$B$78)))</f>
        <v>-0.000733818191174346-0.000439183468499434i</v>
      </c>
      <c r="U183" s="292">
        <f t="shared" si="65"/>
        <v>-61.35862111678022</v>
      </c>
      <c r="V183" s="292">
        <f t="shared" si="66"/>
        <v>-149.09986541596416</v>
      </c>
      <c r="W183" s="292" t="str">
        <f>IMPRODUCT(IMDIV(IMSUM(IMPRODUCT(M183,'Small Signal'!$B$59*'Small Signal'!$B$6*'Small Signal'!$B$51*'Small Signal'!$B$7*'Small Signal'!$B$8),'Small Signal'!$B$59*'Small Signal'!$B$6*'Small Signal'!$B$51),IMSUM(IMSUM(IMPRODUCT(M183,('Small Signal'!$B$5+'Small Signal'!$B$6)*('Small Signal'!$B$58*'Small Signal'!$B$59)+'Small Signal'!$B$5*'Small Signal'!$B$59*('Small Signal'!$B$8+'Small Signal'!$B$9)+'Small Signal'!$B$6*'Small Signal'!$B$59*('Small Signal'!$B$8+'Small Signal'!$B$9)+'Small Signal'!$B$7*'Small Signal'!$B$8*('Small Signal'!$B$5+'Small Signal'!$B$6)),'Small Signal'!$B$6+'Small Signal'!$B$5),IMPRODUCT(IMPOWER(M183,2),'Small Signal'!$B$58*'Small Signal'!$B$59*'Small Signal'!$B$8*'Small Signal'!$B$7*('Small Signal'!$B$5+'Small Signal'!$B$6)+('Small Signal'!$B$5+'Small Signal'!$B$6)*('Small Signal'!$B$9*'Small Signal'!$B$8*'Small Signal'!$B$59*'Small Signal'!$B$7)))),-1)</f>
        <v>-0.744432730626249+0.732530675175523i</v>
      </c>
      <c r="X183" s="292">
        <f t="shared" si="67"/>
        <v>0</v>
      </c>
      <c r="Y183" s="292">
        <f t="shared" si="68"/>
        <v>0</v>
      </c>
      <c r="Z183" s="292" t="str">
        <f t="shared" si="69"/>
        <v>2.76682924052825+0.64639256169888i</v>
      </c>
      <c r="AA183" s="292" t="str">
        <f t="shared" si="70"/>
        <v>0.00515636400586697-0.00221688575207759i</v>
      </c>
      <c r="AB183" s="289">
        <f t="shared" si="86"/>
        <v>-45.016526058308273</v>
      </c>
      <c r="AC183" s="292">
        <f t="shared" si="87"/>
        <v>-23.264415301050523</v>
      </c>
      <c r="AD183" s="292" t="str">
        <f t="shared" si="71"/>
        <v>0.000867993642544952-0.000210601786336084i</v>
      </c>
      <c r="AE183" s="289">
        <f t="shared" si="72"/>
        <v>-60.981244355116402</v>
      </c>
      <c r="AF183" s="292">
        <f t="shared" si="73"/>
        <v>-13.638159471629567</v>
      </c>
      <c r="AH183" s="292" t="str">
        <f t="shared" si="74"/>
        <v>0.00075-0.00139579899120906i</v>
      </c>
      <c r="AI183" s="292">
        <f t="shared" si="75"/>
        <v>0.95</v>
      </c>
      <c r="AJ183" s="292" t="str">
        <f t="shared" si="76"/>
        <v>1000-147396.373471676i</v>
      </c>
      <c r="AK183" s="292" t="str">
        <f t="shared" si="77"/>
        <v>0.000751454288329924-0.00139359469210123i</v>
      </c>
      <c r="AL183" s="292" t="str">
        <f t="shared" si="78"/>
        <v>0.988559789160648-0.444142960143201i</v>
      </c>
      <c r="AM183" s="292" t="str">
        <f t="shared" si="79"/>
        <v>0.019+14.9257403569888i</v>
      </c>
      <c r="AN183" s="292" t="str">
        <f t="shared" si="80"/>
        <v>-0.00187241600825127-0.000267289998341572i</v>
      </c>
      <c r="AO183" s="292">
        <f t="shared" si="88"/>
        <v>-54.464342392900519</v>
      </c>
      <c r="AP183" s="292">
        <f t="shared" si="89"/>
        <v>-171.8758354272307</v>
      </c>
      <c r="AR183" s="292" t="str">
        <f t="shared" si="81"/>
        <v>0.988559789160648-0.444142960143201i</v>
      </c>
      <c r="AS183" s="292" t="str">
        <f t="shared" si="82"/>
        <v>-0.00187241600825127-0.000267289998341572i</v>
      </c>
      <c r="AT183" s="292">
        <f t="shared" si="90"/>
        <v>-54.464342392900519</v>
      </c>
      <c r="AU183" s="292">
        <f t="shared" si="91"/>
        <v>-171.8758354272307</v>
      </c>
    </row>
    <row r="184" spans="6:47" x14ac:dyDescent="0.25">
      <c r="F184" s="292">
        <v>182</v>
      </c>
      <c r="G184" s="293">
        <f t="shared" si="62"/>
        <v>137.63569747085938</v>
      </c>
      <c r="H184" s="293">
        <f t="shared" si="63"/>
        <v>105.58633689496003</v>
      </c>
      <c r="I184" s="294">
        <f t="shared" si="64"/>
        <v>0</v>
      </c>
      <c r="J184" s="292">
        <f t="shared" si="83"/>
        <v>0</v>
      </c>
      <c r="K184" s="292">
        <f t="shared" si="83"/>
        <v>0</v>
      </c>
      <c r="L184" s="292">
        <f>10^('Small Signal'!F184/30)</f>
        <v>1165914.4011798317</v>
      </c>
      <c r="M184" s="292" t="str">
        <f t="shared" si="84"/>
        <v>7325656.2349222i</v>
      </c>
      <c r="N184" s="292">
        <f>IF(D$32=1, IF(AND('Small Signal'!$B$63&gt;=1,FCCM=0),U184+0,R184+0), 0)</f>
        <v>0</v>
      </c>
      <c r="O184" s="292">
        <f>IF(D$32=1, IF(AND('Small Signal'!$B$63&gt;=1,FCCM=0),V184,S184), 0)</f>
        <v>0</v>
      </c>
      <c r="P184" s="292">
        <f>IF(AND('Small Signal'!$B$63&gt;=1,FCCM=0),AE184+0,AB184+0)</f>
        <v>-46.587934137747204</v>
      </c>
      <c r="Q184" s="292">
        <f>IF(AND('Small Signal'!$B$63&gt;=1,FCCM=0),AF184,AC184)</f>
        <v>-26.53061742227009</v>
      </c>
      <c r="R184" s="292">
        <f t="shared" si="85"/>
        <v>-55.761918569400422</v>
      </c>
      <c r="S184" s="292">
        <f t="shared" si="85"/>
        <v>-172.09028777378489</v>
      </c>
      <c r="T184" s="292" t="str">
        <f>IMDIV(IMSUM('Small Signal'!$B$76,IMPRODUCT(M184,'Small Signal'!$B$77)),IMSUM(IMPRODUCT('Small Signal'!$B$80,IMPOWER(M184,2)),IMSUM(IMPRODUCT(M184,'Small Signal'!$B$79),'Small Signal'!$B$78)))</f>
        <v>-0.000629572108735826-0.000402259825462643i</v>
      </c>
      <c r="U184" s="292">
        <f t="shared" si="65"/>
        <v>-62.532303913479232</v>
      </c>
      <c r="V184" s="292">
        <f t="shared" si="66"/>
        <v>-147.42379724599238</v>
      </c>
      <c r="W184" s="292" t="str">
        <f>IMPRODUCT(IMDIV(IMSUM(IMPRODUCT(M184,'Small Signal'!$B$59*'Small Signal'!$B$6*'Small Signal'!$B$51*'Small Signal'!$B$7*'Small Signal'!$B$8),'Small Signal'!$B$59*'Small Signal'!$B$6*'Small Signal'!$B$51),IMSUM(IMSUM(IMPRODUCT(M184,('Small Signal'!$B$5+'Small Signal'!$B$6)*('Small Signal'!$B$58*'Small Signal'!$B$59)+'Small Signal'!$B$5*'Small Signal'!$B$59*('Small Signal'!$B$8+'Small Signal'!$B$9)+'Small Signal'!$B$6*'Small Signal'!$B$59*('Small Signal'!$B$8+'Small Signal'!$B$9)+'Small Signal'!$B$7*'Small Signal'!$B$8*('Small Signal'!$B$5+'Small Signal'!$B$6)),'Small Signal'!$B$6+'Small Signal'!$B$5),IMPRODUCT(IMPOWER(M184,2),'Small Signal'!$B$58*'Small Signal'!$B$59*'Small Signal'!$B$8*'Small Signal'!$B$7*('Small Signal'!$B$5+'Small Signal'!$B$6)+('Small Signal'!$B$5+'Small Signal'!$B$6)*('Small Signal'!$B$9*'Small Signal'!$B$8*'Small Signal'!$B$59*'Small Signal'!$B$7)))),-1)</f>
        <v>-0.688636866684933+0.731302741258731i</v>
      </c>
      <c r="X184" s="292">
        <f t="shared" si="67"/>
        <v>0</v>
      </c>
      <c r="Y184" s="292">
        <f t="shared" si="68"/>
        <v>0</v>
      </c>
      <c r="Z184" s="292" t="str">
        <f t="shared" si="69"/>
        <v>2.79701618080162+0.608864182100596i</v>
      </c>
      <c r="AA184" s="292" t="str">
        <f t="shared" si="70"/>
        <v>0.00419062394561491-0.00209216480410466i</v>
      </c>
      <c r="AB184" s="289">
        <f t="shared" si="86"/>
        <v>-46.587934137747204</v>
      </c>
      <c r="AC184" s="292">
        <f t="shared" si="87"/>
        <v>-26.53061742227009</v>
      </c>
      <c r="AD184" s="292" t="str">
        <f t="shared" si="71"/>
        <v>0.000727720277371155-0.000183396863138727i</v>
      </c>
      <c r="AE184" s="289">
        <f t="shared" si="72"/>
        <v>-62.493287085412888</v>
      </c>
      <c r="AF184" s="292">
        <f t="shared" si="73"/>
        <v>-14.144883989493518</v>
      </c>
      <c r="AH184" s="292" t="str">
        <f t="shared" si="74"/>
        <v>0.00075-0.00129267558646199i</v>
      </c>
      <c r="AI184" s="292">
        <f t="shared" si="75"/>
        <v>0.95</v>
      </c>
      <c r="AJ184" s="292" t="str">
        <f t="shared" si="76"/>
        <v>1000-136506.541930386i</v>
      </c>
      <c r="AK184" s="292" t="str">
        <f t="shared" si="77"/>
        <v>0.000751163143122889-0.00129063454019857i</v>
      </c>
      <c r="AL184" s="292" t="str">
        <f t="shared" si="78"/>
        <v>0.961759579917163-0.466573099767111i</v>
      </c>
      <c r="AM184" s="292" t="str">
        <f t="shared" si="79"/>
        <v>0.019+16.1164437168288i</v>
      </c>
      <c r="AN184" s="292" t="str">
        <f t="shared" si="80"/>
        <v>-0.00161343873448167-0.000224161892603433i</v>
      </c>
      <c r="AO184" s="292">
        <f t="shared" si="88"/>
        <v>-55.761918569400422</v>
      </c>
      <c r="AP184" s="292">
        <f t="shared" si="89"/>
        <v>-172.09028777378489</v>
      </c>
      <c r="AR184" s="292" t="str">
        <f t="shared" si="81"/>
        <v>0.961759579917163-0.466573099767111i</v>
      </c>
      <c r="AS184" s="292" t="str">
        <f t="shared" si="82"/>
        <v>-0.00161343873448167-0.000224161892603433i</v>
      </c>
      <c r="AT184" s="292">
        <f t="shared" si="90"/>
        <v>-55.761918569400422</v>
      </c>
      <c r="AU184" s="292">
        <f t="shared" si="91"/>
        <v>-172.09028777378489</v>
      </c>
    </row>
    <row r="185" spans="6:47" x14ac:dyDescent="0.25">
      <c r="F185" s="292">
        <v>183</v>
      </c>
      <c r="G185" s="293">
        <f t="shared" si="62"/>
        <v>134.59114068962089</v>
      </c>
      <c r="H185" s="293">
        <f t="shared" si="63"/>
        <v>104.14007598262518</v>
      </c>
      <c r="I185" s="294">
        <f t="shared" si="64"/>
        <v>0</v>
      </c>
      <c r="J185" s="292">
        <f t="shared" si="83"/>
        <v>0</v>
      </c>
      <c r="K185" s="292">
        <f t="shared" si="83"/>
        <v>0</v>
      </c>
      <c r="L185" s="292">
        <f>10^('Small Signal'!F185/30)</f>
        <v>1258925.4117941677</v>
      </c>
      <c r="M185" s="292" t="str">
        <f t="shared" si="84"/>
        <v>7910061.65022012i</v>
      </c>
      <c r="N185" s="292">
        <f>IF(D$32=1, IF(AND('Small Signal'!$B$63&gt;=1,FCCM=0),U185+0,R185+0), 0)</f>
        <v>0</v>
      </c>
      <c r="O185" s="292">
        <f>IF(D$32=1, IF(AND('Small Signal'!$B$63&gt;=1,FCCM=0),V185,S185), 0)</f>
        <v>0</v>
      </c>
      <c r="P185" s="292">
        <f>IF(AND('Small Signal'!$B$63&gt;=1,FCCM=0),AE185+0,AB185+0)</f>
        <v>-48.190862473250853</v>
      </c>
      <c r="Q185" s="292">
        <f>IF(AND('Small Signal'!$B$63&gt;=1,FCCM=0),AF185,AC185)</f>
        <v>-29.725945326291875</v>
      </c>
      <c r="R185" s="292">
        <f t="shared" si="85"/>
        <v>-57.057340418818008</v>
      </c>
      <c r="S185" s="292">
        <f t="shared" si="85"/>
        <v>-172.28645747400802</v>
      </c>
      <c r="T185" s="292" t="str">
        <f>IMDIV(IMSUM('Small Signal'!$B$76,IMPRODUCT(M185,'Small Signal'!$B$77)),IMSUM(IMPRODUCT('Small Signal'!$B$80,IMPOWER(M185,2)),IMSUM(IMPRODUCT(M185,'Small Signal'!$B$79),'Small Signal'!$B$78)))</f>
        <v>-0.000540113348120841-0.000368983031889012i</v>
      </c>
      <c r="U185" s="292">
        <f t="shared" si="65"/>
        <v>-63.686872426470046</v>
      </c>
      <c r="V185" s="292">
        <f t="shared" si="66"/>
        <v>-145.66073126251166</v>
      </c>
      <c r="W185" s="292" t="str">
        <f>IMPRODUCT(IMDIV(IMSUM(IMPRODUCT(M185,'Small Signal'!$B$59*'Small Signal'!$B$6*'Small Signal'!$B$51*'Small Signal'!$B$7*'Small Signal'!$B$8),'Small Signal'!$B$59*'Small Signal'!$B$6*'Small Signal'!$B$51),IMSUM(IMSUM(IMPRODUCT(M185,('Small Signal'!$B$5+'Small Signal'!$B$6)*('Small Signal'!$B$58*'Small Signal'!$B$59)+'Small Signal'!$B$5*'Small Signal'!$B$59*('Small Signal'!$B$8+'Small Signal'!$B$9)+'Small Signal'!$B$6*'Small Signal'!$B$59*('Small Signal'!$B$8+'Small Signal'!$B$9)+'Small Signal'!$B$7*'Small Signal'!$B$8*('Small Signal'!$B$5+'Small Signal'!$B$6)),'Small Signal'!$B$6+'Small Signal'!$B$5),IMPRODUCT(IMPOWER(M185,2),'Small Signal'!$B$58*'Small Signal'!$B$59*'Small Signal'!$B$8*'Small Signal'!$B$7*('Small Signal'!$B$5+'Small Signal'!$B$6)+('Small Signal'!$B$5+'Small Signal'!$B$6)*('Small Signal'!$B$9*'Small Signal'!$B$8*'Small Signal'!$B$59*'Small Signal'!$B$7)))),-1)</f>
        <v>-0.633295531670075+0.725858732415615i</v>
      </c>
      <c r="X185" s="292">
        <f t="shared" si="67"/>
        <v>0</v>
      </c>
      <c r="Y185" s="292">
        <f t="shared" si="68"/>
        <v>0</v>
      </c>
      <c r="Z185" s="292" t="str">
        <f t="shared" si="69"/>
        <v>2.8237413894905+0.572266548046795i</v>
      </c>
      <c r="AA185" s="292" t="str">
        <f t="shared" si="70"/>
        <v>0.00338205156578055-0.00193111844339469i</v>
      </c>
      <c r="AB185" s="289">
        <f t="shared" si="86"/>
        <v>-48.190862473250853</v>
      </c>
      <c r="AC185" s="292">
        <f t="shared" si="87"/>
        <v>-29.725945326291875</v>
      </c>
      <c r="AD185" s="292" t="str">
        <f t="shared" si="71"/>
        <v>0.000609880925770121-0.000158370684870359i</v>
      </c>
      <c r="AE185" s="289">
        <f t="shared" si="72"/>
        <v>-64.011700940734286</v>
      </c>
      <c r="AF185" s="292">
        <f t="shared" si="73"/>
        <v>-14.556760051744245</v>
      </c>
      <c r="AH185" s="292" t="str">
        <f t="shared" si="74"/>
        <v>0.00075-0.00119717107001732i</v>
      </c>
      <c r="AI185" s="292">
        <f t="shared" si="75"/>
        <v>0.95</v>
      </c>
      <c r="AJ185" s="292" t="str">
        <f t="shared" si="76"/>
        <v>1000-126421.264993829i</v>
      </c>
      <c r="AK185" s="292" t="str">
        <f t="shared" si="77"/>
        <v>0.000750913428929352-0.00119528113390064i</v>
      </c>
      <c r="AL185" s="292" t="str">
        <f t="shared" si="78"/>
        <v>0.932291381864512-0.488357855503369i</v>
      </c>
      <c r="AM185" s="292" t="str">
        <f t="shared" si="79"/>
        <v>0.019+17.4021356304843i</v>
      </c>
      <c r="AN185" s="292" t="str">
        <f t="shared" si="80"/>
        <v>-0.00139054606263934-0.00018834389479042i</v>
      </c>
      <c r="AO185" s="292">
        <f t="shared" si="88"/>
        <v>-57.057340418818008</v>
      </c>
      <c r="AP185" s="292">
        <f t="shared" si="89"/>
        <v>-172.28645747400802</v>
      </c>
      <c r="AR185" s="292" t="str">
        <f t="shared" si="81"/>
        <v>0.932291381864512-0.488357855503369i</v>
      </c>
      <c r="AS185" s="292" t="str">
        <f t="shared" si="82"/>
        <v>-0.00139054606263934-0.00018834389479042i</v>
      </c>
      <c r="AT185" s="292">
        <f t="shared" si="90"/>
        <v>-57.057340418818008</v>
      </c>
      <c r="AU185" s="292">
        <f t="shared" si="91"/>
        <v>-172.28645747400802</v>
      </c>
    </row>
    <row r="186" spans="6:47" x14ac:dyDescent="0.25">
      <c r="F186" s="292">
        <v>184</v>
      </c>
      <c r="G186" s="293">
        <f t="shared" si="62"/>
        <v>131.63360433693401</v>
      </c>
      <c r="H186" s="293">
        <f t="shared" si="63"/>
        <v>102.77669917021285</v>
      </c>
      <c r="I186" s="294">
        <f t="shared" si="64"/>
        <v>0</v>
      </c>
      <c r="J186" s="292">
        <f t="shared" si="83"/>
        <v>0</v>
      </c>
      <c r="K186" s="292">
        <f t="shared" si="83"/>
        <v>0</v>
      </c>
      <c r="L186" s="292">
        <f>10^('Small Signal'!F186/30)</f>
        <v>1359356.3908785288</v>
      </c>
      <c r="M186" s="292" t="str">
        <f t="shared" si="84"/>
        <v>8541088.10238864i</v>
      </c>
      <c r="N186" s="292">
        <f>IF(D$32=1, IF(AND('Small Signal'!$B$63&gt;=1,FCCM=0),U186+0,R186+0), 0)</f>
        <v>0</v>
      </c>
      <c r="O186" s="292">
        <f>IF(D$32=1, IF(AND('Small Signal'!$B$63&gt;=1,FCCM=0),V186,S186), 0)</f>
        <v>0</v>
      </c>
      <c r="P186" s="292">
        <f>IF(AND('Small Signal'!$B$63&gt;=1,FCCM=0),AE186+0,AB186+0)</f>
        <v>-49.82402601143378</v>
      </c>
      <c r="Q186" s="292">
        <f>IF(AND('Small Signal'!$B$63&gt;=1,FCCM=0),AF186,AC186)</f>
        <v>-32.842064121707217</v>
      </c>
      <c r="R186" s="292">
        <f t="shared" si="85"/>
        <v>-58.350602292446887</v>
      </c>
      <c r="S186" s="292">
        <f t="shared" si="85"/>
        <v>-172.46894190235687</v>
      </c>
      <c r="T186" s="292" t="str">
        <f>IMDIV(IMSUM('Small Signal'!$B$76,IMPRODUCT(M186,'Small Signal'!$B$77)),IMSUM(IMPRODUCT('Small Signal'!$B$80,IMPOWER(M186,2)),IMSUM(IMPRODUCT(M186,'Small Signal'!$B$79),'Small Signal'!$B$78)))</f>
        <v>-0.000463350099313837-0.000338895221180612i</v>
      </c>
      <c r="U186" s="292">
        <f t="shared" si="65"/>
        <v>-64.820875327922693</v>
      </c>
      <c r="V186" s="292">
        <f t="shared" si="66"/>
        <v>-143.81818518935322</v>
      </c>
      <c r="W186" s="292" t="str">
        <f>IMPRODUCT(IMDIV(IMSUM(IMPRODUCT(M186,'Small Signal'!$B$59*'Small Signal'!$B$6*'Small Signal'!$B$51*'Small Signal'!$B$7*'Small Signal'!$B$8),'Small Signal'!$B$59*'Small Signal'!$B$6*'Small Signal'!$B$51),IMSUM(IMSUM(IMPRODUCT(M186,('Small Signal'!$B$5+'Small Signal'!$B$6)*('Small Signal'!$B$58*'Small Signal'!$B$59)+'Small Signal'!$B$5*'Small Signal'!$B$59*('Small Signal'!$B$8+'Small Signal'!$B$9)+'Small Signal'!$B$6*'Small Signal'!$B$59*('Small Signal'!$B$8+'Small Signal'!$B$9)+'Small Signal'!$B$7*'Small Signal'!$B$8*('Small Signal'!$B$5+'Small Signal'!$B$6)),'Small Signal'!$B$6+'Small Signal'!$B$5),IMPRODUCT(IMPOWER(M186,2),'Small Signal'!$B$58*'Small Signal'!$B$59*'Small Signal'!$B$8*'Small Signal'!$B$7*('Small Signal'!$B$5+'Small Signal'!$B$6)+('Small Signal'!$B$5+'Small Signal'!$B$6)*('Small Signal'!$B$9*'Small Signal'!$B$8*'Small Signal'!$B$59*'Small Signal'!$B$7)))),-1)</f>
        <v>-0.579041077509171+0.716343668487628i</v>
      </c>
      <c r="X186" s="292">
        <f t="shared" si="67"/>
        <v>0</v>
      </c>
      <c r="Y186" s="292">
        <f t="shared" si="68"/>
        <v>0</v>
      </c>
      <c r="Z186" s="292" t="str">
        <f t="shared" si="69"/>
        <v>2.8473049571908+0.536834437561233i</v>
      </c>
      <c r="AA186" s="292" t="str">
        <f t="shared" si="70"/>
        <v>0.0027112226631502-0.00175008225969052i</v>
      </c>
      <c r="AB186" s="289">
        <f t="shared" si="86"/>
        <v>-49.82402601143378</v>
      </c>
      <c r="AC186" s="292">
        <f t="shared" si="87"/>
        <v>-32.842064121707217</v>
      </c>
      <c r="AD186" s="292" t="str">
        <f t="shared" si="71"/>
        <v>0.000511064186744111-0.00013568365590145i</v>
      </c>
      <c r="AE186" s="289">
        <f t="shared" si="72"/>
        <v>-65.5346802484043</v>
      </c>
      <c r="AF186" s="292">
        <f t="shared" si="73"/>
        <v>-14.868584900545525</v>
      </c>
      <c r="AH186" s="292" t="str">
        <f t="shared" si="74"/>
        <v>0.00075-0.00110872254871702i</v>
      </c>
      <c r="AI186" s="292">
        <f t="shared" si="75"/>
        <v>0.95</v>
      </c>
      <c r="AJ186" s="292" t="str">
        <f t="shared" si="76"/>
        <v>1000-117081.101144518i</v>
      </c>
      <c r="AK186" s="292" t="str">
        <f t="shared" si="77"/>
        <v>0.000750699249983565-0.00110697249391578i</v>
      </c>
      <c r="AL186" s="292" t="str">
        <f t="shared" si="78"/>
        <v>0.9001354148382-0.509128830499472i</v>
      </c>
      <c r="AM186" s="292" t="str">
        <f t="shared" si="79"/>
        <v>0.019+18.790393825255i</v>
      </c>
      <c r="AN186" s="292" t="str">
        <f t="shared" si="80"/>
        <v>-0.00119869141104208-0.000158471797336251i</v>
      </c>
      <c r="AO186" s="292">
        <f t="shared" si="88"/>
        <v>-58.350602292446887</v>
      </c>
      <c r="AP186" s="292">
        <f t="shared" si="89"/>
        <v>-172.46894190235687</v>
      </c>
      <c r="AR186" s="292" t="str">
        <f t="shared" si="81"/>
        <v>0.9001354148382-0.509128830499472i</v>
      </c>
      <c r="AS186" s="292" t="str">
        <f t="shared" si="82"/>
        <v>-0.00119869141104208-0.000158471797336251i</v>
      </c>
      <c r="AT186" s="292">
        <f t="shared" si="90"/>
        <v>-58.350602292446887</v>
      </c>
      <c r="AU186" s="292">
        <f t="shared" si="91"/>
        <v>-172.46894190235687</v>
      </c>
    </row>
    <row r="187" spans="6:47" x14ac:dyDescent="0.25">
      <c r="F187" s="292">
        <v>185</v>
      </c>
      <c r="G187" s="293">
        <f t="shared" si="62"/>
        <v>128.77400225422986</v>
      </c>
      <c r="H187" s="293">
        <f t="shared" si="63"/>
        <v>101.49436855470277</v>
      </c>
      <c r="I187" s="294">
        <f t="shared" si="64"/>
        <v>0</v>
      </c>
      <c r="J187" s="292">
        <f t="shared" si="83"/>
        <v>0</v>
      </c>
      <c r="K187" s="292">
        <f t="shared" si="83"/>
        <v>0</v>
      </c>
      <c r="L187" s="292">
        <f>10^('Small Signal'!F187/30)</f>
        <v>1467799.2676220734</v>
      </c>
      <c r="M187" s="292" t="str">
        <f t="shared" si="84"/>
        <v>9222454.79221197i</v>
      </c>
      <c r="N187" s="292">
        <f>IF(D$32=1, IF(AND('Small Signal'!$B$63&gt;=1,FCCM=0),U187+0,R187+0), 0)</f>
        <v>0</v>
      </c>
      <c r="O187" s="292">
        <f>IF(D$32=1, IF(AND('Small Signal'!$B$63&gt;=1,FCCM=0),V187,S187), 0)</f>
        <v>0</v>
      </c>
      <c r="P187" s="292">
        <f>IF(AND('Small Signal'!$B$63&gt;=1,FCCM=0),AE187+0,AB187+0)</f>
        <v>-51.486027402326435</v>
      </c>
      <c r="Q187" s="292">
        <f>IF(AND('Small Signal'!$B$63&gt;=1,FCCM=0),AF187,AC187)</f>
        <v>-35.871772538287054</v>
      </c>
      <c r="R187" s="292">
        <f t="shared" si="85"/>
        <v>-59.641789966486499</v>
      </c>
      <c r="S187" s="292">
        <f t="shared" si="85"/>
        <v>-172.64224912148242</v>
      </c>
      <c r="T187" s="292" t="str">
        <f>IMDIV(IMSUM('Small Signal'!$B$76,IMPRODUCT(M187,'Small Signal'!$B$77)),IMSUM(IMPRODUCT('Small Signal'!$B$80,IMPOWER(M187,2)),IMSUM(IMPRODUCT(M187,'Small Signal'!$B$79),'Small Signal'!$B$78)))</f>
        <v>-0.000397484933282506-0.000311610933020111i</v>
      </c>
      <c r="U187" s="292">
        <f t="shared" si="65"/>
        <v>-65.932969543133481</v>
      </c>
      <c r="V187" s="292">
        <f t="shared" si="66"/>
        <v>-141.90509433510775</v>
      </c>
      <c r="W187" s="292" t="str">
        <f>IMPRODUCT(IMDIV(IMSUM(IMPRODUCT(M187,'Small Signal'!$B$59*'Small Signal'!$B$6*'Small Signal'!$B$51*'Small Signal'!$B$7*'Small Signal'!$B$8),'Small Signal'!$B$59*'Small Signal'!$B$6*'Small Signal'!$B$51),IMSUM(IMSUM(IMPRODUCT(M187,('Small Signal'!$B$5+'Small Signal'!$B$6)*('Small Signal'!$B$58*'Small Signal'!$B$59)+'Small Signal'!$B$5*'Small Signal'!$B$59*('Small Signal'!$B$8+'Small Signal'!$B$9)+'Small Signal'!$B$6*'Small Signal'!$B$59*('Small Signal'!$B$8+'Small Signal'!$B$9)+'Small Signal'!$B$7*'Small Signal'!$B$8*('Small Signal'!$B$5+'Small Signal'!$B$6)),'Small Signal'!$B$6+'Small Signal'!$B$5),IMPRODUCT(IMPOWER(M187,2),'Small Signal'!$B$58*'Small Signal'!$B$59*'Small Signal'!$B$8*'Small Signal'!$B$7*('Small Signal'!$B$5+'Small Signal'!$B$6)+('Small Signal'!$B$5+'Small Signal'!$B$6)*('Small Signal'!$B$9*'Small Signal'!$B$8*'Small Signal'!$B$59*'Small Signal'!$B$7)))),-1)</f>
        <v>-0.526456528464642+0.703015090284177i</v>
      </c>
      <c r="X187" s="292">
        <f t="shared" si="67"/>
        <v>0</v>
      </c>
      <c r="Y187" s="292">
        <f t="shared" si="68"/>
        <v>0</v>
      </c>
      <c r="Z187" s="292" t="str">
        <f t="shared" si="69"/>
        <v>2.8680058635353+0.50274374262402i</v>
      </c>
      <c r="AA187" s="292" t="str">
        <f t="shared" si="70"/>
        <v>0.00215953762787189-0.00156162369476381i</v>
      </c>
      <c r="AB187" s="289">
        <f t="shared" si="86"/>
        <v>-51.486027402326435</v>
      </c>
      <c r="AC187" s="292">
        <f t="shared" si="87"/>
        <v>-35.871772538287054</v>
      </c>
      <c r="AD187" s="292" t="str">
        <f t="shared" si="71"/>
        <v>0.000428325726303578-0.000115388296228805i</v>
      </c>
      <c r="AE187" s="289">
        <f t="shared" si="72"/>
        <v>-67.060248113262375</v>
      </c>
      <c r="AF187" s="292">
        <f t="shared" si="73"/>
        <v>-15.077197604353232</v>
      </c>
      <c r="AH187" s="292" t="str">
        <f t="shared" si="74"/>
        <v>0.00075-0.00102680871666552i</v>
      </c>
      <c r="AI187" s="292">
        <f t="shared" si="75"/>
        <v>0.95</v>
      </c>
      <c r="AJ187" s="292" t="str">
        <f t="shared" si="76"/>
        <v>1000-108431.000479879i</v>
      </c>
      <c r="AK187" s="292" t="str">
        <f t="shared" si="77"/>
        <v>0.000750515549501448-0.00102518815725357i</v>
      </c>
      <c r="AL187" s="292" t="str">
        <f t="shared" si="78"/>
        <v>0.865336816344738-0.528491925647468i</v>
      </c>
      <c r="AM187" s="292" t="str">
        <f t="shared" si="79"/>
        <v>0.019+20.2894005428663i</v>
      </c>
      <c r="AN187" s="292" t="str">
        <f t="shared" si="80"/>
        <v>-0.00103352183928464-0.00013345616446434i</v>
      </c>
      <c r="AO187" s="292">
        <f t="shared" si="88"/>
        <v>-59.641789966486499</v>
      </c>
      <c r="AP187" s="292">
        <f t="shared" si="89"/>
        <v>-172.64224912148242</v>
      </c>
      <c r="AR187" s="292" t="str">
        <f t="shared" si="81"/>
        <v>0.865336816344738-0.528491925647468i</v>
      </c>
      <c r="AS187" s="292" t="str">
        <f t="shared" si="82"/>
        <v>-0.00103352183928464-0.00013345616446434i</v>
      </c>
      <c r="AT187" s="292">
        <f t="shared" si="90"/>
        <v>-59.641789966486499</v>
      </c>
      <c r="AU187" s="292">
        <f t="shared" si="91"/>
        <v>-172.64224912148242</v>
      </c>
    </row>
    <row r="188" spans="6:47" x14ac:dyDescent="0.25">
      <c r="F188" s="292">
        <v>186</v>
      </c>
      <c r="G188" s="293">
        <f t="shared" si="62"/>
        <v>126.02119108782934</v>
      </c>
      <c r="H188" s="293">
        <f t="shared" si="63"/>
        <v>100.29068472812142</v>
      </c>
      <c r="I188" s="294">
        <f t="shared" si="64"/>
        <v>0</v>
      </c>
      <c r="J188" s="292">
        <f t="shared" si="83"/>
        <v>0</v>
      </c>
      <c r="K188" s="292">
        <f t="shared" si="83"/>
        <v>0</v>
      </c>
      <c r="L188" s="292">
        <f>10^('Small Signal'!F188/30)</f>
        <v>1584893.1924611153</v>
      </c>
      <c r="M188" s="292" t="str">
        <f t="shared" si="84"/>
        <v>9958177.62032063i</v>
      </c>
      <c r="N188" s="292">
        <f>IF(D$32=1, IF(AND('Small Signal'!$B$63&gt;=1,FCCM=0),U188+0,R188+0), 0)</f>
        <v>0</v>
      </c>
      <c r="O188" s="292">
        <f>IF(D$32=1, IF(AND('Small Signal'!$B$63&gt;=1,FCCM=0),V188,S188), 0)</f>
        <v>0</v>
      </c>
      <c r="P188" s="292">
        <f>IF(AND('Small Signal'!$B$63&gt;=1,FCCM=0),AE188+0,AB188+0)</f>
        <v>-53.175389906258481</v>
      </c>
      <c r="Q188" s="292">
        <f>IF(AND('Small Signal'!$B$63&gt;=1,FCCM=0),AF188,AC188)</f>
        <v>-38.809078242494756</v>
      </c>
      <c r="R188" s="292">
        <f t="shared" si="85"/>
        <v>-60.931083880541209</v>
      </c>
      <c r="S188" s="292">
        <f t="shared" si="85"/>
        <v>-172.81068364466995</v>
      </c>
      <c r="T188" s="292" t="str">
        <f>IMDIV(IMSUM('Small Signal'!$B$76,IMPRODUCT(M188,'Small Signal'!$B$77)),IMSUM(IMPRODUCT('Small Signal'!$B$80,IMPOWER(M188,2)),IMSUM(IMPRODUCT(M188,'Small Signal'!$B$79),'Small Signal'!$B$78)))</f>
        <v>-0.000340973777441804-0.000286803885591885i</v>
      </c>
      <c r="U188" s="292">
        <f t="shared" si="65"/>
        <v>-67.021966398377955</v>
      </c>
      <c r="V188" s="292">
        <f t="shared" si="66"/>
        <v>-139.93174180557588</v>
      </c>
      <c r="W188" s="292" t="str">
        <f>IMPRODUCT(IMDIV(IMSUM(IMPRODUCT(M188,'Small Signal'!$B$59*'Small Signal'!$B$6*'Small Signal'!$B$51*'Small Signal'!$B$7*'Small Signal'!$B$8),'Small Signal'!$B$59*'Small Signal'!$B$6*'Small Signal'!$B$51),IMSUM(IMSUM(IMPRODUCT(M188,('Small Signal'!$B$5+'Small Signal'!$B$6)*('Small Signal'!$B$58*'Small Signal'!$B$59)+'Small Signal'!$B$5*'Small Signal'!$B$59*('Small Signal'!$B$8+'Small Signal'!$B$9)+'Small Signal'!$B$6*'Small Signal'!$B$59*('Small Signal'!$B$8+'Small Signal'!$B$9)+'Small Signal'!$B$7*'Small Signal'!$B$8*('Small Signal'!$B$5+'Small Signal'!$B$6)),'Small Signal'!$B$6+'Small Signal'!$B$5),IMPRODUCT(IMPOWER(M188,2),'Small Signal'!$B$58*'Small Signal'!$B$59*'Small Signal'!$B$8*'Small Signal'!$B$7*('Small Signal'!$B$5+'Small Signal'!$B$6)+('Small Signal'!$B$5+'Small Signal'!$B$6)*('Small Signal'!$B$9*'Small Signal'!$B$8*'Small Signal'!$B$59*'Small Signal'!$B$7)))),-1)</f>
        <v>-0.476051970400575+0.686225615884062i</v>
      </c>
      <c r="X188" s="292">
        <f t="shared" si="67"/>
        <v>0</v>
      </c>
      <c r="Y188" s="292">
        <f t="shared" si="68"/>
        <v>0</v>
      </c>
      <c r="Z188" s="292" t="str">
        <f t="shared" si="69"/>
        <v>2.88613414668162+0.470118869427456i</v>
      </c>
      <c r="AA188" s="292" t="str">
        <f t="shared" si="70"/>
        <v>0.00170962556185105-0.00137502029312008i</v>
      </c>
      <c r="AB188" s="289">
        <f t="shared" si="86"/>
        <v>-53.175389906258481</v>
      </c>
      <c r="AC188" s="292">
        <f t="shared" si="87"/>
        <v>-38.809078242494756</v>
      </c>
      <c r="AD188" s="292" t="str">
        <f t="shared" si="71"/>
        <v>0.000359133411634331-0.0000974513855707591i</v>
      </c>
      <c r="AE188" s="289">
        <f t="shared" si="72"/>
        <v>-68.586330800103852</v>
      </c>
      <c r="AF188" s="292">
        <f t="shared" si="73"/>
        <v>-15.181723672772328</v>
      </c>
      <c r="AH188" s="292" t="str">
        <f t="shared" si="74"/>
        <v>0.00075-0.000950946782709832i</v>
      </c>
      <c r="AI188" s="292">
        <f t="shared" si="75"/>
        <v>0.95</v>
      </c>
      <c r="AJ188" s="292" t="str">
        <f t="shared" si="76"/>
        <v>1000-100419.980254158i</v>
      </c>
      <c r="AK188" s="292" t="str">
        <f t="shared" si="77"/>
        <v>0.000750357990292683-0.000949446110655947i</v>
      </c>
      <c r="AL188" s="292" t="str">
        <f t="shared" si="78"/>
        <v>0.828015328599639-0.546040536998496i</v>
      </c>
      <c r="AM188" s="292" t="str">
        <f t="shared" si="79"/>
        <v>0.019+21.9079907647054i</v>
      </c>
      <c r="AN188" s="292" t="str">
        <f t="shared" si="80"/>
        <v>-0.000891287700967966-0.000112426979189244i</v>
      </c>
      <c r="AO188" s="292">
        <f t="shared" si="88"/>
        <v>-60.931083880541209</v>
      </c>
      <c r="AP188" s="292">
        <f t="shared" si="89"/>
        <v>-172.81068364466995</v>
      </c>
      <c r="AR188" s="292" t="str">
        <f t="shared" si="81"/>
        <v>0.828015328599639-0.546040536998496i</v>
      </c>
      <c r="AS188" s="292" t="str">
        <f t="shared" si="82"/>
        <v>-0.000891287700967966-0.000112426979189244i</v>
      </c>
      <c r="AT188" s="292">
        <f t="shared" si="90"/>
        <v>-60.931083880541209</v>
      </c>
      <c r="AU188" s="292">
        <f t="shared" si="91"/>
        <v>-172.81068364466995</v>
      </c>
    </row>
    <row r="189" spans="6:47" x14ac:dyDescent="0.25">
      <c r="F189" s="292">
        <v>187</v>
      </c>
      <c r="G189" s="293">
        <f t="shared" si="62"/>
        <v>123.38198995425033</v>
      </c>
      <c r="H189" s="293">
        <f t="shared" si="63"/>
        <v>99.162820979782964</v>
      </c>
      <c r="I189" s="294">
        <f t="shared" si="64"/>
        <v>0</v>
      </c>
      <c r="J189" s="292">
        <f t="shared" si="83"/>
        <v>0</v>
      </c>
      <c r="K189" s="292">
        <f t="shared" si="83"/>
        <v>0</v>
      </c>
      <c r="L189" s="292">
        <f>10^('Small Signal'!F189/30)</f>
        <v>1711328.3041617833</v>
      </c>
      <c r="M189" s="292" t="str">
        <f t="shared" si="84"/>
        <v>10752592.8564699i</v>
      </c>
      <c r="N189" s="292">
        <f>IF(D$32=1, IF(AND('Small Signal'!$B$63&gt;=1,FCCM=0),U189+0,R189+0), 0)</f>
        <v>0</v>
      </c>
      <c r="O189" s="292">
        <f>IF(D$32=1, IF(AND('Small Signal'!$B$63&gt;=1,FCCM=0),V189,S189), 0)</f>
        <v>0</v>
      </c>
      <c r="P189" s="292">
        <f>IF(AND('Small Signal'!$B$63&gt;=1,FCCM=0),AE189+0,AB189+0)</f>
        <v>-54.890592236176801</v>
      </c>
      <c r="Q189" s="292">
        <f>IF(AND('Small Signal'!$B$63&gt;=1,FCCM=0),AF189,AC189)</f>
        <v>-41.64921325665965</v>
      </c>
      <c r="R189" s="292">
        <f t="shared" si="85"/>
        <v>-62.218757533768624</v>
      </c>
      <c r="S189" s="292">
        <f t="shared" si="85"/>
        <v>-172.97821791916854</v>
      </c>
      <c r="T189" s="292" t="str">
        <f>IMDIV(IMSUM('Small Signal'!$B$76,IMPRODUCT(M189,'Small Signal'!$B$77)),IMSUM(IMPRODUCT('Small Signal'!$B$80,IMPOWER(M189,2)),IMSUM(IMPRODUCT(M189,'Small Signal'!$B$79),'Small Signal'!$B$78)))</f>
        <v>-0.000292490501043757-0.000264196327580868i</v>
      </c>
      <c r="U189" s="292">
        <f t="shared" si="65"/>
        <v>-68.086876445607828</v>
      </c>
      <c r="V189" s="292">
        <f t="shared" si="66"/>
        <v>-137.90961245808739</v>
      </c>
      <c r="W189" s="292" t="str">
        <f>IMPRODUCT(IMDIV(IMSUM(IMPRODUCT(M189,'Small Signal'!$B$59*'Small Signal'!$B$6*'Small Signal'!$B$51*'Small Signal'!$B$7*'Small Signal'!$B$8),'Small Signal'!$B$59*'Small Signal'!$B$6*'Small Signal'!$B$51),IMSUM(IMSUM(IMPRODUCT(M189,('Small Signal'!$B$5+'Small Signal'!$B$6)*('Small Signal'!$B$58*'Small Signal'!$B$59)+'Small Signal'!$B$5*'Small Signal'!$B$59*('Small Signal'!$B$8+'Small Signal'!$B$9)+'Small Signal'!$B$6*'Small Signal'!$B$59*('Small Signal'!$B$8+'Small Signal'!$B$9)+'Small Signal'!$B$7*'Small Signal'!$B$8*('Small Signal'!$B$5+'Small Signal'!$B$6)),'Small Signal'!$B$6+'Small Signal'!$B$5),IMPRODUCT(IMPOWER(M189,2),'Small Signal'!$B$58*'Small Signal'!$B$59*'Small Signal'!$B$8*'Small Signal'!$B$7*('Small Signal'!$B$5+'Small Signal'!$B$6)+('Small Signal'!$B$5+'Small Signal'!$B$6)*('Small Signal'!$B$9*'Small Signal'!$B$8*'Small Signal'!$B$59*'Small Signal'!$B$7)))),-1)</f>
        <v>-0.42824747171043+0.666400409938507i</v>
      </c>
      <c r="X189" s="292">
        <f t="shared" si="67"/>
        <v>0</v>
      </c>
      <c r="Y189" s="292">
        <f t="shared" si="68"/>
        <v>0</v>
      </c>
      <c r="Z189" s="292" t="str">
        <f t="shared" si="69"/>
        <v>2.90196536647602+0.439040289998863i</v>
      </c>
      <c r="AA189" s="292" t="str">
        <f t="shared" si="70"/>
        <v>0.00134562256678592-0.00119676807186694i</v>
      </c>
      <c r="AB189" s="289">
        <f t="shared" si="86"/>
        <v>-54.890592236176801</v>
      </c>
      <c r="AC189" s="292">
        <f t="shared" si="87"/>
        <v>-41.64921325665965</v>
      </c>
      <c r="AD189" s="292" t="str">
        <f t="shared" si="71"/>
        <v>0.000301318858575444-0.0000817743804769917i</v>
      </c>
      <c r="AE189" s="289">
        <f t="shared" si="72"/>
        <v>-70.110840168774871</v>
      </c>
      <c r="AF189" s="292">
        <f t="shared" si="73"/>
        <v>-15.183682463493881</v>
      </c>
      <c r="AH189" s="292" t="str">
        <f t="shared" si="74"/>
        <v>0.00075-0.000880689624921398i</v>
      </c>
      <c r="AI189" s="292">
        <f t="shared" si="75"/>
        <v>0.95</v>
      </c>
      <c r="AJ189" s="292" t="str">
        <f t="shared" si="76"/>
        <v>1000-93000.8243916995i</v>
      </c>
      <c r="AK189" s="292" t="str">
        <f t="shared" si="77"/>
        <v>0.000750222852361489-0.000879299950444797i</v>
      </c>
      <c r="AL189" s="292" t="str">
        <f t="shared" si="78"/>
        <v>0.7883718685925-0.561372275981901i</v>
      </c>
      <c r="AM189" s="292" t="str">
        <f t="shared" si="79"/>
        <v>0.019+23.6557042842338i</v>
      </c>
      <c r="AN189" s="292" t="str">
        <f t="shared" si="80"/>
        <v>-0.000768763099149873-0.0000946889194756675i</v>
      </c>
      <c r="AO189" s="292">
        <f t="shared" si="88"/>
        <v>-62.218757533768624</v>
      </c>
      <c r="AP189" s="292">
        <f t="shared" si="89"/>
        <v>-172.97821791916854</v>
      </c>
      <c r="AR189" s="292" t="str">
        <f t="shared" si="81"/>
        <v>0.7883718685925-0.561372275981901i</v>
      </c>
      <c r="AS189" s="292" t="str">
        <f t="shared" si="82"/>
        <v>-0.000768763099149873-0.0000946889194756675i</v>
      </c>
      <c r="AT189" s="292">
        <f t="shared" si="90"/>
        <v>-62.218757533768624</v>
      </c>
      <c r="AU189" s="292">
        <f t="shared" si="91"/>
        <v>-172.97821791916854</v>
      </c>
    </row>
    <row r="190" spans="6:47" x14ac:dyDescent="0.25">
      <c r="F190" s="292">
        <v>188</v>
      </c>
      <c r="G190" s="293">
        <f t="shared" si="62"/>
        <v>120.86125996490094</v>
      </c>
      <c r="H190" s="293">
        <f t="shared" si="63"/>
        <v>98.107641691481234</v>
      </c>
      <c r="I190" s="294">
        <f t="shared" si="64"/>
        <v>0</v>
      </c>
      <c r="J190" s="292">
        <f t="shared" si="83"/>
        <v>0</v>
      </c>
      <c r="K190" s="292">
        <f t="shared" si="83"/>
        <v>0</v>
      </c>
      <c r="L190" s="292">
        <f>10^('Small Signal'!F190/30)</f>
        <v>1847849.797422294</v>
      </c>
      <c r="M190" s="292" t="str">
        <f t="shared" si="84"/>
        <v>11610382.6970385i</v>
      </c>
      <c r="N190" s="292">
        <f>IF(D$32=1, IF(AND('Small Signal'!$B$63&gt;=1,FCCM=0),U190+0,R190+0), 0)</f>
        <v>0</v>
      </c>
      <c r="O190" s="292">
        <f>IF(D$32=1, IF(AND('Small Signal'!$B$63&gt;=1,FCCM=0),V190,S190), 0)</f>
        <v>0</v>
      </c>
      <c r="P190" s="292">
        <f>IF(AND('Small Signal'!$B$63&gt;=1,FCCM=0),AE190+0,AB190+0)</f>
        <v>-56.630101916507783</v>
      </c>
      <c r="Q190" s="292">
        <f>IF(AND('Small Signal'!$B$63&gt;=1,FCCM=0),AF190,AC190)</f>
        <v>-44.388588750411607</v>
      </c>
      <c r="R190" s="292">
        <f t="shared" si="85"/>
        <v>-63.505170120023152</v>
      </c>
      <c r="S190" s="292">
        <f t="shared" si="85"/>
        <v>-173.14836021177391</v>
      </c>
      <c r="T190" s="292" t="str">
        <f>IMDIV(IMSUM('Small Signal'!$B$76,IMPRODUCT(M190,'Small Signal'!$B$77)),IMSUM(IMPRODUCT('Small Signal'!$B$80,IMPOWER(M190,2)),IMSUM(IMPRODUCT(M190,'Small Signal'!$B$79),'Small Signal'!$B$78)))</f>
        <v>-0.000250896372023403-0.00024355045543037i</v>
      </c>
      <c r="U190" s="292">
        <f t="shared" si="65"/>
        <v>-69.126949570137612</v>
      </c>
      <c r="V190" s="292">
        <f t="shared" si="66"/>
        <v>-135.85117151348712</v>
      </c>
      <c r="W190" s="292" t="str">
        <f>IMPRODUCT(IMDIV(IMSUM(IMPRODUCT(M190,'Small Signal'!$B$59*'Small Signal'!$B$6*'Small Signal'!$B$51*'Small Signal'!$B$7*'Small Signal'!$B$8),'Small Signal'!$B$59*'Small Signal'!$B$6*'Small Signal'!$B$51),IMSUM(IMSUM(IMPRODUCT(M190,('Small Signal'!$B$5+'Small Signal'!$B$6)*('Small Signal'!$B$58*'Small Signal'!$B$59)+'Small Signal'!$B$5*'Small Signal'!$B$59*('Small Signal'!$B$8+'Small Signal'!$B$9)+'Small Signal'!$B$6*'Small Signal'!$B$59*('Small Signal'!$B$8+'Small Signal'!$B$9)+'Small Signal'!$B$7*'Small Signal'!$B$8*('Small Signal'!$B$5+'Small Signal'!$B$6)),'Small Signal'!$B$6+'Small Signal'!$B$5),IMPRODUCT(IMPOWER(M190,2),'Small Signal'!$B$58*'Small Signal'!$B$59*'Small Signal'!$B$8*'Small Signal'!$B$7*('Small Signal'!$B$5+'Small Signal'!$B$6)+('Small Signal'!$B$5+'Small Signal'!$B$6)*('Small Signal'!$B$9*'Small Signal'!$B$8*'Small Signal'!$B$59*'Small Signal'!$B$7)))),-1)</f>
        <v>-0.383363449301007+0.644012098078179i</v>
      </c>
      <c r="X190" s="292">
        <f t="shared" si="67"/>
        <v>0</v>
      </c>
      <c r="Y190" s="292">
        <f t="shared" si="68"/>
        <v>0</v>
      </c>
      <c r="Z190" s="292" t="str">
        <f t="shared" si="69"/>
        <v>2.91575699510294+0.409551818612722i</v>
      </c>
      <c r="AA190" s="292" t="str">
        <f t="shared" si="70"/>
        <v>0.00105333185141186-0.00103108787364301i</v>
      </c>
      <c r="AB190" s="289">
        <f t="shared" si="86"/>
        <v>-56.630101916507783</v>
      </c>
      <c r="AC190" s="292">
        <f t="shared" si="87"/>
        <v>-44.388588750411607</v>
      </c>
      <c r="AD190" s="292" t="str">
        <f t="shared" si="71"/>
        <v>0.000253033938385609-0.0000682119562743773i</v>
      </c>
      <c r="AE190" s="289">
        <f t="shared" si="72"/>
        <v>-71.631757527396843</v>
      </c>
      <c r="AF190" s="292">
        <f t="shared" si="73"/>
        <v>-15.086946693316383</v>
      </c>
      <c r="AH190" s="292" t="str">
        <f t="shared" si="74"/>
        <v>0.00075-0.00081562315530843i</v>
      </c>
      <c r="AI190" s="292">
        <f t="shared" si="75"/>
        <v>0.95</v>
      </c>
      <c r="AJ190" s="292" t="str">
        <f t="shared" si="76"/>
        <v>1000-86129.8052005705i</v>
      </c>
      <c r="AK190" s="292" t="str">
        <f t="shared" si="77"/>
        <v>0.00075010694507873-0.000814336252087821i</v>
      </c>
      <c r="AL190" s="292" t="str">
        <f t="shared" si="78"/>
        <v>0.746690636594516-0.574108372448914i</v>
      </c>
      <c r="AM190" s="292" t="str">
        <f t="shared" si="79"/>
        <v>0.019+25.5428419334847i</v>
      </c>
      <c r="AN190" s="292" t="str">
        <f t="shared" si="80"/>
        <v>-0.000663176004287915-0.0000796852250390744i</v>
      </c>
      <c r="AO190" s="292">
        <f t="shared" si="88"/>
        <v>-63.505170120023152</v>
      </c>
      <c r="AP190" s="292">
        <f t="shared" si="89"/>
        <v>-173.14836021177391</v>
      </c>
      <c r="AR190" s="292" t="str">
        <f t="shared" si="81"/>
        <v>0.746690636594516-0.574108372448914i</v>
      </c>
      <c r="AS190" s="292" t="str">
        <f t="shared" si="82"/>
        <v>-0.000663176004287915-0.0000796852250390744i</v>
      </c>
      <c r="AT190" s="292">
        <f t="shared" si="90"/>
        <v>-63.505170120023152</v>
      </c>
      <c r="AU190" s="292">
        <f t="shared" si="91"/>
        <v>-173.14836021177391</v>
      </c>
    </row>
    <row r="191" spans="6:47" x14ac:dyDescent="0.25">
      <c r="F191" s="292">
        <v>189</v>
      </c>
      <c r="G191" s="293">
        <f t="shared" si="62"/>
        <v>118.46203435321479</v>
      </c>
      <c r="H191" s="293">
        <f t="shared" si="63"/>
        <v>97.121804187013126</v>
      </c>
      <c r="I191" s="294">
        <f t="shared" si="64"/>
        <v>0</v>
      </c>
      <c r="J191" s="292">
        <f t="shared" si="83"/>
        <v>0</v>
      </c>
      <c r="K191" s="292">
        <f t="shared" si="83"/>
        <v>0</v>
      </c>
      <c r="L191" s="292">
        <f>10^('Small Signal'!F191/30)</f>
        <v>1995262.31496888</v>
      </c>
      <c r="M191" s="292" t="str">
        <f t="shared" si="84"/>
        <v>12536602.8613816i</v>
      </c>
      <c r="N191" s="292">
        <f>IF(D$32=1, IF(AND('Small Signal'!$B$63&gt;=1,FCCM=0),U191+0,R191+0), 0)</f>
        <v>0</v>
      </c>
      <c r="O191" s="292">
        <f>IF(D$32=1, IF(AND('Small Signal'!$B$63&gt;=1,FCCM=0),V191,S191), 0)</f>
        <v>0</v>
      </c>
      <c r="P191" s="292">
        <f>IF(AND('Small Signal'!$B$63&gt;=1,FCCM=0),AE191+0,AB191+0)</f>
        <v>-58.392404044216242</v>
      </c>
      <c r="Q191" s="292">
        <f>IF(AND('Small Signal'!$B$63&gt;=1,FCCM=0),AF191,AC191)</f>
        <v>-47.024697882050312</v>
      </c>
      <c r="R191" s="292">
        <f t="shared" si="85"/>
        <v>-64.790753103254573</v>
      </c>
      <c r="S191" s="292">
        <f t="shared" si="85"/>
        <v>-173.32403208708166</v>
      </c>
      <c r="T191" s="292" t="str">
        <f>IMDIV(IMSUM('Small Signal'!$B$76,IMPRODUCT(M191,'Small Signal'!$B$77)),IMSUM(IMPRODUCT('Small Signal'!$B$80,IMPOWER(M191,2)),IMSUM(IMPRODUCT(M191,'Small Signal'!$B$79),'Small Signal'!$B$78)))</f>
        <v>-0.00021521373625834-0.000224661484179098i</v>
      </c>
      <c r="U191" s="292">
        <f t="shared" si="65"/>
        <v>-70.141707003235666</v>
      </c>
      <c r="V191" s="292">
        <f t="shared" si="66"/>
        <v>-133.76957636946165</v>
      </c>
      <c r="W191" s="292" t="str">
        <f>IMPRODUCT(IMDIV(IMSUM(IMPRODUCT(M191,'Small Signal'!$B$59*'Small Signal'!$B$6*'Small Signal'!$B$51*'Small Signal'!$B$7*'Small Signal'!$B$8),'Small Signal'!$B$59*'Small Signal'!$B$6*'Small Signal'!$B$51),IMSUM(IMSUM(IMPRODUCT(M191,('Small Signal'!$B$5+'Small Signal'!$B$6)*('Small Signal'!$B$58*'Small Signal'!$B$59)+'Small Signal'!$B$5*'Small Signal'!$B$59*('Small Signal'!$B$8+'Small Signal'!$B$9)+'Small Signal'!$B$6*'Small Signal'!$B$59*('Small Signal'!$B$8+'Small Signal'!$B$9)+'Small Signal'!$B$7*'Small Signal'!$B$8*('Small Signal'!$B$5+'Small Signal'!$B$6)),'Small Signal'!$B$6+'Small Signal'!$B$5),IMPRODUCT(IMPOWER(M191,2),'Small Signal'!$B$58*'Small Signal'!$B$59*'Small Signal'!$B$8*'Small Signal'!$B$7*('Small Signal'!$B$5+'Small Signal'!$B$6)+('Small Signal'!$B$5+'Small Signal'!$B$6)*('Small Signal'!$B$9*'Small Signal'!$B$8*'Small Signal'!$B$59*'Small Signal'!$B$7)))),-1)</f>
        <v>-0.341618408170588+0.619555645004254i</v>
      </c>
      <c r="X191" s="292">
        <f t="shared" si="67"/>
        <v>0</v>
      </c>
      <c r="Y191" s="292">
        <f t="shared" si="68"/>
        <v>0</v>
      </c>
      <c r="Z191" s="292" t="str">
        <f t="shared" si="69"/>
        <v>2.92774635990714+0.381667339146865i</v>
      </c>
      <c r="AA191" s="292" t="str">
        <f t="shared" si="70"/>
        <v>0.000820280309772754-0.00088040349774232i</v>
      </c>
      <c r="AB191" s="289">
        <f t="shared" si="86"/>
        <v>-58.392404044216242</v>
      </c>
      <c r="AC191" s="292">
        <f t="shared" si="87"/>
        <v>-47.024697882050312</v>
      </c>
      <c r="AD191" s="292" t="str">
        <f t="shared" si="71"/>
        <v>0.000212711264735213-0.000056588386578806i</v>
      </c>
      <c r="AE191" s="289">
        <f t="shared" si="72"/>
        <v>-73.147212095087241</v>
      </c>
      <c r="AF191" s="292">
        <f t="shared" si="73"/>
        <v>-14.897558730758009</v>
      </c>
      <c r="AH191" s="292" t="str">
        <f t="shared" si="74"/>
        <v>0.00075-0.000755363879226636i</v>
      </c>
      <c r="AI191" s="292">
        <f t="shared" si="75"/>
        <v>0.95</v>
      </c>
      <c r="AJ191" s="292" t="str">
        <f t="shared" si="76"/>
        <v>1000-79766.4256463329i</v>
      </c>
      <c r="AK191" s="292" t="str">
        <f t="shared" si="77"/>
        <v>0.000750007531851907-0.000754172134012324i</v>
      </c>
      <c r="AL191" s="292" t="str">
        <f t="shared" si="78"/>
        <v>0.703335681062025-0.583914363748698i</v>
      </c>
      <c r="AM191" s="292" t="str">
        <f t="shared" si="79"/>
        <v>0.019+27.5805262950395i</v>
      </c>
      <c r="AN191" s="292" t="str">
        <f t="shared" si="80"/>
        <v>-0.00057214694279453-0.0000669685381025071i</v>
      </c>
      <c r="AO191" s="292">
        <f t="shared" si="88"/>
        <v>-64.790753103254573</v>
      </c>
      <c r="AP191" s="292">
        <f t="shared" si="89"/>
        <v>-173.32403208708166</v>
      </c>
      <c r="AR191" s="292" t="str">
        <f t="shared" si="81"/>
        <v>0.703335681062025-0.583914363748698i</v>
      </c>
      <c r="AS191" s="292" t="str">
        <f t="shared" si="82"/>
        <v>-0.00057214694279453-0.0000669685381025071i</v>
      </c>
      <c r="AT191" s="292">
        <f t="shared" si="90"/>
        <v>-64.790753103254573</v>
      </c>
      <c r="AU191" s="292">
        <f t="shared" si="91"/>
        <v>-173.32403208708166</v>
      </c>
    </row>
    <row r="192" spans="6:47" x14ac:dyDescent="0.25">
      <c r="F192" s="292">
        <v>190</v>
      </c>
      <c r="G192" s="293">
        <f t="shared" si="62"/>
        <v>116.18568718131971</v>
      </c>
      <c r="H192" s="293">
        <f t="shared" si="63"/>
        <v>96.201844359225916</v>
      </c>
      <c r="I192" s="294">
        <f t="shared" si="64"/>
        <v>0</v>
      </c>
      <c r="J192" s="292">
        <f t="shared" si="83"/>
        <v>0</v>
      </c>
      <c r="K192" s="292">
        <f t="shared" si="83"/>
        <v>0</v>
      </c>
      <c r="L192" s="292">
        <f>10^('Small Signal'!F192/30)</f>
        <v>2154434.6900318847</v>
      </c>
      <c r="M192" s="292" t="str">
        <f t="shared" si="84"/>
        <v>13536712.3896863i</v>
      </c>
      <c r="N192" s="292">
        <f>IF(D$32=1, IF(AND('Small Signal'!$B$63&gt;=1,FCCM=0),U192+0,R192+0), 0)</f>
        <v>0</v>
      </c>
      <c r="O192" s="292">
        <f>IF(D$32=1, IF(AND('Small Signal'!$B$63&gt;=1,FCCM=0),V192,S192), 0)</f>
        <v>0</v>
      </c>
      <c r="P192" s="292">
        <f>IF(AND('Small Signal'!$B$63&gt;=1,FCCM=0),AE192+0,AB192+0)</f>
        <v>-60.176023228677039</v>
      </c>
      <c r="Q192" s="292">
        <f>IF(AND('Small Signal'!$B$63&gt;=1,FCCM=0),AF192,AC192)</f>
        <v>-49.555982685895238</v>
      </c>
      <c r="R192" s="292">
        <f t="shared" si="85"/>
        <v>-66.075991218466186</v>
      </c>
      <c r="S192" s="292">
        <f t="shared" si="85"/>
        <v>-173.50746939268831</v>
      </c>
      <c r="T192" s="292" t="str">
        <f>IMDIV(IMSUM('Small Signal'!$B$76,IMPRODUCT(M192,'Small Signal'!$B$77)),IMSUM(IMPRODUCT('Small Signal'!$B$80,IMPOWER(M192,2)),IMSUM(IMPRODUCT(M192,'Small Signal'!$B$79),'Small Signal'!$B$78)))</f>
        <v>-0.000184603350981687-0.000207352042674157i</v>
      </c>
      <c r="U192" s="292">
        <f t="shared" si="65"/>
        <v>-71.130962328020644</v>
      </c>
      <c r="V192" s="292">
        <f t="shared" si="66"/>
        <v>-131.67833768916253</v>
      </c>
      <c r="W192" s="292" t="str">
        <f>IMPRODUCT(IMDIV(IMSUM(IMPRODUCT(M192,'Small Signal'!$B$59*'Small Signal'!$B$6*'Small Signal'!$B$51*'Small Signal'!$B$7*'Small Signal'!$B$8),'Small Signal'!$B$59*'Small Signal'!$B$6*'Small Signal'!$B$51),IMSUM(IMSUM(IMPRODUCT(M192,('Small Signal'!$B$5+'Small Signal'!$B$6)*('Small Signal'!$B$58*'Small Signal'!$B$59)+'Small Signal'!$B$5*'Small Signal'!$B$59*('Small Signal'!$B$8+'Small Signal'!$B$9)+'Small Signal'!$B$6*'Small Signal'!$B$59*('Small Signal'!$B$8+'Small Signal'!$B$9)+'Small Signal'!$B$7*'Small Signal'!$B$8*('Small Signal'!$B$5+'Small Signal'!$B$6)),'Small Signal'!$B$6+'Small Signal'!$B$5),IMPRODUCT(IMPOWER(M192,2),'Small Signal'!$B$58*'Small Signal'!$B$59*'Small Signal'!$B$8*'Small Signal'!$B$7*('Small Signal'!$B$5+'Small Signal'!$B$6)+('Small Signal'!$B$5+'Small Signal'!$B$6)*('Small Signal'!$B$9*'Small Signal'!$B$8*'Small Signal'!$B$59*'Small Signal'!$B$7)))),-1)</f>
        <v>-0.303133159157924+0.593525336608557i</v>
      </c>
      <c r="X192" s="292">
        <f t="shared" si="67"/>
        <v>0</v>
      </c>
      <c r="Y192" s="292">
        <f t="shared" si="68"/>
        <v>0</v>
      </c>
      <c r="Z192" s="292" t="str">
        <f t="shared" si="69"/>
        <v>2.9381497869513+0.355376830659451i</v>
      </c>
      <c r="AA192" s="292" t="str">
        <f t="shared" si="70"/>
        <v>0.000635690795015502-0.000745772590121489i</v>
      </c>
      <c r="AB192" s="289">
        <f t="shared" si="86"/>
        <v>-60.176023228677039</v>
      </c>
      <c r="AC192" s="292">
        <f t="shared" si="87"/>
        <v>-49.555982685895238</v>
      </c>
      <c r="AD192" s="292" t="str">
        <f t="shared" si="71"/>
        <v>0.000179028087898869-0.0000467114862768075i</v>
      </c>
      <c r="AE192" s="289">
        <f t="shared" si="72"/>
        <v>-74.655547962440011</v>
      </c>
      <c r="AF192" s="292">
        <f t="shared" si="73"/>
        <v>-14.623422996275728</v>
      </c>
      <c r="AH192" s="292" t="str">
        <f t="shared" si="74"/>
        <v>0.00075-0.000699556635103809i</v>
      </c>
      <c r="AI192" s="292">
        <f t="shared" si="75"/>
        <v>0.95</v>
      </c>
      <c r="AJ192" s="292" t="str">
        <f t="shared" si="76"/>
        <v>1000-73873.1806669621i</v>
      </c>
      <c r="AK192" s="292" t="str">
        <f t="shared" si="77"/>
        <v>0.000749922265514632-0.000698453001334536i</v>
      </c>
      <c r="AL192" s="292" t="str">
        <f t="shared" si="78"/>
        <v>0.658741352092042-0.590520214147754i</v>
      </c>
      <c r="AM192" s="292" t="str">
        <f t="shared" si="79"/>
        <v>0.019+29.7807672573099i</v>
      </c>
      <c r="AN192" s="292" t="str">
        <f t="shared" si="80"/>
        <v>-0.000493635252691803-0.0000561774453709985i</v>
      </c>
      <c r="AO192" s="292">
        <f t="shared" si="88"/>
        <v>-66.075991218466186</v>
      </c>
      <c r="AP192" s="292">
        <f t="shared" si="89"/>
        <v>-173.50746939268831</v>
      </c>
      <c r="AR192" s="292" t="str">
        <f t="shared" si="81"/>
        <v>0.658741352092042-0.590520214147754i</v>
      </c>
      <c r="AS192" s="292" t="str">
        <f t="shared" si="82"/>
        <v>-0.000493635252691803-0.0000561774453709985i</v>
      </c>
      <c r="AT192" s="292">
        <f t="shared" si="90"/>
        <v>-66.075991218466186</v>
      </c>
      <c r="AU192" s="292">
        <f t="shared" si="91"/>
        <v>-173.50746939268831</v>
      </c>
    </row>
    <row r="193" spans="6:47" x14ac:dyDescent="0.25">
      <c r="F193" s="292">
        <v>191</v>
      </c>
      <c r="G193" s="293">
        <f t="shared" si="62"/>
        <v>114.03212751994725</v>
      </c>
      <c r="H193" s="293">
        <f t="shared" si="63"/>
        <v>95.344247103982582</v>
      </c>
      <c r="I193" s="294">
        <f t="shared" si="64"/>
        <v>0</v>
      </c>
      <c r="J193" s="292">
        <f t="shared" si="83"/>
        <v>0</v>
      </c>
      <c r="K193" s="292">
        <f t="shared" si="83"/>
        <v>0</v>
      </c>
      <c r="L193" s="292">
        <f>10^('Small Signal'!F193/30)</f>
        <v>2326305.067153628</v>
      </c>
      <c r="M193" s="292" t="str">
        <f t="shared" si="84"/>
        <v>14616605.8179571i</v>
      </c>
      <c r="N193" s="292">
        <f>IF(D$32=1, IF(AND('Small Signal'!$B$63&gt;=1,FCCM=0),U193+0,R193+0), 0)</f>
        <v>0</v>
      </c>
      <c r="O193" s="292">
        <f>IF(D$32=1, IF(AND('Small Signal'!$B$63&gt;=1,FCCM=0),V193,S193), 0)</f>
        <v>0</v>
      </c>
      <c r="P193" s="292">
        <f>IF(AND('Small Signal'!$B$63&gt;=1,FCCM=0),AE193+0,AB193+0)</f>
        <v>-61.979537735456006</v>
      </c>
      <c r="Q193" s="292">
        <f>IF(AND('Small Signal'!$B$63&gt;=1,FCCM=0),AF193,AC193)</f>
        <v>-51.98168476517732</v>
      </c>
      <c r="R193" s="292">
        <f t="shared" si="85"/>
        <v>-67.361399197163948</v>
      </c>
      <c r="S193" s="292">
        <f t="shared" si="85"/>
        <v>-173.70015912335609</v>
      </c>
      <c r="T193" s="292" t="str">
        <f>IMDIV(IMSUM('Small Signal'!$B$76,IMPRODUCT(M193,'Small Signal'!$B$77)),IMSUM(IMPRODUCT('Small Signal'!$B$80,IMPOWER(M193,2)),IMSUM(IMPRODUCT(M193,'Small Signal'!$B$79),'Small Signal'!$B$78)))</f>
        <v>-0.000158344876398278-0.000191467630021061i</v>
      </c>
      <c r="U193" s="292">
        <f t="shared" si="65"/>
        <v>-72.094829464297106</v>
      </c>
      <c r="V193" s="292">
        <f t="shared" si="66"/>
        <v>-129.59095197564599</v>
      </c>
      <c r="W193" s="292" t="str">
        <f>IMPRODUCT(IMDIV(IMSUM(IMPRODUCT(M193,'Small Signal'!$B$59*'Small Signal'!$B$6*'Small Signal'!$B$51*'Small Signal'!$B$7*'Small Signal'!$B$8),'Small Signal'!$B$59*'Small Signal'!$B$6*'Small Signal'!$B$51),IMSUM(IMSUM(IMPRODUCT(M193,('Small Signal'!$B$5+'Small Signal'!$B$6)*('Small Signal'!$B$58*'Small Signal'!$B$59)+'Small Signal'!$B$5*'Small Signal'!$B$59*('Small Signal'!$B$8+'Small Signal'!$B$9)+'Small Signal'!$B$6*'Small Signal'!$B$59*('Small Signal'!$B$8+'Small Signal'!$B$9)+'Small Signal'!$B$7*'Small Signal'!$B$8*('Small Signal'!$B$5+'Small Signal'!$B$6)),'Small Signal'!$B$6+'Small Signal'!$B$5),IMPRODUCT(IMPOWER(M193,2),'Small Signal'!$B$58*'Small Signal'!$B$59*'Small Signal'!$B$8*'Small Signal'!$B$7*('Small Signal'!$B$5+'Small Signal'!$B$6)+('Small Signal'!$B$5+'Small Signal'!$B$6)*('Small Signal'!$B$9*'Small Signal'!$B$8*'Small Signal'!$B$59*'Small Signal'!$B$7)))),-1)</f>
        <v>-0.267940071492757+0.566395396683365i</v>
      </c>
      <c r="X193" s="292">
        <f t="shared" si="67"/>
        <v>0</v>
      </c>
      <c r="Y193" s="292">
        <f t="shared" si="68"/>
        <v>0</v>
      </c>
      <c r="Z193" s="292" t="str">
        <f t="shared" si="69"/>
        <v>2.94716263594782+0.330651628548175i</v>
      </c>
      <c r="AA193" s="292" t="str">
        <f t="shared" si="70"/>
        <v>0.000490391262932259-0.000627258793001829i</v>
      </c>
      <c r="AB193" s="289">
        <f t="shared" si="86"/>
        <v>-61.979537735456006</v>
      </c>
      <c r="AC193" s="292">
        <f t="shared" si="87"/>
        <v>-51.98168476517732</v>
      </c>
      <c r="AD193" s="292" t="str">
        <f t="shared" si="71"/>
        <v>0.000150873321760469-0.0000383839586039892i</v>
      </c>
      <c r="AE193" s="289">
        <f t="shared" si="72"/>
        <v>-76.155374882822429</v>
      </c>
      <c r="AF193" s="292">
        <f t="shared" si="73"/>
        <v>-14.273905519627446</v>
      </c>
      <c r="AH193" s="292" t="str">
        <f t="shared" si="74"/>
        <v>0.00075-0.000647872501156394i</v>
      </c>
      <c r="AI193" s="292">
        <f t="shared" si="75"/>
        <v>0.95</v>
      </c>
      <c r="AJ193" s="292" t="str">
        <f t="shared" si="76"/>
        <v>1000-68415.3361221152i</v>
      </c>
      <c r="AK193" s="292" t="str">
        <f t="shared" si="77"/>
        <v>0.000749849132910262-0.000646850456227053i</v>
      </c>
      <c r="AL193" s="292" t="str">
        <f t="shared" si="78"/>
        <v>0.613396796172833-0.593737771833028i</v>
      </c>
      <c r="AM193" s="292" t="str">
        <f t="shared" si="79"/>
        <v>0.019+32.1565327995056i</v>
      </c>
      <c r="AN193" s="292" t="str">
        <f t="shared" si="80"/>
        <v>-0.000425892015551261-0.0000470177190407868i</v>
      </c>
      <c r="AO193" s="292">
        <f t="shared" si="88"/>
        <v>-67.361399197163948</v>
      </c>
      <c r="AP193" s="292">
        <f t="shared" si="89"/>
        <v>-173.70015912335609</v>
      </c>
      <c r="AR193" s="292" t="str">
        <f t="shared" si="81"/>
        <v>0.613396796172833-0.593737771833028i</v>
      </c>
      <c r="AS193" s="292" t="str">
        <f t="shared" si="82"/>
        <v>-0.000425892015551261-0.0000470177190407868i</v>
      </c>
      <c r="AT193" s="292">
        <f t="shared" si="90"/>
        <v>-67.361399197163948</v>
      </c>
      <c r="AU193" s="292">
        <f t="shared" si="91"/>
        <v>-173.70015912335609</v>
      </c>
    </row>
    <row r="194" spans="6:47" x14ac:dyDescent="0.25">
      <c r="F194" s="292">
        <v>192</v>
      </c>
      <c r="G194" s="293">
        <f t="shared" ref="G194:G212" si="92">DEGREES((ATAN(10)+ATAN(L194/(fsw_ss/6))-ATAN(L194/(fsw_ss/6*Vo_ss/Vref))-ATAN(MAX(1/10,L194/(fsw_ss/2)))))+90</f>
        <v>112.00000640819121</v>
      </c>
      <c r="H194" s="293">
        <f t="shared" ref="H194:H212" si="93">DEGREES((ATAN(10)-ATAN(MAX(1/10,L194/(fsw_ss/2)))))+90</f>
        <v>94.54550300779664</v>
      </c>
      <c r="I194" s="294">
        <f t="shared" ref="I194:I212" si="94">IF(fz_cff&gt;fsw_ss/4,IF(AU194+H194&gt;65,1,0),IF(AU194+G194&gt;65,1,0))</f>
        <v>0</v>
      </c>
      <c r="J194" s="292">
        <f t="shared" si="83"/>
        <v>0</v>
      </c>
      <c r="K194" s="292">
        <f t="shared" si="83"/>
        <v>0</v>
      </c>
      <c r="L194" s="292">
        <f>10^('Small Signal'!F194/30)</f>
        <v>2511886.431509587</v>
      </c>
      <c r="M194" s="292" t="str">
        <f t="shared" si="84"/>
        <v>15782647.9197648i</v>
      </c>
      <c r="N194" s="292">
        <f>IF(D$32=1, IF(AND('Small Signal'!$B$63&gt;=1,FCCM=0),U194+0,R194+0), 0)</f>
        <v>0</v>
      </c>
      <c r="O194" s="292">
        <f>IF(D$32=1, IF(AND('Small Signal'!$B$63&gt;=1,FCCM=0),V194,S194), 0)</f>
        <v>0</v>
      </c>
      <c r="P194" s="292">
        <f>IF(AND('Small Signal'!$B$63&gt;=1,FCCM=0),AE194+0,AB194+0)</f>
        <v>-63.801586166103768</v>
      </c>
      <c r="Q194" s="292">
        <f>IF(AND('Small Signal'!$B$63&gt;=1,FCCM=0),AF194,AC194)</f>
        <v>-54.301699236290119</v>
      </c>
      <c r="R194" s="292">
        <f t="shared" si="85"/>
        <v>-68.647496193217009</v>
      </c>
      <c r="S194" s="292">
        <f t="shared" si="85"/>
        <v>-173.90282074015229</v>
      </c>
      <c r="T194" s="292" t="str">
        <f>IMDIV(IMSUM('Small Signal'!$B$76,IMPRODUCT(M194,'Small Signal'!$B$77)),IMSUM(IMPRODUCT('Small Signal'!$B$80,IMPOWER(M194,2)),IMSUM(IMPRODUCT(M194,'Small Signal'!$B$79),'Small Signal'!$B$78)))</f>
        <v>-0.000135820093812399-0.000176872922996057i</v>
      </c>
      <c r="U194" s="292">
        <f t="shared" ref="U194:U212" si="95">20*LOG(IMABS(T194))</f>
        <v>-73.033716832561794</v>
      </c>
      <c r="V194" s="292">
        <f t="shared" ref="V194:V212" si="96">(180/PI())*IMARGUMENT(T194)</f>
        <v>-127.52053142617163</v>
      </c>
      <c r="W194" s="292" t="str">
        <f>IMPRODUCT(IMDIV(IMSUM(IMPRODUCT(M194,'Small Signal'!$B$59*'Small Signal'!$B$6*'Small Signal'!$B$51*'Small Signal'!$B$7*'Small Signal'!$B$8),'Small Signal'!$B$59*'Small Signal'!$B$6*'Small Signal'!$B$51),IMSUM(IMSUM(IMPRODUCT(M194,('Small Signal'!$B$5+'Small Signal'!$B$6)*('Small Signal'!$B$58*'Small Signal'!$B$59)+'Small Signal'!$B$5*'Small Signal'!$B$59*('Small Signal'!$B$8+'Small Signal'!$B$9)+'Small Signal'!$B$6*'Small Signal'!$B$59*('Small Signal'!$B$8+'Small Signal'!$B$9)+'Small Signal'!$B$7*'Small Signal'!$B$8*('Small Signal'!$B$5+'Small Signal'!$B$6)),'Small Signal'!$B$6+'Small Signal'!$B$5),IMPRODUCT(IMPOWER(M194,2),'Small Signal'!$B$58*'Small Signal'!$B$59*'Small Signal'!$B$8*'Small Signal'!$B$7*('Small Signal'!$B$5+'Small Signal'!$B$6)+('Small Signal'!$B$5+'Small Signal'!$B$6)*('Small Signal'!$B$9*'Small Signal'!$B$8*'Small Signal'!$B$59*'Small Signal'!$B$7)))),-1)</f>
        <v>-0.235995678353113+0.538605079829427i</v>
      </c>
      <c r="X194" s="292">
        <f t="shared" ref="X194:X212" si="97">IF(D$33=1, 20*LOG(IMABS(Z194))+20*LOG(IMABS(W194)), 0)</f>
        <v>0</v>
      </c>
      <c r="Y194" s="292">
        <f t="shared" ref="Y194:Y212" si="98">IF(D$33=1, (180/PI())*IMARGUMENT(Z194)+(180/PI())*IMARGUMENT(W194), 0)</f>
        <v>0</v>
      </c>
      <c r="Z194" s="292" t="str">
        <f t="shared" ref="Z194:Z212" si="99">IMDIV(COMPLEX(1,IMABS(M194)/(2*PI()*fz_cff)),COMPLEX(1,IMABS(M194)/(2*PI()*fp_cff)))</f>
        <v>2.95495996673632+0.307448921455685i</v>
      </c>
      <c r="AA194" s="292" t="str">
        <f t="shared" ref="AA194:AA212" si="100">IMPRODUCT(AN194,W194,Z194)</f>
        <v>0.000376681507066915-0.000524240594605092i</v>
      </c>
      <c r="AB194" s="289">
        <f t="shared" si="86"/>
        <v>-63.801586166103768</v>
      </c>
      <c r="AC194" s="292">
        <f t="shared" si="87"/>
        <v>-54.301699236290119</v>
      </c>
      <c r="AD194" s="292" t="str">
        <f t="shared" ref="AD194:AD212" si="101">IMPRODUCT(T194,W194)</f>
        <v>0.000127317609983196-0.000031412147025515i</v>
      </c>
      <c r="AE194" s="289">
        <f t="shared" ref="AE194:AE212" si="102">20*LOG(IMABS(AD194))</f>
        <v>-77.64560016965001</v>
      </c>
      <c r="AF194" s="292">
        <f t="shared" ref="AF194:AF212" si="103">(180/PI())*IMARGUMENT(AD194)</f>
        <v>-13.859378874407231</v>
      </c>
      <c r="AH194" s="292" t="str">
        <f t="shared" ref="AH194:AH212" si="104">IMSUM(ESR_ss,IMDIV(1,IMPRODUCT(Co_ss,M194)))</f>
        <v>0.00075-0.00060000685676058i</v>
      </c>
      <c r="AI194" s="292">
        <f t="shared" ref="AI194:AI212" si="105">Ro</f>
        <v>0.95</v>
      </c>
      <c r="AJ194" s="292" t="str">
        <f t="shared" ref="AJ194:AJ212" si="106">IMSUM(ESR2_ss,IMDIV(1,IMPRODUCT(Co2_ss,M194)))</f>
        <v>1000-63360.7240739172i</v>
      </c>
      <c r="AK194" s="292" t="str">
        <f t="shared" ref="AK194:AK212" si="107">IMDIV(1,(IMSUM(IMDIV(1,AH194),IMDIV(1,AI194),IMDIV(1,AJ194))))</f>
        <v>0.000749786407361337-0.000599060362625005i</v>
      </c>
      <c r="AL194" s="292" t="str">
        <f t="shared" ref="AL194:AL212" si="108">IMDIV(IMPRODUCT(Re,IMDIV(1,IMPRODUCT(Ce,M194))),IMSUM(Re,IMDIV(1,IMPRODUCT(Ce,M194))))</f>
        <v>0.567825460805041-0.593473553216351i</v>
      </c>
      <c r="AM194" s="292" t="str">
        <f t="shared" ref="AM194:AM212" si="109">IMSUM(Rdc_ss,IMPRODUCT(Lo_ss,M194))</f>
        <v>0.019+34.7218254234826i</v>
      </c>
      <c r="AN194" s="292" t="str">
        <f t="shared" ref="AN194:AN211" si="110">IMDIV(IMPRODUCT(AK194,AL194),IMPRODUCT(Ri,IMSUM(AL194,AK194,AM194)))</f>
        <v>-0.00036741889546096-0.000039247457635623i</v>
      </c>
      <c r="AO194" s="292">
        <f t="shared" si="88"/>
        <v>-68.647496193217009</v>
      </c>
      <c r="AP194" s="292">
        <f t="shared" si="89"/>
        <v>-173.90282074015229</v>
      </c>
      <c r="AR194" s="292" t="str">
        <f t="shared" ref="AR194:AR212" si="111">IMDIV(IMPRODUCT(Re_vimax,IMDIV(1,IMPRODUCT(Ce,M194))),IMSUM(Re_vimax,IMDIV(1,IMPRODUCT(Ce,M194))))</f>
        <v>0.567825460805041-0.593473553216351i</v>
      </c>
      <c r="AS194" s="292" t="str">
        <f t="shared" ref="AS194:AS212" si="112">IMDIV(IMPRODUCT(AK194,AR194),IMPRODUCT(Ri,IMSUM(AR194,AK194,AM194)))</f>
        <v>-0.00036741889546096-0.000039247457635623i</v>
      </c>
      <c r="AT194" s="292">
        <f t="shared" si="90"/>
        <v>-68.647496193217009</v>
      </c>
      <c r="AU194" s="292">
        <f t="shared" si="91"/>
        <v>-173.90282074015229</v>
      </c>
    </row>
    <row r="195" spans="6:47" x14ac:dyDescent="0.25">
      <c r="F195" s="292">
        <v>193</v>
      </c>
      <c r="G195" s="293">
        <f t="shared" si="92"/>
        <v>110.08692542011184</v>
      </c>
      <c r="H195" s="293">
        <f t="shared" si="93"/>
        <v>93.802152933600354</v>
      </c>
      <c r="I195" s="294">
        <f t="shared" si="94"/>
        <v>0</v>
      </c>
      <c r="J195" s="292">
        <f t="shared" ref="J195:K212" si="113">IF(P195&gt;0,1,0)</f>
        <v>0</v>
      </c>
      <c r="K195" s="292">
        <f t="shared" si="113"/>
        <v>0</v>
      </c>
      <c r="L195" s="292">
        <f>10^('Small Signal'!F195/30)</f>
        <v>2712272.5793320318</v>
      </c>
      <c r="M195" s="292" t="str">
        <f t="shared" ref="M195:M212" si="114">COMPLEX(0,L195*2*PI())</f>
        <v>17041711.2195251i</v>
      </c>
      <c r="N195" s="292">
        <f>IF(D$32=1, IF(AND('Small Signal'!$B$63&gt;=1,FCCM=0),U195+0,R195+0), 0)</f>
        <v>0</v>
      </c>
      <c r="O195" s="292">
        <f>IF(D$32=1, IF(AND('Small Signal'!$B$63&gt;=1,FCCM=0),V195,S195), 0)</f>
        <v>0</v>
      </c>
      <c r="P195" s="292">
        <f>IF(AND('Small Signal'!$B$63&gt;=1,FCCM=0),AE195+0,AB195+0)</f>
        <v>-65.640868084644637</v>
      </c>
      <c r="Q195" s="292">
        <f>IF(AND('Small Signal'!$B$63&gt;=1,FCCM=0),AF195,AC195)</f>
        <v>-56.516447474757925</v>
      </c>
      <c r="R195" s="292">
        <f t="shared" ref="R195:S212" si="115">AO195</f>
        <v>-69.93478027280814</v>
      </c>
      <c r="S195" s="292">
        <f t="shared" si="115"/>
        <v>-174.11543505473605</v>
      </c>
      <c r="T195" s="292" t="str">
        <f>IMDIV(IMSUM('Small Signal'!$B$76,IMPRODUCT(M195,'Small Signal'!$B$77)),IMSUM(IMPRODUCT('Small Signal'!$B$80,IMPOWER(M195,2)),IMSUM(IMPRODUCT(M195,'Small Signal'!$B$79),'Small Signal'!$B$78)))</f>
        <v>-0.000116498475344424-0.000163448766411966i</v>
      </c>
      <c r="U195" s="292">
        <f t="shared" si="95"/>
        <v>-73.948308241575276</v>
      </c>
      <c r="V195" s="292">
        <f t="shared" si="96"/>
        <v>-125.47945717778475</v>
      </c>
      <c r="W195" s="292" t="str">
        <f>IMPRODUCT(IMDIV(IMSUM(IMPRODUCT(M195,'Small Signal'!$B$59*'Small Signal'!$B$6*'Small Signal'!$B$51*'Small Signal'!$B$7*'Small Signal'!$B$8),'Small Signal'!$B$59*'Small Signal'!$B$6*'Small Signal'!$B$51),IMSUM(IMSUM(IMPRODUCT(M195,('Small Signal'!$B$5+'Small Signal'!$B$6)*('Small Signal'!$B$58*'Small Signal'!$B$59)+'Small Signal'!$B$5*'Small Signal'!$B$59*('Small Signal'!$B$8+'Small Signal'!$B$9)+'Small Signal'!$B$6*'Small Signal'!$B$59*('Small Signal'!$B$8+'Small Signal'!$B$9)+'Small Signal'!$B$7*'Small Signal'!$B$8*('Small Signal'!$B$5+'Small Signal'!$B$6)),'Small Signal'!$B$6+'Small Signal'!$B$5),IMPRODUCT(IMPOWER(M195,2),'Small Signal'!$B$58*'Small Signal'!$B$59*'Small Signal'!$B$8*'Small Signal'!$B$7*('Small Signal'!$B$5+'Small Signal'!$B$6)+('Small Signal'!$B$5+'Small Signal'!$B$6)*('Small Signal'!$B$9*'Small Signal'!$B$8*'Small Signal'!$B$59*'Small Signal'!$B$7)))),-1)</f>
        <v>-0.20719498873697+0.510548444722164i</v>
      </c>
      <c r="X195" s="292">
        <f t="shared" si="97"/>
        <v>0</v>
      </c>
      <c r="Y195" s="292">
        <f t="shared" si="98"/>
        <v>0</v>
      </c>
      <c r="Z195" s="292" t="str">
        <f t="shared" si="99"/>
        <v>2.96169762735845+0.285715524676113i</v>
      </c>
      <c r="AA195" s="292" t="str">
        <f t="shared" si="100"/>
        <v>0.000288175913664769-0.000435657983571748i</v>
      </c>
      <c r="AB195" s="289">
        <f t="shared" ref="AB195:AB212" si="116">20*LOG(IMABS(AA195))</f>
        <v>-65.640868084644637</v>
      </c>
      <c r="AC195" s="292">
        <f t="shared" ref="AC195:AC212" si="117">(180/PI())*IMARGUMENT(AA195)</f>
        <v>-56.516447474757925</v>
      </c>
      <c r="AD195" s="292" t="str">
        <f t="shared" si="101"/>
        <v>0.000107586413770248-0.0000256123500838001i</v>
      </c>
      <c r="AE195" s="289">
        <f t="shared" si="102"/>
        <v>-79.125441090664395</v>
      </c>
      <c r="AF195" s="292">
        <f t="shared" si="103"/>
        <v>-13.390752581784302</v>
      </c>
      <c r="AH195" s="292" t="str">
        <f t="shared" si="104"/>
        <v>0.00075-0.000555677587051664i</v>
      </c>
      <c r="AI195" s="292">
        <f t="shared" si="105"/>
        <v>0.95</v>
      </c>
      <c r="AJ195" s="292" t="str">
        <f t="shared" si="106"/>
        <v>1000-58679.5531926557i</v>
      </c>
      <c r="AK195" s="292" t="str">
        <f t="shared" si="107"/>
        <v>0.000749732607902705-0.000554801053877492i</v>
      </c>
      <c r="AL195" s="292" t="str">
        <f t="shared" si="108"/>
        <v>0.522561329861246-0.589735280601856i</v>
      </c>
      <c r="AM195" s="292" t="str">
        <f t="shared" si="109"/>
        <v>0.019+37.4917646829552i</v>
      </c>
      <c r="AN195" s="292" t="str">
        <f t="shared" si="110"/>
        <v>-0.000316932231638001-0.000032665471592215i</v>
      </c>
      <c r="AO195" s="292">
        <f t="shared" ref="AO195:AO212" si="118">20*LOG(IMABS(AN195))</f>
        <v>-69.93478027280814</v>
      </c>
      <c r="AP195" s="292">
        <f t="shared" ref="AP195:AP212" si="119">(180/PI())*IMARGUMENT(AN195)</f>
        <v>-174.11543505473605</v>
      </c>
      <c r="AR195" s="292" t="str">
        <f t="shared" si="111"/>
        <v>0.522561329861246-0.589735280601856i</v>
      </c>
      <c r="AS195" s="292" t="str">
        <f t="shared" si="112"/>
        <v>-0.000316932231638001-0.000032665471592215i</v>
      </c>
      <c r="AT195" s="292">
        <f t="shared" ref="AT195:AT212" si="120">20*LOG(IMABS(AS195))</f>
        <v>-69.93478027280814</v>
      </c>
      <c r="AU195" s="292">
        <f t="shared" ref="AU195:AU212" si="121">(180/PI())*IMARGUMENT(AS195)</f>
        <v>-174.11543505473605</v>
      </c>
    </row>
    <row r="196" spans="6:47" x14ac:dyDescent="0.25">
      <c r="F196" s="292">
        <v>194</v>
      </c>
      <c r="G196" s="293">
        <f t="shared" si="92"/>
        <v>108.28963783714079</v>
      </c>
      <c r="H196" s="293">
        <f t="shared" si="93"/>
        <v>93.11082219008297</v>
      </c>
      <c r="I196" s="294">
        <f t="shared" si="94"/>
        <v>0</v>
      </c>
      <c r="J196" s="292">
        <f t="shared" si="113"/>
        <v>0</v>
      </c>
      <c r="K196" s="292">
        <f t="shared" si="113"/>
        <v>0</v>
      </c>
      <c r="L196" s="292">
        <f>10^('Small Signal'!F196/30)</f>
        <v>2928644.5646252413</v>
      </c>
      <c r="M196" s="292" t="str">
        <f t="shared" si="114"/>
        <v>18401216.4984047i</v>
      </c>
      <c r="N196" s="292">
        <f>IF(D$32=1, IF(AND('Small Signal'!$B$63&gt;=1,FCCM=0),U196+0,R196+0), 0)</f>
        <v>0</v>
      </c>
      <c r="O196" s="292">
        <f>IF(D$32=1, IF(AND('Small Signal'!$B$63&gt;=1,FCCM=0),V196,S196), 0)</f>
        <v>0</v>
      </c>
      <c r="P196" s="292">
        <f>IF(AND('Small Signal'!$B$63&gt;=1,FCCM=0),AE196+0,AB196+0)</f>
        <v>-67.49614065061661</v>
      </c>
      <c r="Q196" s="292">
        <f>IF(AND('Small Signal'!$B$63&gt;=1,FCCM=0),AF196,AC196)</f>
        <v>-58.626778031966687</v>
      </c>
      <c r="R196" s="292">
        <f t="shared" si="115"/>
        <v>-71.223705338700626</v>
      </c>
      <c r="S196" s="292">
        <f t="shared" si="115"/>
        <v>-174.3373176962051</v>
      </c>
      <c r="T196" s="292" t="str">
        <f>IMDIV(IMSUM('Small Signal'!$B$76,IMPRODUCT(M196,'Small Signal'!$B$77)),IMSUM(IMPRODUCT('Small Signal'!$B$80,IMPOWER(M196,2)),IMSUM(IMPRODUCT(M196,'Small Signal'!$B$79),'Small Signal'!$B$78)))</f>
        <v>-0.0000999247802275586-0.00015108971219858i</v>
      </c>
      <c r="U196" s="292">
        <f t="shared" si="95"/>
        <v>-74.839532298213911</v>
      </c>
      <c r="V196" s="292">
        <f t="shared" si="96"/>
        <v>-123.4790790426335</v>
      </c>
      <c r="W196" s="292" t="str">
        <f>IMPRODUCT(IMDIV(IMSUM(IMPRODUCT(M196,'Small Signal'!$B$59*'Small Signal'!$B$6*'Small Signal'!$B$51*'Small Signal'!$B$7*'Small Signal'!$B$8),'Small Signal'!$B$59*'Small Signal'!$B$6*'Small Signal'!$B$51),IMSUM(IMSUM(IMPRODUCT(M196,('Small Signal'!$B$5+'Small Signal'!$B$6)*('Small Signal'!$B$58*'Small Signal'!$B$59)+'Small Signal'!$B$5*'Small Signal'!$B$59*('Small Signal'!$B$8+'Small Signal'!$B$9)+'Small Signal'!$B$6*'Small Signal'!$B$59*('Small Signal'!$B$8+'Small Signal'!$B$9)+'Small Signal'!$B$7*'Small Signal'!$B$8*('Small Signal'!$B$5+'Small Signal'!$B$6)),'Small Signal'!$B$6+'Small Signal'!$B$5),IMPRODUCT(IMPOWER(M196,2),'Small Signal'!$B$58*'Small Signal'!$B$59*'Small Signal'!$B$8*'Small Signal'!$B$7*('Small Signal'!$B$5+'Small Signal'!$B$6)+('Small Signal'!$B$5+'Small Signal'!$B$6)*('Small Signal'!$B$9*'Small Signal'!$B$8*'Small Signal'!$B$59*'Small Signal'!$B$7)))),-1)</f>
        <v>-0.181386089545931+0.482568511190299i</v>
      </c>
      <c r="X196" s="292">
        <f t="shared" si="97"/>
        <v>0</v>
      </c>
      <c r="Y196" s="292">
        <f t="shared" si="98"/>
        <v>0</v>
      </c>
      <c r="Z196" s="292" t="str">
        <f t="shared" si="99"/>
        <v>2.96751359979372+0.265390994400514i</v>
      </c>
      <c r="AA196" s="292" t="str">
        <f t="shared" si="100"/>
        <v>0.000219637261434917-0.000360202042025738i</v>
      </c>
      <c r="AB196" s="289">
        <f t="shared" si="116"/>
        <v>-67.49614065061661</v>
      </c>
      <c r="AC196" s="292">
        <f t="shared" si="117"/>
        <v>-58.626778031966687</v>
      </c>
      <c r="AD196" s="292" t="str">
        <f t="shared" si="101"/>
        <v>0.0000910361026060529-0.0000208149803591102i</v>
      </c>
      <c r="AE196" s="289">
        <f t="shared" si="102"/>
        <v>-80.594419111981551</v>
      </c>
      <c r="AF196" s="292">
        <f t="shared" si="103"/>
        <v>-12.879025882069984</v>
      </c>
      <c r="AH196" s="292" t="str">
        <f t="shared" si="104"/>
        <v>0.00075-0.000514623420169962i</v>
      </c>
      <c r="AI196" s="292">
        <f t="shared" si="105"/>
        <v>0.95</v>
      </c>
      <c r="AJ196" s="292" t="str">
        <f t="shared" si="106"/>
        <v>1000-54344.233169948i</v>
      </c>
      <c r="AK196" s="292" t="str">
        <f t="shared" si="107"/>
        <v>0.000749686464315863-0.000513811672791039i</v>
      </c>
      <c r="AL196" s="292" t="str">
        <f t="shared" si="108"/>
        <v>0.478124132938137-0.582631337508305i</v>
      </c>
      <c r="AM196" s="292" t="str">
        <f t="shared" si="109"/>
        <v>0.019+40.4826762964903i</v>
      </c>
      <c r="AN196" s="292" t="str">
        <f t="shared" si="110"/>
        <v>-0.000273331829730579-0.0000271023560485839i</v>
      </c>
      <c r="AO196" s="292">
        <f t="shared" si="118"/>
        <v>-71.223705338700626</v>
      </c>
      <c r="AP196" s="292">
        <f t="shared" si="119"/>
        <v>-174.3373176962051</v>
      </c>
      <c r="AR196" s="292" t="str">
        <f t="shared" si="111"/>
        <v>0.478124132938137-0.582631337508305i</v>
      </c>
      <c r="AS196" s="292" t="str">
        <f t="shared" si="112"/>
        <v>-0.000273331829730579-0.0000271023560485839i</v>
      </c>
      <c r="AT196" s="292">
        <f t="shared" si="120"/>
        <v>-71.223705338700626</v>
      </c>
      <c r="AU196" s="292">
        <f t="shared" si="121"/>
        <v>-174.3373176962051</v>
      </c>
    </row>
    <row r="197" spans="6:47" x14ac:dyDescent="0.25">
      <c r="F197" s="292">
        <v>195</v>
      </c>
      <c r="G197" s="293">
        <f t="shared" si="92"/>
        <v>106.6042358298829</v>
      </c>
      <c r="H197" s="293">
        <f t="shared" si="93"/>
        <v>92.468245906758298</v>
      </c>
      <c r="I197" s="294">
        <f t="shared" si="94"/>
        <v>0</v>
      </c>
      <c r="J197" s="292">
        <f t="shared" si="113"/>
        <v>0</v>
      </c>
      <c r="K197" s="292">
        <f t="shared" si="113"/>
        <v>0</v>
      </c>
      <c r="L197" s="292">
        <f>10^('Small Signal'!F197/30)</f>
        <v>3162277.6601683851</v>
      </c>
      <c r="M197" s="292" t="str">
        <f t="shared" si="114"/>
        <v>19869176.5315922i</v>
      </c>
      <c r="N197" s="292">
        <f>IF(D$32=1, IF(AND('Small Signal'!$B$63&gt;=1,FCCM=0),U197+0,R197+0), 0)</f>
        <v>0</v>
      </c>
      <c r="O197" s="292">
        <f>IF(D$32=1, IF(AND('Small Signal'!$B$63&gt;=1,FCCM=0),V197,S197), 0)</f>
        <v>0</v>
      </c>
      <c r="P197" s="292">
        <f>IF(AND('Small Signal'!$B$63&gt;=1,FCCM=0),AE197+0,AB197+0)</f>
        <v>-69.366213466707308</v>
      </c>
      <c r="Q197" s="292">
        <f>IF(AND('Small Signal'!$B$63&gt;=1,FCCM=0),AF197,AC197)</f>
        <v>-60.633898290987119</v>
      </c>
      <c r="R197" s="292">
        <f t="shared" si="115"/>
        <v>-72.514662483264928</v>
      </c>
      <c r="S197" s="292">
        <f t="shared" si="115"/>
        <v>-174.56722867962731</v>
      </c>
      <c r="T197" s="292" t="str">
        <f>IMDIV(IMSUM('Small Signal'!$B$76,IMPRODUCT(M197,'Small Signal'!$B$77)),IMSUM(IMPRODUCT('Small Signal'!$B$80,IMPOWER(M197,2)),IMSUM(IMPRODUCT(M197,'Small Signal'!$B$79),'Small Signal'!$B$78)))</f>
        <v>-0.0000857083963899071-0.000139701999925715i</v>
      </c>
      <c r="U197" s="292">
        <f t="shared" si="95"/>
        <v>-75.708523105330684</v>
      </c>
      <c r="V197" s="292">
        <f t="shared" si="96"/>
        <v>-121.52947909140686</v>
      </c>
      <c r="W197" s="292" t="str">
        <f>IMPRODUCT(IMDIV(IMSUM(IMPRODUCT(M197,'Small Signal'!$B$59*'Small Signal'!$B$6*'Small Signal'!$B$51*'Small Signal'!$B$7*'Small Signal'!$B$8),'Small Signal'!$B$59*'Small Signal'!$B$6*'Small Signal'!$B$51),IMSUM(IMSUM(IMPRODUCT(M197,('Small Signal'!$B$5+'Small Signal'!$B$6)*('Small Signal'!$B$58*'Small Signal'!$B$59)+'Small Signal'!$B$5*'Small Signal'!$B$59*('Small Signal'!$B$8+'Small Signal'!$B$9)+'Small Signal'!$B$6*'Small Signal'!$B$59*('Small Signal'!$B$8+'Small Signal'!$B$9)+'Small Signal'!$B$7*'Small Signal'!$B$8*('Small Signal'!$B$5+'Small Signal'!$B$6)),'Small Signal'!$B$6+'Small Signal'!$B$5),IMPRODUCT(IMPOWER(M197,2),'Small Signal'!$B$58*'Small Signal'!$B$59*'Small Signal'!$B$8*'Small Signal'!$B$7*('Small Signal'!$B$5+'Small Signal'!$B$6)+('Small Signal'!$B$5+'Small Signal'!$B$6)*('Small Signal'!$B$9*'Small Signal'!$B$8*'Small Signal'!$B$59*'Small Signal'!$B$7)))),-1)</f>
        <v>-0.158383957561003+0.454955175690198i</v>
      </c>
      <c r="X197" s="292">
        <f t="shared" si="97"/>
        <v>0</v>
      </c>
      <c r="Y197" s="292">
        <f t="shared" si="98"/>
        <v>0</v>
      </c>
      <c r="Z197" s="292" t="str">
        <f t="shared" si="99"/>
        <v>2.97252947945448+0.246410158393938i</v>
      </c>
      <c r="AA197" s="292" t="str">
        <f t="shared" si="100"/>
        <v>0.000166812795599235-0.000296454985938465i</v>
      </c>
      <c r="AB197" s="289">
        <f t="shared" si="116"/>
        <v>-69.366213466707308</v>
      </c>
      <c r="AC197" s="292">
        <f t="shared" si="117"/>
        <v>-60.633898290987119</v>
      </c>
      <c r="AD197" s="292" t="str">
        <f t="shared" si="101"/>
        <v>0.0000771329829369164-0.0000168669229102736i</v>
      </c>
      <c r="AE197" s="289">
        <f t="shared" si="102"/>
        <v>-82.052338885983644</v>
      </c>
      <c r="AF197" s="292">
        <f t="shared" si="103"/>
        <v>-12.334892595478637</v>
      </c>
      <c r="AH197" s="292" t="str">
        <f t="shared" si="104"/>
        <v>0.00075-0.000476602387353096i</v>
      </c>
      <c r="AI197" s="292">
        <f t="shared" si="105"/>
        <v>0.95</v>
      </c>
      <c r="AJ197" s="292" t="str">
        <f t="shared" si="106"/>
        <v>1000-50329.212104487i</v>
      </c>
      <c r="AK197" s="292" t="str">
        <f t="shared" si="107"/>
        <v>0.000749646887138985-0.000475850634289622i</v>
      </c>
      <c r="AL197" s="292" t="str">
        <f t="shared" si="108"/>
        <v>0.434995940337799-0.572363212041026i</v>
      </c>
      <c r="AM197" s="292" t="str">
        <f t="shared" si="109"/>
        <v>0.019+43.7121883695028i</v>
      </c>
      <c r="AN197" s="292" t="str">
        <f t="shared" si="110"/>
        <v>-0.000235673970860347-0.0000224137590247898i</v>
      </c>
      <c r="AO197" s="292">
        <f t="shared" si="118"/>
        <v>-72.514662483264928</v>
      </c>
      <c r="AP197" s="292">
        <f t="shared" si="119"/>
        <v>-174.56722867962731</v>
      </c>
      <c r="AR197" s="292" t="str">
        <f t="shared" si="111"/>
        <v>0.434995940337799-0.572363212041026i</v>
      </c>
      <c r="AS197" s="292" t="str">
        <f t="shared" si="112"/>
        <v>-0.000235673970860347-0.0000224137590247898i</v>
      </c>
      <c r="AT197" s="292">
        <f t="shared" si="120"/>
        <v>-72.514662483264928</v>
      </c>
      <c r="AU197" s="292">
        <f t="shared" si="121"/>
        <v>-174.56722867962731</v>
      </c>
    </row>
    <row r="198" spans="6:47" x14ac:dyDescent="0.25">
      <c r="F198" s="292">
        <v>196</v>
      </c>
      <c r="G198" s="293">
        <f t="shared" si="92"/>
        <v>105.02631936784984</v>
      </c>
      <c r="H198" s="293">
        <f t="shared" si="93"/>
        <v>91.871287110423623</v>
      </c>
      <c r="I198" s="294">
        <f t="shared" si="94"/>
        <v>0</v>
      </c>
      <c r="J198" s="292">
        <f t="shared" si="113"/>
        <v>0</v>
      </c>
      <c r="K198" s="292">
        <f t="shared" si="113"/>
        <v>0</v>
      </c>
      <c r="L198" s="292">
        <f>10^('Small Signal'!F198/30)</f>
        <v>3414548.8738336028</v>
      </c>
      <c r="M198" s="292" t="str">
        <f t="shared" si="114"/>
        <v>21454243.3147179i</v>
      </c>
      <c r="N198" s="292">
        <f>IF(D$32=1, IF(AND('Small Signal'!$B$63&gt;=1,FCCM=0),U198+0,R198+0), 0)</f>
        <v>0</v>
      </c>
      <c r="O198" s="292">
        <f>IF(D$32=1, IF(AND('Small Signal'!$B$63&gt;=1,FCCM=0),V198,S198), 0)</f>
        <v>0</v>
      </c>
      <c r="P198" s="292">
        <f>IF(AND('Small Signal'!$B$63&gt;=1,FCCM=0),AE198+0,AB198+0)</f>
        <v>-71.249943554985052</v>
      </c>
      <c r="Q198" s="292">
        <f>IF(AND('Small Signal'!$B$63&gt;=1,FCCM=0),AF198,AC198)</f>
        <v>-62.539333555779422</v>
      </c>
      <c r="R198" s="292">
        <f t="shared" si="115"/>
        <v>-73.807967096641079</v>
      </c>
      <c r="S198" s="292">
        <f t="shared" si="115"/>
        <v>-174.80350574231593</v>
      </c>
      <c r="T198" s="292" t="str">
        <f>IMDIV(IMSUM('Small Signal'!$B$76,IMPRODUCT(M198,'Small Signal'!$B$77)),IMSUM(IMPRODUCT('Small Signal'!$B$80,IMPOWER(M198,2)),IMSUM(IMPRODUCT(M198,'Small Signal'!$B$79),'Small Signal'!$B$78)))</f>
        <v>-0.0000735141841871325-0.000129201893023074i</v>
      </c>
      <c r="U198" s="292">
        <f t="shared" si="95"/>
        <v>-76.556575563601712</v>
      </c>
      <c r="V198" s="292">
        <f t="shared" si="96"/>
        <v>-119.63930907445162</v>
      </c>
      <c r="W198" s="292" t="str">
        <f>IMPRODUCT(IMDIV(IMSUM(IMPRODUCT(M198,'Small Signal'!$B$59*'Small Signal'!$B$6*'Small Signal'!$B$51*'Small Signal'!$B$7*'Small Signal'!$B$8),'Small Signal'!$B$59*'Small Signal'!$B$6*'Small Signal'!$B$51),IMSUM(IMSUM(IMPRODUCT(M198,('Small Signal'!$B$5+'Small Signal'!$B$6)*('Small Signal'!$B$58*'Small Signal'!$B$59)+'Small Signal'!$B$5*'Small Signal'!$B$59*('Small Signal'!$B$8+'Small Signal'!$B$9)+'Small Signal'!$B$6*'Small Signal'!$B$59*('Small Signal'!$B$8+'Small Signal'!$B$9)+'Small Signal'!$B$7*'Small Signal'!$B$8*('Small Signal'!$B$5+'Small Signal'!$B$6)),'Small Signal'!$B$6+'Small Signal'!$B$5),IMPRODUCT(IMPOWER(M198,2),'Small Signal'!$B$58*'Small Signal'!$B$59*'Small Signal'!$B$8*'Small Signal'!$B$7*('Small Signal'!$B$5+'Small Signal'!$B$6)+('Small Signal'!$B$5+'Small Signal'!$B$6)*('Small Signal'!$B$9*'Small Signal'!$B$8*'Small Signal'!$B$59*'Small Signal'!$B$7)))),-1)</f>
        <v>-0.137982762219999+0.427946096856665i</v>
      </c>
      <c r="X198" s="292">
        <f t="shared" si="97"/>
        <v>0</v>
      </c>
      <c r="Y198" s="292">
        <f t="shared" si="98"/>
        <v>0</v>
      </c>
      <c r="Z198" s="292" t="str">
        <f t="shared" si="99"/>
        <v>2.97685199789622+0.228705141500736i</v>
      </c>
      <c r="AA198" s="292" t="str">
        <f t="shared" si="100"/>
        <v>0.000126280186296165-0.000242989115233511i</v>
      </c>
      <c r="AB198" s="289">
        <f t="shared" si="116"/>
        <v>-71.249943554985052</v>
      </c>
      <c r="AC198" s="292">
        <f t="shared" si="117"/>
        <v>-62.539333555779422</v>
      </c>
      <c r="AD198" s="292" t="str">
        <f t="shared" si="101"/>
        <v>0.0000654351360222072-0.0000136324741031087i</v>
      </c>
      <c r="AE198" s="289">
        <f t="shared" si="102"/>
        <v>-83.499255839328185</v>
      </c>
      <c r="AF198" s="292">
        <f t="shared" si="103"/>
        <v>-11.768418249666876</v>
      </c>
      <c r="AH198" s="292" t="str">
        <f t="shared" si="104"/>
        <v>0.00075-0.000441390396798597i</v>
      </c>
      <c r="AI198" s="292">
        <f t="shared" si="105"/>
        <v>0.95</v>
      </c>
      <c r="AJ198" s="292" t="str">
        <f t="shared" si="106"/>
        <v>1000-46610.8259019318i</v>
      </c>
      <c r="AK198" s="292" t="str">
        <f t="shared" si="107"/>
        <v>0.0007496129419446-0.000440694201636993i</v>
      </c>
      <c r="AL198" s="292" t="str">
        <f t="shared" si="108"/>
        <v>0.393601328403214-0.559211890481512i</v>
      </c>
      <c r="AM198" s="292" t="str">
        <f t="shared" si="109"/>
        <v>0.019+47.1993352923794i</v>
      </c>
      <c r="AN198" s="292" t="str">
        <f t="shared" si="110"/>
        <v>-0.000203148206040432-0.0000184754021903489i</v>
      </c>
      <c r="AO198" s="292">
        <f t="shared" si="118"/>
        <v>-73.807967096641079</v>
      </c>
      <c r="AP198" s="292">
        <f t="shared" si="119"/>
        <v>-174.80350574231593</v>
      </c>
      <c r="AR198" s="292" t="str">
        <f t="shared" si="111"/>
        <v>0.393601328403214-0.559211890481512i</v>
      </c>
      <c r="AS198" s="292" t="str">
        <f t="shared" si="112"/>
        <v>-0.000203148206040432-0.0000184754021903489i</v>
      </c>
      <c r="AT198" s="292">
        <f t="shared" si="120"/>
        <v>-73.807967096641079</v>
      </c>
      <c r="AU198" s="292">
        <f t="shared" si="121"/>
        <v>-174.80350574231593</v>
      </c>
    </row>
    <row r="199" spans="6:47" x14ac:dyDescent="0.25">
      <c r="F199" s="292">
        <v>197</v>
      </c>
      <c r="G199" s="293">
        <f t="shared" si="92"/>
        <v>103.55114459370375</v>
      </c>
      <c r="H199" s="293">
        <f t="shared" si="93"/>
        <v>91.31694883926869</v>
      </c>
      <c r="I199" s="294">
        <f t="shared" si="94"/>
        <v>0</v>
      </c>
      <c r="J199" s="292">
        <f t="shared" si="113"/>
        <v>0</v>
      </c>
      <c r="K199" s="292">
        <f t="shared" si="113"/>
        <v>0</v>
      </c>
      <c r="L199" s="292">
        <f>10^('Small Signal'!F199/30)</f>
        <v>3686945.0645195777</v>
      </c>
      <c r="M199" s="292" t="str">
        <f t="shared" si="114"/>
        <v>23165759.0577677i</v>
      </c>
      <c r="N199" s="292">
        <f>IF(D$32=1, IF(AND('Small Signal'!$B$63&gt;=1,FCCM=0),U199+0,R199+0), 0)</f>
        <v>0</v>
      </c>
      <c r="O199" s="292">
        <f>IF(D$32=1, IF(AND('Small Signal'!$B$63&gt;=1,FCCM=0),V199,S199), 0)</f>
        <v>0</v>
      </c>
      <c r="P199" s="292">
        <f>IF(AND('Small Signal'!$B$63&gt;=1,FCCM=0),AE199+0,AB199+0)</f>
        <v>-73.146231791335779</v>
      </c>
      <c r="Q199" s="292">
        <f>IF(AND('Small Signal'!$B$63&gt;=1,FCCM=0),AF199,AC199)</f>
        <v>-64.344906359958571</v>
      </c>
      <c r="R199" s="292">
        <f t="shared" si="115"/>
        <v>-75.103852247764962</v>
      </c>
      <c r="S199" s="292">
        <f t="shared" si="115"/>
        <v>-175.04420750257128</v>
      </c>
      <c r="T199" s="292" t="str">
        <f>IMDIV(IMSUM('Small Signal'!$B$76,IMPRODUCT(M199,'Small Signal'!$B$77)),IMSUM(IMPRODUCT('Small Signal'!$B$80,IMPOWER(M199,2)),IMSUM(IMPRODUCT(M199,'Small Signal'!$B$79),'Small Signal'!$B$78)))</f>
        <v>-0.0000630546123724274-0.000119514302128934i</v>
      </c>
      <c r="U199" s="292">
        <f t="shared" si="95"/>
        <v>-77.38509868935391</v>
      </c>
      <c r="V199" s="292">
        <f t="shared" si="96"/>
        <v>-117.81570396820536</v>
      </c>
      <c r="W199" s="292" t="str">
        <f>IMPRODUCT(IMDIV(IMSUM(IMPRODUCT(M199,'Small Signal'!$B$59*'Small Signal'!$B$6*'Small Signal'!$B$51*'Small Signal'!$B$7*'Small Signal'!$B$8),'Small Signal'!$B$59*'Small Signal'!$B$6*'Small Signal'!$B$51),IMSUM(IMSUM(IMPRODUCT(M199,('Small Signal'!$B$5+'Small Signal'!$B$6)*('Small Signal'!$B$58*'Small Signal'!$B$59)+'Small Signal'!$B$5*'Small Signal'!$B$59*('Small Signal'!$B$8+'Small Signal'!$B$9)+'Small Signal'!$B$6*'Small Signal'!$B$59*('Small Signal'!$B$8+'Small Signal'!$B$9)+'Small Signal'!$B$7*'Small Signal'!$B$8*('Small Signal'!$B$5+'Small Signal'!$B$6)),'Small Signal'!$B$6+'Small Signal'!$B$5),IMPRODUCT(IMPOWER(M199,2),'Small Signal'!$B$58*'Small Signal'!$B$59*'Small Signal'!$B$8*'Small Signal'!$B$7*('Small Signal'!$B$5+'Small Signal'!$B$6)+('Small Signal'!$B$5+'Small Signal'!$B$6)*('Small Signal'!$B$9*'Small Signal'!$B$8*'Small Signal'!$B$59*'Small Signal'!$B$7)))),-1)</f>
        <v>-0.119966269720889+0.40172973454582i</v>
      </c>
      <c r="X199" s="292">
        <f t="shared" si="97"/>
        <v>0</v>
      </c>
      <c r="Y199" s="292">
        <f t="shared" si="98"/>
        <v>0</v>
      </c>
      <c r="Z199" s="292" t="str">
        <f t="shared" si="99"/>
        <v>2.98057452505012+0.212206961747909i</v>
      </c>
      <c r="AA199" s="292" t="str">
        <f t="shared" si="100"/>
        <v>0.0000953078961066971-0.000198433035884522i</v>
      </c>
      <c r="AB199" s="289">
        <f t="shared" si="116"/>
        <v>-73.146231791335779</v>
      </c>
      <c r="AC199" s="292">
        <f t="shared" si="117"/>
        <v>-64.344906359958571</v>
      </c>
      <c r="AD199" s="292" t="str">
        <f t="shared" si="101"/>
        <v>0.0000555768755037023-0.0000109932276855613i</v>
      </c>
      <c r="AE199" s="289">
        <f t="shared" si="102"/>
        <v>-84.935436565350457</v>
      </c>
      <c r="AF199" s="292">
        <f t="shared" si="103"/>
        <v>-11.188799495641508</v>
      </c>
      <c r="AH199" s="292" t="str">
        <f t="shared" si="104"/>
        <v>0.00075-0.00040877991289138i</v>
      </c>
      <c r="AI199" s="292">
        <f t="shared" si="105"/>
        <v>0.95</v>
      </c>
      <c r="AJ199" s="292" t="str">
        <f t="shared" si="106"/>
        <v>1000-43167.1588013297i</v>
      </c>
      <c r="AK199" s="292" t="str">
        <f t="shared" si="107"/>
        <v>0.000749583827277629-0.000408135167834958i</v>
      </c>
      <c r="AL199" s="292" t="str">
        <f t="shared" si="108"/>
        <v>0.354292733229445-0.543519862682396i</v>
      </c>
      <c r="AM199" s="292" t="str">
        <f t="shared" si="109"/>
        <v>0.019+50.9646699270889i</v>
      </c>
      <c r="AN199" s="292" t="str">
        <f t="shared" si="110"/>
        <v>-0.000175057531314511-0.0000151794562419864i</v>
      </c>
      <c r="AO199" s="292">
        <f t="shared" si="118"/>
        <v>-75.103852247764962</v>
      </c>
      <c r="AP199" s="292">
        <f t="shared" si="119"/>
        <v>-175.04420750257128</v>
      </c>
      <c r="AR199" s="292" t="str">
        <f t="shared" si="111"/>
        <v>0.354292733229445-0.543519862682396i</v>
      </c>
      <c r="AS199" s="292" t="str">
        <f t="shared" si="112"/>
        <v>-0.000175057531314511-0.0000151794562419864i</v>
      </c>
      <c r="AT199" s="292">
        <f t="shared" si="120"/>
        <v>-75.103852247764962</v>
      </c>
      <c r="AU199" s="292">
        <f t="shared" si="121"/>
        <v>-175.04420750257128</v>
      </c>
    </row>
    <row r="200" spans="6:47" x14ac:dyDescent="0.25">
      <c r="F200" s="292">
        <v>198</v>
      </c>
      <c r="G200" s="293">
        <f t="shared" si="92"/>
        <v>102.17375101792983</v>
      </c>
      <c r="H200" s="293">
        <f t="shared" si="93"/>
        <v>90.802381459787739</v>
      </c>
      <c r="I200" s="294">
        <f t="shared" si="94"/>
        <v>0</v>
      </c>
      <c r="J200" s="292">
        <f t="shared" si="113"/>
        <v>0</v>
      </c>
      <c r="K200" s="292">
        <f t="shared" si="113"/>
        <v>0</v>
      </c>
      <c r="L200" s="292">
        <f>10^('Small Signal'!F200/30)</f>
        <v>3981071.705534976</v>
      </c>
      <c r="M200" s="292" t="str">
        <f t="shared" si="114"/>
        <v>25013811.2470457i</v>
      </c>
      <c r="N200" s="292">
        <f>IF(D$32=1, IF(AND('Small Signal'!$B$63&gt;=1,FCCM=0),U200+0,R200+0), 0)</f>
        <v>0</v>
      </c>
      <c r="O200" s="292">
        <f>IF(D$32=1, IF(AND('Small Signal'!$B$63&gt;=1,FCCM=0),V200,S200), 0)</f>
        <v>0</v>
      </c>
      <c r="P200" s="292">
        <f>IF(AND('Small Signal'!$B$63&gt;=1,FCCM=0),AE200+0,AB200+0)</f>
        <v>-75.054021440075161</v>
      </c>
      <c r="Q200" s="292">
        <f>IF(AND('Small Signal'!$B$63&gt;=1,FCCM=0),AF200,AC200)</f>
        <v>-66.052727199437598</v>
      </c>
      <c r="R200" s="292">
        <f t="shared" si="115"/>
        <v>-76.402468073184366</v>
      </c>
      <c r="S200" s="292">
        <f t="shared" si="115"/>
        <v>-175.2872531512437</v>
      </c>
      <c r="T200" s="292" t="str">
        <f>IMDIV(IMSUM('Small Signal'!$B$76,IMPRODUCT(M200,'Small Signal'!$B$77)),IMSUM(IMPRODUCT('Small Signal'!$B$80,IMPOWER(M200,2)),IMSUM(IMPRODUCT(M200,'Small Signal'!$B$79),'Small Signal'!$B$78)))</f>
        <v>-0.0000540830052471486-0.000110571640705391i</v>
      </c>
      <c r="U200" s="292">
        <f t="shared" si="95"/>
        <v>-78.195570053099033</v>
      </c>
      <c r="V200" s="292">
        <f t="shared" si="96"/>
        <v>-116.06426707687116</v>
      </c>
      <c r="W200" s="292" t="str">
        <f>IMPRODUCT(IMDIV(IMSUM(IMPRODUCT(M200,'Small Signal'!$B$59*'Small Signal'!$B$6*'Small Signal'!$B$51*'Small Signal'!$B$7*'Small Signal'!$B$8),'Small Signal'!$B$59*'Small Signal'!$B$6*'Small Signal'!$B$51),IMSUM(IMSUM(IMPRODUCT(M200,('Small Signal'!$B$5+'Small Signal'!$B$6)*('Small Signal'!$B$58*'Small Signal'!$B$59)+'Small Signal'!$B$5*'Small Signal'!$B$59*('Small Signal'!$B$8+'Small Signal'!$B$9)+'Small Signal'!$B$6*'Small Signal'!$B$59*('Small Signal'!$B$8+'Small Signal'!$B$9)+'Small Signal'!$B$7*'Small Signal'!$B$8*('Small Signal'!$B$5+'Small Signal'!$B$6)),'Small Signal'!$B$6+'Small Signal'!$B$5),IMPRODUCT(IMPOWER(M200,2),'Small Signal'!$B$58*'Small Signal'!$B$59*'Small Signal'!$B$8*'Small Signal'!$B$7*('Small Signal'!$B$5+'Small Signal'!$B$6)+('Small Signal'!$B$5+'Small Signal'!$B$6)*('Small Signal'!$B$9*'Small Signal'!$B$8*'Small Signal'!$B$59*'Small Signal'!$B$7)))),-1)</f>
        <v>-0.10411622504718+0.376449790660002i</v>
      </c>
      <c r="X200" s="292">
        <f t="shared" si="97"/>
        <v>0</v>
      </c>
      <c r="Y200" s="292">
        <f t="shared" si="98"/>
        <v>0</v>
      </c>
      <c r="Z200" s="292" t="str">
        <f t="shared" si="99"/>
        <v>2.9837785082684+0.19684676699585i</v>
      </c>
      <c r="AA200" s="292" t="str">
        <f t="shared" si="100"/>
        <v>0.0000717320845904518-0.000161512750354974i</v>
      </c>
      <c r="AB200" s="289">
        <f t="shared" si="116"/>
        <v>-75.054021440075161</v>
      </c>
      <c r="AC200" s="292">
        <f t="shared" si="117"/>
        <v>-66.052727199437598</v>
      </c>
      <c r="AD200" s="292" t="str">
        <f t="shared" si="101"/>
        <v>0.0000472555893420173-8.84723417603446E-06i</v>
      </c>
      <c r="AE200" s="289">
        <f t="shared" si="102"/>
        <v>-86.361316032609551</v>
      </c>
      <c r="AF200" s="292">
        <f t="shared" si="103"/>
        <v>-10.604206587871774</v>
      </c>
      <c r="AH200" s="292" t="str">
        <f t="shared" si="104"/>
        <v>0.00075-0.000378578733011563i</v>
      </c>
      <c r="AI200" s="292">
        <f t="shared" si="105"/>
        <v>0.95</v>
      </c>
      <c r="AJ200" s="292" t="str">
        <f t="shared" si="106"/>
        <v>1000-39977.9142060212i</v>
      </c>
      <c r="AK200" s="292" t="str">
        <f t="shared" si="107"/>
        <v>0.000749558855732883-0.000377981634430035i</v>
      </c>
      <c r="AL200" s="292" t="str">
        <f t="shared" si="108"/>
        <v>0.317341837824183-0.525670784804631i</v>
      </c>
      <c r="AM200" s="292" t="str">
        <f t="shared" si="109"/>
        <v>0.019+55.0303847435005i</v>
      </c>
      <c r="AN200" s="292" t="str">
        <f t="shared" si="110"/>
        <v>-0.00015080155394299-0.0000124319214804263i</v>
      </c>
      <c r="AO200" s="292">
        <f t="shared" si="118"/>
        <v>-76.402468073184366</v>
      </c>
      <c r="AP200" s="292">
        <f t="shared" si="119"/>
        <v>-175.2872531512437</v>
      </c>
      <c r="AR200" s="292" t="str">
        <f t="shared" si="111"/>
        <v>0.317341837824183-0.525670784804631i</v>
      </c>
      <c r="AS200" s="292" t="str">
        <f t="shared" si="112"/>
        <v>-0.00015080155394299-0.0000124319214804263i</v>
      </c>
      <c r="AT200" s="292">
        <f t="shared" si="120"/>
        <v>-76.402468073184366</v>
      </c>
      <c r="AU200" s="292">
        <f t="shared" si="121"/>
        <v>-175.2872531512437</v>
      </c>
    </row>
    <row r="201" spans="6:47" x14ac:dyDescent="0.25">
      <c r="F201" s="292">
        <v>199</v>
      </c>
      <c r="G201" s="293">
        <f t="shared" si="92"/>
        <v>100.8890680898332</v>
      </c>
      <c r="H201" s="293">
        <f t="shared" si="93"/>
        <v>90.324886182804079</v>
      </c>
      <c r="I201" s="294">
        <f t="shared" si="94"/>
        <v>0</v>
      </c>
      <c r="J201" s="292">
        <f t="shared" si="113"/>
        <v>0</v>
      </c>
      <c r="K201" s="292">
        <f t="shared" si="113"/>
        <v>0</v>
      </c>
      <c r="L201" s="292">
        <f>10^('Small Signal'!F201/30)</f>
        <v>4298662.3470822899</v>
      </c>
      <c r="M201" s="292" t="str">
        <f t="shared" si="114"/>
        <v>27009292.0997136i</v>
      </c>
      <c r="N201" s="292">
        <f>IF(D$32=1, IF(AND('Small Signal'!$B$63&gt;=1,FCCM=0),U201+0,R201+0), 0)</f>
        <v>0</v>
      </c>
      <c r="O201" s="292">
        <f>IF(D$32=1, IF(AND('Small Signal'!$B$63&gt;=1,FCCM=0),V201,S201), 0)</f>
        <v>0</v>
      </c>
      <c r="P201" s="292">
        <f>IF(AND('Small Signal'!$B$63&gt;=1,FCCM=0),AE201+0,AB201+0)</f>
        <v>-76.972298805958062</v>
      </c>
      <c r="Q201" s="292">
        <f>IF(AND('Small Signal'!$B$63&gt;=1,FCCM=0),AF201,AC201)</f>
        <v>-67.665188379084128</v>
      </c>
      <c r="R201" s="292">
        <f t="shared" si="115"/>
        <v>-77.703886287341533</v>
      </c>
      <c r="S201" s="292">
        <f t="shared" si="115"/>
        <v>-175.53054783691252</v>
      </c>
      <c r="T201" s="292" t="str">
        <f>IMDIV(IMSUM('Small Signal'!$B$76,IMPRODUCT(M201,'Small Signal'!$B$77)),IMSUM(IMPRODUCT('Small Signal'!$B$80,IMPOWER(M201,2)),IMSUM(IMPRODUCT(M201,'Small Signal'!$B$79),'Small Signal'!$B$78)))</f>
        <v>-0.0000463877449529974-0.00010231286899234i</v>
      </c>
      <c r="U201" s="292">
        <f t="shared" si="95"/>
        <v>-78.989493846415712</v>
      </c>
      <c r="V201" s="292">
        <f t="shared" si="96"/>
        <v>-114.38911693022108</v>
      </c>
      <c r="W201" s="292" t="str">
        <f>IMPRODUCT(IMDIV(IMSUM(IMPRODUCT(M201,'Small Signal'!$B$59*'Small Signal'!$B$6*'Small Signal'!$B$51*'Small Signal'!$B$7*'Small Signal'!$B$8),'Small Signal'!$B$59*'Small Signal'!$B$6*'Small Signal'!$B$51),IMSUM(IMSUM(IMPRODUCT(M201,('Small Signal'!$B$5+'Small Signal'!$B$6)*('Small Signal'!$B$58*'Small Signal'!$B$59)+'Small Signal'!$B$5*'Small Signal'!$B$59*('Small Signal'!$B$8+'Small Signal'!$B$9)+'Small Signal'!$B$6*'Small Signal'!$B$59*('Small Signal'!$B$8+'Small Signal'!$B$9)+'Small Signal'!$B$7*'Small Signal'!$B$8*('Small Signal'!$B$5+'Small Signal'!$B$6)),'Small Signal'!$B$6+'Small Signal'!$B$5),IMPRODUCT(IMPOWER(M201,2),'Small Signal'!$B$58*'Small Signal'!$B$59*'Small Signal'!$B$8*'Small Signal'!$B$7*('Small Signal'!$B$5+'Small Signal'!$B$6)+('Small Signal'!$B$5+'Small Signal'!$B$6)*('Small Signal'!$B$9*'Small Signal'!$B$8*'Small Signal'!$B$59*'Small Signal'!$B$7)))),-1)</f>
        <v>-0.0902187803647939+0.352210417776374i</v>
      </c>
      <c r="X201" s="292">
        <f t="shared" si="97"/>
        <v>0</v>
      </c>
      <c r="Y201" s="292">
        <f t="shared" si="98"/>
        <v>0</v>
      </c>
      <c r="Z201" s="292" t="str">
        <f t="shared" si="99"/>
        <v>2.98653482143341+0.182556774652918i</v>
      </c>
      <c r="AA201" s="292" t="str">
        <f t="shared" si="100"/>
        <v>0.0000538504684881867-0.000131074114381981i</v>
      </c>
      <c r="AB201" s="289">
        <f t="shared" si="116"/>
        <v>-76.972298805958062</v>
      </c>
      <c r="AC201" s="292">
        <f t="shared" si="117"/>
        <v>-67.665188379084128</v>
      </c>
      <c r="AD201" s="292" t="str">
        <f t="shared" si="101"/>
        <v>0.000040220704105224-7.10770477348724E-06i</v>
      </c>
      <c r="AE201" s="289">
        <f t="shared" si="102"/>
        <v>-87.777455033996361</v>
      </c>
      <c r="AF201" s="292">
        <f t="shared" si="103"/>
        <v>-10.021702412678453</v>
      </c>
      <c r="AH201" s="292" t="str">
        <f t="shared" si="104"/>
        <v>0.00075-0.000350608854713277i</v>
      </c>
      <c r="AI201" s="292">
        <f t="shared" si="105"/>
        <v>0.95</v>
      </c>
      <c r="AJ201" s="292" t="str">
        <f t="shared" si="106"/>
        <v>1000-37024.2950577221i</v>
      </c>
      <c r="AK201" s="292" t="str">
        <f t="shared" si="107"/>
        <v>0.000749537437725335-0.000350055880534307i</v>
      </c>
      <c r="AL201" s="292" t="str">
        <f t="shared" si="108"/>
        <v>0.28293702697791-0.506068874967366i</v>
      </c>
      <c r="AM201" s="292" t="str">
        <f t="shared" si="109"/>
        <v>0.019+59.4204426193699i</v>
      </c>
      <c r="AN201" s="292" t="str">
        <f t="shared" si="110"/>
        <v>-0.000129862271191938-0.0000101507190459618i</v>
      </c>
      <c r="AO201" s="292">
        <f t="shared" si="118"/>
        <v>-77.703886287341533</v>
      </c>
      <c r="AP201" s="292">
        <f t="shared" si="119"/>
        <v>-175.53054783691252</v>
      </c>
      <c r="AR201" s="292" t="str">
        <f t="shared" si="111"/>
        <v>0.28293702697791-0.506068874967366i</v>
      </c>
      <c r="AS201" s="292" t="str">
        <f t="shared" si="112"/>
        <v>-0.000129862271191938-0.0000101507190459618i</v>
      </c>
      <c r="AT201" s="292">
        <f t="shared" si="120"/>
        <v>-77.703886287341533</v>
      </c>
      <c r="AU201" s="292">
        <f t="shared" si="121"/>
        <v>-175.53054783691252</v>
      </c>
    </row>
    <row r="202" spans="6:47" x14ac:dyDescent="0.25">
      <c r="F202" s="292">
        <v>200</v>
      </c>
      <c r="G202" s="293">
        <f t="shared" si="92"/>
        <v>99.692002513912868</v>
      </c>
      <c r="H202" s="293">
        <f t="shared" si="93"/>
        <v>89.881915616840956</v>
      </c>
      <c r="I202" s="294">
        <f t="shared" si="94"/>
        <v>0</v>
      </c>
      <c r="J202" s="292">
        <f t="shared" si="113"/>
        <v>0</v>
      </c>
      <c r="K202" s="292">
        <f t="shared" si="113"/>
        <v>0</v>
      </c>
      <c r="L202" s="292">
        <f>10^('Small Signal'!F202/30)</f>
        <v>4641588.8336127857</v>
      </c>
      <c r="M202" s="292" t="str">
        <f t="shared" si="114"/>
        <v>29163962.7613247i</v>
      </c>
      <c r="N202" s="292">
        <f>IF(D$32=1, IF(AND('Small Signal'!$B$63&gt;=1,FCCM=0),U202+0,R202+0), 0)</f>
        <v>0</v>
      </c>
      <c r="O202" s="292">
        <f>IF(D$32=1, IF(AND('Small Signal'!$B$63&gt;=1,FCCM=0),V202,S202), 0)</f>
        <v>0</v>
      </c>
      <c r="P202" s="292">
        <f>IF(AND('Small Signal'!$B$63&gt;=1,FCCM=0),AE202+0,AB202+0)</f>
        <v>-78.900095567314764</v>
      </c>
      <c r="Q202" s="292">
        <f>IF(AND('Small Signal'!$B$63&gt;=1,FCCM=0),AF202,AC202)</f>
        <v>-69.184954561489135</v>
      </c>
      <c r="R202" s="292">
        <f t="shared" si="115"/>
        <v>-79.008108544679786</v>
      </c>
      <c r="S202" s="292">
        <f t="shared" si="115"/>
        <v>-175.77208638992684</v>
      </c>
      <c r="T202" s="292" t="str">
        <f>IMDIV(IMSUM('Small Signal'!$B$76,IMPRODUCT(M202,'Small Signal'!$B$77)),IMSUM(IMPRODUCT('Small Signal'!$B$80,IMPOWER(M202,2)),IMSUM(IMPRODUCT(M202,'Small Signal'!$B$79),'Small Signal'!$B$78)))</f>
        <v>-0.0000397872945210957-0.0000946826910963415i</v>
      </c>
      <c r="U202" s="292">
        <f t="shared" si="95"/>
        <v>-79.768364337545449</v>
      </c>
      <c r="V202" s="292">
        <f t="shared" si="96"/>
        <v>-112.79298306996319</v>
      </c>
      <c r="W202" s="292" t="str">
        <f>IMPRODUCT(IMDIV(IMSUM(IMPRODUCT(M202,'Small Signal'!$B$59*'Small Signal'!$B$6*'Small Signal'!$B$51*'Small Signal'!$B$7*'Small Signal'!$B$8),'Small Signal'!$B$59*'Small Signal'!$B$6*'Small Signal'!$B$51),IMSUM(IMSUM(IMPRODUCT(M202,('Small Signal'!$B$5+'Small Signal'!$B$6)*('Small Signal'!$B$58*'Small Signal'!$B$59)+'Small Signal'!$B$5*'Small Signal'!$B$59*('Small Signal'!$B$8+'Small Signal'!$B$9)+'Small Signal'!$B$6*'Small Signal'!$B$59*('Small Signal'!$B$8+'Small Signal'!$B$9)+'Small Signal'!$B$7*'Small Signal'!$B$8*('Small Signal'!$B$5+'Small Signal'!$B$6)),'Small Signal'!$B$6+'Small Signal'!$B$5),IMPRODUCT(IMPOWER(M202,2),'Small Signal'!$B$58*'Small Signal'!$B$59*'Small Signal'!$B$8*'Small Signal'!$B$7*('Small Signal'!$B$5+'Small Signal'!$B$6)+('Small Signal'!$B$5+'Small Signal'!$B$6)*('Small Signal'!$B$9*'Small Signal'!$B$8*'Small Signal'!$B$59*'Small Signal'!$B$7)))),-1)</f>
        <v>-0.0780691598586194+0.329081699561055i</v>
      </c>
      <c r="X202" s="292">
        <f t="shared" si="97"/>
        <v>0</v>
      </c>
      <c r="Y202" s="292">
        <f t="shared" si="98"/>
        <v>0</v>
      </c>
      <c r="Z202" s="292" t="str">
        <f t="shared" si="99"/>
        <v>2.98890500920636+0.169270968989888i</v>
      </c>
      <c r="AA202" s="292" t="str">
        <f t="shared" si="100"/>
        <v>0.0000403324411876108-0.000106091970601784i</v>
      </c>
      <c r="AB202" s="289">
        <f t="shared" si="116"/>
        <v>-78.900095567314764</v>
      </c>
      <c r="AC202" s="292">
        <f t="shared" si="117"/>
        <v>-69.184954561489135</v>
      </c>
      <c r="AD202" s="292" t="str">
        <f t="shared" si="101"/>
        <v>0.0000342645015613078-5.70147235489386E-06i</v>
      </c>
      <c r="AE202" s="289">
        <f t="shared" si="102"/>
        <v>-89.184500491827933</v>
      </c>
      <c r="AF202" s="292">
        <f t="shared" si="103"/>
        <v>-9.4472266911902736</v>
      </c>
      <c r="AH202" s="292" t="str">
        <f t="shared" si="104"/>
        <v>0.00075-0.000324705426597755i</v>
      </c>
      <c r="AI202" s="292">
        <f t="shared" si="105"/>
        <v>0.95</v>
      </c>
      <c r="AJ202" s="292" t="str">
        <f t="shared" si="106"/>
        <v>1000-34288.8930487229i</v>
      </c>
      <c r="AK202" s="292" t="str">
        <f t="shared" si="107"/>
        <v>0.000749519067569852-0.000324193315397045i</v>
      </c>
      <c r="AL202" s="292" t="str">
        <f t="shared" si="108"/>
        <v>0.251186249124212-0.485119839405256i</v>
      </c>
      <c r="AM202" s="292" t="str">
        <f t="shared" si="109"/>
        <v>0.019+64.1607180749143i</v>
      </c>
      <c r="AN202" s="292" t="str">
        <f t="shared" si="110"/>
        <v>-0.000111792098036963-8.26425754623581E-06i</v>
      </c>
      <c r="AO202" s="292">
        <f t="shared" si="118"/>
        <v>-79.008108544679786</v>
      </c>
      <c r="AP202" s="292">
        <f t="shared" si="119"/>
        <v>-175.77208638992684</v>
      </c>
      <c r="AR202" s="292" t="str">
        <f t="shared" si="111"/>
        <v>0.251186249124212-0.485119839405256i</v>
      </c>
      <c r="AS202" s="292" t="str">
        <f t="shared" si="112"/>
        <v>-0.000111792098036963-8.26425754623581E-06i</v>
      </c>
      <c r="AT202" s="292">
        <f t="shared" si="120"/>
        <v>-79.008108544679786</v>
      </c>
      <c r="AU202" s="292">
        <f t="shared" si="121"/>
        <v>-175.77208638992684</v>
      </c>
    </row>
    <row r="203" spans="6:47" x14ac:dyDescent="0.25">
      <c r="F203" s="292">
        <v>201</v>
      </c>
      <c r="G203" s="293">
        <f t="shared" si="92"/>
        <v>98.577508168058003</v>
      </c>
      <c r="H203" s="293">
        <f t="shared" si="93"/>
        <v>89.471072054352433</v>
      </c>
      <c r="I203" s="294">
        <f t="shared" si="94"/>
        <v>0</v>
      </c>
      <c r="J203" s="292">
        <f t="shared" si="113"/>
        <v>0</v>
      </c>
      <c r="K203" s="292">
        <f t="shared" si="113"/>
        <v>0</v>
      </c>
      <c r="L203" s="292">
        <f>10^('Small Signal'!F203/30)</f>
        <v>5011872.3362727314</v>
      </c>
      <c r="M203" s="292" t="str">
        <f t="shared" si="114"/>
        <v>31490522.6247287i</v>
      </c>
      <c r="N203" s="292">
        <f>IF(D$32=1, IF(AND('Small Signal'!$B$63&gt;=1,FCCM=0),U203+0,R203+0), 0)</f>
        <v>0</v>
      </c>
      <c r="O203" s="292">
        <f>IF(D$32=1, IF(AND('Small Signal'!$B$63&gt;=1,FCCM=0),V203,S203), 0)</f>
        <v>0</v>
      </c>
      <c r="P203" s="292">
        <f>IF(AND('Small Signal'!$B$63&gt;=1,FCCM=0),AE203+0,AB203+0)</f>
        <v>-80.836492111692294</v>
      </c>
      <c r="Q203" s="292">
        <f>IF(AND('Small Signal'!$B$63&gt;=1,FCCM=0),AF203,AC203)</f>
        <v>-70.614946137380656</v>
      </c>
      <c r="R203" s="292">
        <f t="shared" si="115"/>
        <v>-80.315077250045988</v>
      </c>
      <c r="S203" s="292">
        <f t="shared" si="115"/>
        <v>-176.01003174679843</v>
      </c>
      <c r="T203" s="292" t="str">
        <f>IMDIV(IMSUM('Small Signal'!$B$76,IMPRODUCT(M203,'Small Signal'!$B$77)),IMSUM(IMPRODUCT('Small Signal'!$B$80,IMPOWER(M203,2)),IMSUM(IMPRODUCT(M203,'Small Signal'!$B$79),'Small Signal'!$B$78)))</f>
        <v>-0.0000341259260114044-0.0000876308769716219i</v>
      </c>
      <c r="U203" s="292">
        <f t="shared" si="95"/>
        <v>-80.533635710348193</v>
      </c>
      <c r="V203" s="292">
        <f t="shared" si="96"/>
        <v>-111.27733666102742</v>
      </c>
      <c r="W203" s="292" t="str">
        <f>IMPRODUCT(IMDIV(IMSUM(IMPRODUCT(M203,'Small Signal'!$B$59*'Small Signal'!$B$6*'Small Signal'!$B$51*'Small Signal'!$B$7*'Small Signal'!$B$8),'Small Signal'!$B$59*'Small Signal'!$B$6*'Small Signal'!$B$51),IMSUM(IMSUM(IMPRODUCT(M203,('Small Signal'!$B$5+'Small Signal'!$B$6)*('Small Signal'!$B$58*'Small Signal'!$B$59)+'Small Signal'!$B$5*'Small Signal'!$B$59*('Small Signal'!$B$8+'Small Signal'!$B$9)+'Small Signal'!$B$6*'Small Signal'!$B$59*('Small Signal'!$B$8+'Small Signal'!$B$9)+'Small Signal'!$B$7*'Small Signal'!$B$8*('Small Signal'!$B$5+'Small Signal'!$B$6)),'Small Signal'!$B$6+'Small Signal'!$B$5),IMPRODUCT(IMPOWER(M203,2),'Small Signal'!$B$58*'Small Signal'!$B$59*'Small Signal'!$B$8*'Small Signal'!$B$7*('Small Signal'!$B$5+'Small Signal'!$B$6)+('Small Signal'!$B$5+'Small Signal'!$B$6)*('Small Signal'!$B$9*'Small Signal'!$B$8*'Small Signal'!$B$59*'Small Signal'!$B$7)))),-1)</f>
        <v>-0.0674748144788652+0.30710504238331i</v>
      </c>
      <c r="X203" s="292">
        <f t="shared" si="97"/>
        <v>0</v>
      </c>
      <c r="Y203" s="292">
        <f t="shared" si="98"/>
        <v>0</v>
      </c>
      <c r="Z203" s="292" t="str">
        <f t="shared" si="99"/>
        <v>2.99094242000954+0.156925602739569i</v>
      </c>
      <c r="AA203" s="292" t="str">
        <f t="shared" si="100"/>
        <v>0.0000301441032362813-0.0000856701442571705i</v>
      </c>
      <c r="AB203" s="289">
        <f t="shared" si="116"/>
        <v>-80.836492111692294</v>
      </c>
      <c r="AC203" s="292">
        <f t="shared" si="117"/>
        <v>-70.614946137380656</v>
      </c>
      <c r="AD203" s="292" t="str">
        <f t="shared" si="101"/>
        <v>0.0000292145247129956-0.0000045673667878216i</v>
      </c>
      <c r="AE203" s="289">
        <f t="shared" si="102"/>
        <v>-90.583150365073777</v>
      </c>
      <c r="AF203" s="292">
        <f t="shared" si="103"/>
        <v>-8.8856315354064659</v>
      </c>
      <c r="AH203" s="292" t="str">
        <f t="shared" si="104"/>
        <v>0.00075-0.00030071577669723i</v>
      </c>
      <c r="AI203" s="292">
        <f t="shared" si="105"/>
        <v>0.95</v>
      </c>
      <c r="AJ203" s="292" t="str">
        <f t="shared" si="106"/>
        <v>1000-31755.5860192274i</v>
      </c>
      <c r="AK203" s="292" t="str">
        <f t="shared" si="107"/>
        <v>0.000749503311541897-0.000300241508355967i</v>
      </c>
      <c r="AL203" s="292" t="str">
        <f t="shared" si="108"/>
        <v>0.222124147070733-0.46321464495013i</v>
      </c>
      <c r="AM203" s="292" t="str">
        <f t="shared" si="109"/>
        <v>0.019+69.2791497744031i</v>
      </c>
      <c r="AN203" s="292" t="str">
        <f t="shared" si="110"/>
        <v>-0.0000962038024516014-0.0000067102990098119i</v>
      </c>
      <c r="AO203" s="292">
        <f t="shared" si="118"/>
        <v>-80.315077250045988</v>
      </c>
      <c r="AP203" s="292">
        <f t="shared" si="119"/>
        <v>-176.01003174679843</v>
      </c>
      <c r="AR203" s="292" t="str">
        <f t="shared" si="111"/>
        <v>0.222124147070733-0.46321464495013i</v>
      </c>
      <c r="AS203" s="292" t="str">
        <f t="shared" si="112"/>
        <v>-0.0000962038024516014-0.0000067102990098119i</v>
      </c>
      <c r="AT203" s="292">
        <f t="shared" si="120"/>
        <v>-80.315077250045988</v>
      </c>
      <c r="AU203" s="292">
        <f t="shared" si="121"/>
        <v>-176.01003174679843</v>
      </c>
    </row>
    <row r="204" spans="6:47" x14ac:dyDescent="0.25">
      <c r="F204" s="292">
        <v>202</v>
      </c>
      <c r="G204" s="293">
        <f t="shared" si="92"/>
        <v>97.540640712570976</v>
      </c>
      <c r="H204" s="293">
        <f t="shared" si="93"/>
        <v>89.090104060861748</v>
      </c>
      <c r="I204" s="294">
        <f t="shared" si="94"/>
        <v>0</v>
      </c>
      <c r="J204" s="292">
        <f t="shared" si="113"/>
        <v>0</v>
      </c>
      <c r="K204" s="292">
        <f t="shared" si="113"/>
        <v>0</v>
      </c>
      <c r="L204" s="292">
        <f>10^('Small Signal'!F204/30)</f>
        <v>5411695.2654646477</v>
      </c>
      <c r="M204" s="292" t="str">
        <f t="shared" si="114"/>
        <v>34002684.1789008i</v>
      </c>
      <c r="N204" s="292">
        <f>IF(D$32=1, IF(AND('Small Signal'!$B$63&gt;=1,FCCM=0),U204+0,R204+0), 0)</f>
        <v>0</v>
      </c>
      <c r="O204" s="292">
        <f>IF(D$32=1, IF(AND('Small Signal'!$B$63&gt;=1,FCCM=0),V204,S204), 0)</f>
        <v>0</v>
      </c>
      <c r="P204" s="292">
        <f>IF(AND('Small Signal'!$B$63&gt;=1,FCCM=0),AE204+0,AB204+0)</f>
        <v>-82.780621146710047</v>
      </c>
      <c r="Q204" s="292">
        <f>IF(AND('Small Signal'!$B$63&gt;=1,FCCM=0),AF204,AC204)</f>
        <v>-71.95831402543206</v>
      </c>
      <c r="R204" s="292">
        <f t="shared" si="115"/>
        <v>-81.624687489642881</v>
      </c>
      <c r="S204" s="292">
        <f t="shared" si="115"/>
        <v>-176.2427677375112</v>
      </c>
      <c r="T204" s="292" t="str">
        <f>IMDIV(IMSUM('Small Signal'!$B$76,IMPRODUCT(M204,'Small Signal'!$B$77)),IMSUM(IMPRODUCT('Small Signal'!$B$80,IMPOWER(M204,2)),IMSUM(IMPRODUCT(M204,'Small Signal'!$B$79),'Small Signal'!$B$78)))</f>
        <v>-0.0000292700542373231-0.0000811116866064711i</v>
      </c>
      <c r="U204" s="292">
        <f t="shared" si="95"/>
        <v>-81.286698597756697</v>
      </c>
      <c r="V204" s="292">
        <f t="shared" si="96"/>
        <v>-109.84254235214378</v>
      </c>
      <c r="W204" s="292" t="str">
        <f>IMPRODUCT(IMDIV(IMSUM(IMPRODUCT(M204,'Small Signal'!$B$59*'Small Signal'!$B$6*'Small Signal'!$B$51*'Small Signal'!$B$7*'Small Signal'!$B$8),'Small Signal'!$B$59*'Small Signal'!$B$6*'Small Signal'!$B$51),IMSUM(IMSUM(IMPRODUCT(M204,('Small Signal'!$B$5+'Small Signal'!$B$6)*('Small Signal'!$B$58*'Small Signal'!$B$59)+'Small Signal'!$B$5*'Small Signal'!$B$59*('Small Signal'!$B$8+'Small Signal'!$B$9)+'Small Signal'!$B$6*'Small Signal'!$B$59*('Small Signal'!$B$8+'Small Signal'!$B$9)+'Small Signal'!$B$7*'Small Signal'!$B$8*('Small Signal'!$B$5+'Small Signal'!$B$6)),'Small Signal'!$B$6+'Small Signal'!$B$5),IMPRODUCT(IMPOWER(M204,2),'Small Signal'!$B$58*'Small Signal'!$B$59*'Small Signal'!$B$8*'Small Signal'!$B$7*('Small Signal'!$B$5+'Small Signal'!$B$6)+('Small Signal'!$B$5+'Small Signal'!$B$6)*('Small Signal'!$B$9*'Small Signal'!$B$8*'Small Signal'!$B$59*'Small Signal'!$B$7)))),-1)</f>
        <v>-0.0582573400882053+0.286298237002821i</v>
      </c>
      <c r="X204" s="292">
        <f t="shared" si="97"/>
        <v>0</v>
      </c>
      <c r="Y204" s="292">
        <f t="shared" si="98"/>
        <v>0</v>
      </c>
      <c r="Z204" s="292" t="str">
        <f t="shared" si="99"/>
        <v>2.99269322727893+0.145459542344815i</v>
      </c>
      <c r="AA204" s="292" t="str">
        <f t="shared" si="100"/>
        <v>0.0000224865367740437-0.0000690355000355593i</v>
      </c>
      <c r="AB204" s="289">
        <f t="shared" si="116"/>
        <v>-82.780621146710047</v>
      </c>
      <c r="AC204" s="292">
        <f t="shared" si="117"/>
        <v>-71.95831402543206</v>
      </c>
      <c r="AD204" s="292" t="str">
        <f t="shared" si="101"/>
        <v>0.0000249273283798619-3.65461381336144E-06i</v>
      </c>
      <c r="AE204" s="289">
        <f t="shared" si="102"/>
        <v>-91.974124099247746</v>
      </c>
      <c r="AF204" s="292">
        <f t="shared" si="103"/>
        <v>-8.340754119786892</v>
      </c>
      <c r="AH204" s="292" t="str">
        <f t="shared" si="104"/>
        <v>0.00075-0.000278498512643101i</v>
      </c>
      <c r="AI204" s="292">
        <f t="shared" si="105"/>
        <v>0.95</v>
      </c>
      <c r="AJ204" s="292" t="str">
        <f t="shared" si="106"/>
        <v>1000-29409.4429351114i</v>
      </c>
      <c r="AK204" s="292" t="str">
        <f t="shared" si="107"/>
        <v>0.000749489797637189-0.000278059290452309i</v>
      </c>
      <c r="AL204" s="292" t="str">
        <f t="shared" si="108"/>
        <v>0.195722094899135-0.440716892600715i</v>
      </c>
      <c r="AM204" s="292" t="str">
        <f t="shared" si="109"/>
        <v>0.019+74.8059051935818i</v>
      </c>
      <c r="AN204" s="292" t="str">
        <f t="shared" si="110"/>
        <v>-0.00008276203756836-5.43500228412633E-06i</v>
      </c>
      <c r="AO204" s="292">
        <f t="shared" si="118"/>
        <v>-81.624687489642881</v>
      </c>
      <c r="AP204" s="292">
        <f t="shared" si="119"/>
        <v>-176.2427677375112</v>
      </c>
      <c r="AR204" s="292" t="str">
        <f t="shared" si="111"/>
        <v>0.195722094899135-0.440716892600715i</v>
      </c>
      <c r="AS204" s="292" t="str">
        <f t="shared" si="112"/>
        <v>-0.00008276203756836-5.43500228412633E-06i</v>
      </c>
      <c r="AT204" s="292">
        <f t="shared" si="120"/>
        <v>-81.624687489642881</v>
      </c>
      <c r="AU204" s="292">
        <f t="shared" si="121"/>
        <v>-176.2427677375112</v>
      </c>
    </row>
    <row r="205" spans="6:47" x14ac:dyDescent="0.25">
      <c r="F205" s="292">
        <v>203</v>
      </c>
      <c r="G205" s="293">
        <f t="shared" si="92"/>
        <v>96.576599025435613</v>
      </c>
      <c r="H205" s="293">
        <f t="shared" si="93"/>
        <v>88.736901828991932</v>
      </c>
      <c r="I205" s="294">
        <f t="shared" si="94"/>
        <v>0</v>
      </c>
      <c r="J205" s="292">
        <f t="shared" si="113"/>
        <v>0</v>
      </c>
      <c r="K205" s="292">
        <f t="shared" si="113"/>
        <v>0</v>
      </c>
      <c r="L205" s="292">
        <f>10^('Small Signal'!F205/30)</f>
        <v>5843414.133735179</v>
      </c>
      <c r="M205" s="292" t="str">
        <f t="shared" si="114"/>
        <v>36715253.8288504i</v>
      </c>
      <c r="N205" s="292">
        <f>IF(D$32=1, IF(AND('Small Signal'!$B$63&gt;=1,FCCM=0),U205+0,R205+0), 0)</f>
        <v>0</v>
      </c>
      <c r="O205" s="292">
        <f>IF(D$32=1, IF(AND('Small Signal'!$B$63&gt;=1,FCCM=0),V205,S205), 0)</f>
        <v>0</v>
      </c>
      <c r="P205" s="292">
        <f>IF(AND('Small Signal'!$B$63&gt;=1,FCCM=0),AE205+0,AB205+0)</f>
        <v>-84.731670951902487</v>
      </c>
      <c r="Q205" s="292">
        <f>IF(AND('Small Signal'!$B$63&gt;=1,FCCM=0),AF205,AC205)</f>
        <v>-73.218406505524513</v>
      </c>
      <c r="R205" s="292">
        <f t="shared" si="115"/>
        <v>-82.936798972496234</v>
      </c>
      <c r="S205" s="292">
        <f t="shared" si="115"/>
        <v>-176.46892839333779</v>
      </c>
      <c r="T205" s="292" t="str">
        <f>IMDIV(IMSUM('Small Signal'!$B$76,IMPRODUCT(M205,'Small Signal'!$B$77)),IMSUM(IMPRODUCT('Small Signal'!$B$80,IMPOWER(M205,2)),IMSUM(IMPRODUCT(M205,'Small Signal'!$B$79),'Small Signal'!$B$78)))</f>
        <v>-0.0000251050905105728-0.0000750833781640797i</v>
      </c>
      <c r="U205" s="292">
        <f t="shared" si="95"/>
        <v>-82.028863079756434</v>
      </c>
      <c r="V205" s="292">
        <f t="shared" si="96"/>
        <v>-108.48801944472706</v>
      </c>
      <c r="W205" s="292" t="str">
        <f>IMPRODUCT(IMDIV(IMSUM(IMPRODUCT(M205,'Small Signal'!$B$59*'Small Signal'!$B$6*'Small Signal'!$B$51*'Small Signal'!$B$7*'Small Signal'!$B$8),'Small Signal'!$B$59*'Small Signal'!$B$6*'Small Signal'!$B$51),IMSUM(IMSUM(IMPRODUCT(M205,('Small Signal'!$B$5+'Small Signal'!$B$6)*('Small Signal'!$B$58*'Small Signal'!$B$59)+'Small Signal'!$B$5*'Small Signal'!$B$59*('Small Signal'!$B$8+'Small Signal'!$B$9)+'Small Signal'!$B$6*'Small Signal'!$B$59*('Small Signal'!$B$8+'Small Signal'!$B$9)+'Small Signal'!$B$7*'Small Signal'!$B$8*('Small Signal'!$B$5+'Small Signal'!$B$6)),'Small Signal'!$B$6+'Small Signal'!$B$5),IMPRODUCT(IMPOWER(M205,2),'Small Signal'!$B$58*'Small Signal'!$B$59*'Small Signal'!$B$8*'Small Signal'!$B$7*('Small Signal'!$B$5+'Small Signal'!$B$6)+('Small Signal'!$B$5+'Small Signal'!$B$6)*('Small Signal'!$B$9*'Small Signal'!$B$8*'Small Signal'!$B$59*'Small Signal'!$B$7)))),-1)</f>
        <v>-0.0502534233980394+0.26666004660101i</v>
      </c>
      <c r="X205" s="292">
        <f t="shared" si="97"/>
        <v>0</v>
      </c>
      <c r="Y205" s="292">
        <f t="shared" si="98"/>
        <v>0</v>
      </c>
      <c r="Z205" s="292" t="str">
        <f t="shared" si="99"/>
        <v>2.99419734250515+0.134814489630485i</v>
      </c>
      <c r="AA205" s="292" t="str">
        <f t="shared" si="100"/>
        <v>0.0000167455608626544-0.0000555284377857006i</v>
      </c>
      <c r="AB205" s="289">
        <f t="shared" si="116"/>
        <v>-84.731670951902487</v>
      </c>
      <c r="AC205" s="292">
        <f t="shared" si="117"/>
        <v>-73.218406505524513</v>
      </c>
      <c r="AD205" s="292" t="str">
        <f t="shared" si="101"/>
        <v>0.0000212833538630687-2.92132781243731E-06i</v>
      </c>
      <c r="AE205" s="289">
        <f t="shared" si="102"/>
        <v>-93.358138894294015</v>
      </c>
      <c r="AF205" s="292">
        <f t="shared" si="103"/>
        <v>-7.8155132898113324</v>
      </c>
      <c r="AH205" s="292" t="str">
        <f t="shared" si="104"/>
        <v>0.00075-0.00025792268831479i</v>
      </c>
      <c r="AI205" s="292">
        <f t="shared" si="105"/>
        <v>0.95</v>
      </c>
      <c r="AJ205" s="292" t="str">
        <f t="shared" si="106"/>
        <v>1000-27236.6358860418i</v>
      </c>
      <c r="AK205" s="292" t="str">
        <f t="shared" si="107"/>
        <v>0.000749478206788561-0.000257515922416013i</v>
      </c>
      <c r="AL205" s="292" t="str">
        <f t="shared" si="108"/>
        <v>0.17189978298087-0.417954016808688i</v>
      </c>
      <c r="AM205" s="292" t="str">
        <f t="shared" si="109"/>
        <v>0.019+80.7735584234709i</v>
      </c>
      <c r="AN205" s="292" t="str">
        <f t="shared" si="110"/>
        <v>-0.0000711761969338052-0.0000043920673619198i</v>
      </c>
      <c r="AO205" s="292">
        <f t="shared" si="118"/>
        <v>-82.936798972496234</v>
      </c>
      <c r="AP205" s="292">
        <f t="shared" si="119"/>
        <v>-176.46892839333779</v>
      </c>
      <c r="AR205" s="292" t="str">
        <f t="shared" si="111"/>
        <v>0.17189978298087-0.417954016808688i</v>
      </c>
      <c r="AS205" s="292" t="str">
        <f t="shared" si="112"/>
        <v>-0.0000711761969338052-0.0000043920673619198i</v>
      </c>
      <c r="AT205" s="292">
        <f t="shared" si="120"/>
        <v>-82.936798972496234</v>
      </c>
      <c r="AU205" s="292">
        <f t="shared" si="121"/>
        <v>-176.46892839333779</v>
      </c>
    </row>
    <row r="206" spans="6:47" x14ac:dyDescent="0.25">
      <c r="F206" s="292">
        <v>204</v>
      </c>
      <c r="G206" s="293">
        <f t="shared" si="92"/>
        <v>95.680755519303375</v>
      </c>
      <c r="H206" s="293">
        <f t="shared" si="93"/>
        <v>88.409491667809633</v>
      </c>
      <c r="I206" s="294">
        <f t="shared" si="94"/>
        <v>0</v>
      </c>
      <c r="J206" s="292">
        <f t="shared" si="113"/>
        <v>0</v>
      </c>
      <c r="K206" s="292">
        <f t="shared" si="113"/>
        <v>0</v>
      </c>
      <c r="L206" s="292">
        <f>10^('Small Signal'!F206/30)</f>
        <v>6309573.4448019378</v>
      </c>
      <c r="M206" s="292" t="str">
        <f t="shared" si="114"/>
        <v>39644219.16295i</v>
      </c>
      <c r="N206" s="292">
        <f>IF(D$32=1, IF(AND('Small Signal'!$B$63&gt;=1,FCCM=0),U206+0,R206+0), 0)</f>
        <v>0</v>
      </c>
      <c r="O206" s="292">
        <f>IF(D$32=1, IF(AND('Small Signal'!$B$63&gt;=1,FCCM=0),V206,S206), 0)</f>
        <v>0</v>
      </c>
      <c r="P206" s="292">
        <f>IF(AND('Small Signal'!$B$63&gt;=1,FCCM=0),AE206+0,AB206+0)</f>
        <v>-86.688887809319795</v>
      </c>
      <c r="Q206" s="292">
        <f>IF(AND('Small Signal'!$B$63&gt;=1,FCCM=0),AF206,AC206)</f>
        <v>-74.398729995809518</v>
      </c>
      <c r="R206" s="292">
        <f t="shared" si="115"/>
        <v>-84.251247159332493</v>
      </c>
      <c r="S206" s="292">
        <f t="shared" si="115"/>
        <v>-176.68740749135193</v>
      </c>
      <c r="T206" s="292" t="str">
        <f>IMDIV(IMSUM('Small Signal'!$B$76,IMPRODUCT(M206,'Small Signal'!$B$77)),IMSUM(IMPRODUCT('Small Signal'!$B$80,IMPOWER(M206,2)),IMSUM(IMPRODUCT(M206,'Small Signal'!$B$79),'Small Signal'!$B$78)))</f>
        <v>-0.0000215327428559926-0.000069507785370182i</v>
      </c>
      <c r="U206" s="292">
        <f t="shared" si="95"/>
        <v>-82.761347538883996</v>
      </c>
      <c r="V206" s="292">
        <f t="shared" si="96"/>
        <v>-107.21240269724689</v>
      </c>
      <c r="W206" s="292" t="str">
        <f>IMPRODUCT(IMDIV(IMSUM(IMPRODUCT(M206,'Small Signal'!$B$59*'Small Signal'!$B$6*'Small Signal'!$B$51*'Small Signal'!$B$7*'Small Signal'!$B$8),'Small Signal'!$B$59*'Small Signal'!$B$6*'Small Signal'!$B$51),IMSUM(IMSUM(IMPRODUCT(M206,('Small Signal'!$B$5+'Small Signal'!$B$6)*('Small Signal'!$B$58*'Small Signal'!$B$59)+'Small Signal'!$B$5*'Small Signal'!$B$59*('Small Signal'!$B$8+'Small Signal'!$B$9)+'Small Signal'!$B$6*'Small Signal'!$B$59*('Small Signal'!$B$8+'Small Signal'!$B$9)+'Small Signal'!$B$7*'Small Signal'!$B$8*('Small Signal'!$B$5+'Small Signal'!$B$6)),'Small Signal'!$B$6+'Small Signal'!$B$5),IMPRODUCT(IMPOWER(M206,2),'Small Signal'!$B$58*'Small Signal'!$B$59*'Small Signal'!$B$8*'Small Signal'!$B$7*('Small Signal'!$B$5+'Small Signal'!$B$6)+('Small Signal'!$B$5+'Small Signal'!$B$6)*('Small Signal'!$B$9*'Small Signal'!$B$8*'Small Signal'!$B$59*'Small Signal'!$B$7)))),-1)</f>
        <v>-0.0433150537694705+0.248174251742876i</v>
      </c>
      <c r="X206" s="292">
        <f t="shared" si="97"/>
        <v>0</v>
      </c>
      <c r="Y206" s="292">
        <f t="shared" si="98"/>
        <v>0</v>
      </c>
      <c r="Z206" s="292" t="str">
        <f t="shared" si="99"/>
        <v>2.99548922610073+0.124935106900457i</v>
      </c>
      <c r="AA206" s="292" t="str">
        <f t="shared" si="100"/>
        <v>0.0000124512484506431-0.0000445915447052519i</v>
      </c>
      <c r="AB206" s="289">
        <f t="shared" si="116"/>
        <v>-86.688887809319795</v>
      </c>
      <c r="AC206" s="292">
        <f t="shared" si="117"/>
        <v>-74.398729995809518</v>
      </c>
      <c r="AD206" s="292" t="str">
        <f t="shared" si="101"/>
        <v>0.0000181827345391608-2.33313888555147E-06i</v>
      </c>
      <c r="AE206" s="289">
        <f t="shared" si="102"/>
        <v>-94.735891573180623</v>
      </c>
      <c r="AF206" s="292">
        <f t="shared" si="103"/>
        <v>-7.3120188807782194</v>
      </c>
      <c r="AH206" s="292" t="str">
        <f t="shared" si="104"/>
        <v>0.00075-0.000238867032057652i</v>
      </c>
      <c r="AI206" s="292">
        <f t="shared" si="105"/>
        <v>0.95</v>
      </c>
      <c r="AJ206" s="292" t="str">
        <f t="shared" si="106"/>
        <v>1000-25224.3585852881i</v>
      </c>
      <c r="AK206" s="292" t="str">
        <f t="shared" si="107"/>
        <v>0.000749468265332767-0.000238490324118413i</v>
      </c>
      <c r="AL206" s="292" t="str">
        <f t="shared" si="108"/>
        <v>0.150537166009734-0.395212110463488i</v>
      </c>
      <c r="AM206" s="292" t="str">
        <f t="shared" si="109"/>
        <v>0.019+87.21728215849i</v>
      </c>
      <c r="AN206" s="292" t="str">
        <f t="shared" si="110"/>
        <v>-0.0000611943590447621-3.54193876863152E-06i</v>
      </c>
      <c r="AO206" s="292">
        <f t="shared" si="118"/>
        <v>-84.251247159332493</v>
      </c>
      <c r="AP206" s="292">
        <f t="shared" si="119"/>
        <v>-176.68740749135193</v>
      </c>
      <c r="AR206" s="292" t="str">
        <f t="shared" si="111"/>
        <v>0.150537166009734-0.395212110463488i</v>
      </c>
      <c r="AS206" s="292" t="str">
        <f t="shared" si="112"/>
        <v>-0.0000611943590447621-3.54193876863152E-06i</v>
      </c>
      <c r="AT206" s="292">
        <f t="shared" si="120"/>
        <v>-84.251247159332493</v>
      </c>
      <c r="AU206" s="292">
        <f t="shared" si="121"/>
        <v>-176.68740749135193</v>
      </c>
    </row>
    <row r="207" spans="6:47" x14ac:dyDescent="0.25">
      <c r="F207" s="292">
        <v>205</v>
      </c>
      <c r="G207" s="293">
        <f t="shared" si="92"/>
        <v>94.848677237585903</v>
      </c>
      <c r="H207" s="293">
        <f t="shared" si="93"/>
        <v>88.106029921344927</v>
      </c>
      <c r="I207" s="294">
        <f t="shared" si="94"/>
        <v>0</v>
      </c>
      <c r="J207" s="292">
        <f t="shared" si="113"/>
        <v>0</v>
      </c>
      <c r="K207" s="292">
        <f t="shared" si="113"/>
        <v>0</v>
      </c>
      <c r="L207" s="292">
        <f>10^('Small Signal'!F207/30)</f>
        <v>6812920.6905796202</v>
      </c>
      <c r="M207" s="292" t="str">
        <f t="shared" si="114"/>
        <v>42806843.1820297i</v>
      </c>
      <c r="N207" s="292">
        <f>IF(D$32=1, IF(AND('Small Signal'!$B$63&gt;=1,FCCM=0),U207+0,R207+0), 0)</f>
        <v>0</v>
      </c>
      <c r="O207" s="292">
        <f>IF(D$32=1, IF(AND('Small Signal'!$B$63&gt;=1,FCCM=0),V207,S207), 0)</f>
        <v>0</v>
      </c>
      <c r="P207" s="292">
        <f>IF(AND('Small Signal'!$B$63&gt;=1,FCCM=0),AE207+0,AB207+0)</f>
        <v>-88.651577345742112</v>
      </c>
      <c r="Q207" s="292">
        <f>IF(AND('Small Signal'!$B$63&gt;=1,FCCM=0),AF207,AC207)</f>
        <v>-75.502906305135909</v>
      </c>
      <c r="R207" s="292">
        <f t="shared" si="115"/>
        <v>-85.56785305076842</v>
      </c>
      <c r="S207" s="292">
        <f t="shared" si="115"/>
        <v>-176.89735274460776</v>
      </c>
      <c r="T207" s="292" t="str">
        <f>IMDIV(IMSUM('Small Signal'!$B$76,IMPRODUCT(M207,'Small Signal'!$B$77)),IMSUM(IMPRODUCT('Small Signal'!$B$80,IMPOWER(M207,2)),IMSUM(IMPRODUCT(M207,'Small Signal'!$B$79),'Small Signal'!$B$78)))</f>
        <v>-0.0000184686994933695-0.0000643499522717472i</v>
      </c>
      <c r="U207" s="292">
        <f t="shared" si="95"/>
        <v>-83.485272545667954</v>
      </c>
      <c r="V207" s="292">
        <f t="shared" si="96"/>
        <v>-106.01369555639194</v>
      </c>
      <c r="W207" s="292" t="str">
        <f>IMPRODUCT(IMDIV(IMSUM(IMPRODUCT(M207,'Small Signal'!$B$59*'Small Signal'!$B$6*'Small Signal'!$B$51*'Small Signal'!$B$7*'Small Signal'!$B$8),'Small Signal'!$B$59*'Small Signal'!$B$6*'Small Signal'!$B$51),IMSUM(IMSUM(IMPRODUCT(M207,('Small Signal'!$B$5+'Small Signal'!$B$6)*('Small Signal'!$B$58*'Small Signal'!$B$59)+'Small Signal'!$B$5*'Small Signal'!$B$59*('Small Signal'!$B$8+'Small Signal'!$B$9)+'Small Signal'!$B$6*'Small Signal'!$B$59*('Small Signal'!$B$8+'Small Signal'!$B$9)+'Small Signal'!$B$7*'Small Signal'!$B$8*('Small Signal'!$B$5+'Small Signal'!$B$6)),'Small Signal'!$B$6+'Small Signal'!$B$5),IMPRODUCT(IMPOWER(M207,2),'Small Signal'!$B$58*'Small Signal'!$B$59*'Small Signal'!$B$8*'Small Signal'!$B$7*('Small Signal'!$B$5+'Small Signal'!$B$6)+('Small Signal'!$B$5+'Small Signal'!$B$6)*('Small Signal'!$B$9*'Small Signal'!$B$8*'Small Signal'!$B$59*'Small Signal'!$B$7)))),-1)</f>
        <v>-0.0373092044118174+0.23081313607343i</v>
      </c>
      <c r="X207" s="292">
        <f t="shared" si="97"/>
        <v>0</v>
      </c>
      <c r="Y207" s="292">
        <f t="shared" si="98"/>
        <v>0</v>
      </c>
      <c r="Z207" s="292" t="str">
        <f t="shared" si="99"/>
        <v>2.99659860358373+0.115769067497387i</v>
      </c>
      <c r="AA207" s="292" t="str">
        <f t="shared" si="100"/>
        <v>9.24561030900889E-06-0.0000357576048374624i</v>
      </c>
      <c r="AB207" s="289">
        <f t="shared" si="116"/>
        <v>-88.651577345742112</v>
      </c>
      <c r="AC207" s="292">
        <f t="shared" si="117"/>
        <v>-75.502906305135909</v>
      </c>
      <c r="AD207" s="292" t="str">
        <f t="shared" si="101"/>
        <v>0.0000155418667746361-1.86197292606507E-06i</v>
      </c>
      <c r="AE207" s="289">
        <f t="shared" si="102"/>
        <v>-96.108045511989218</v>
      </c>
      <c r="AF207" s="292">
        <f t="shared" si="103"/>
        <v>-6.8316848598905011</v>
      </c>
      <c r="AH207" s="292" t="str">
        <f t="shared" si="104"/>
        <v>0.00075-0.000221219231921132i</v>
      </c>
      <c r="AI207" s="292">
        <f t="shared" si="105"/>
        <v>0.95</v>
      </c>
      <c r="AJ207" s="292" t="str">
        <f t="shared" si="106"/>
        <v>1000-23360.7508908716i</v>
      </c>
      <c r="AK207" s="292" t="str">
        <f t="shared" si="107"/>
        <v>0.000749459738549185-0.00022087036095155i</v>
      </c>
      <c r="AL207" s="292" t="str">
        <f t="shared" si="108"/>
        <v>0.13148585653768-0.372733889769656i</v>
      </c>
      <c r="AM207" s="292" t="str">
        <f t="shared" si="109"/>
        <v>0.019+94.1750550004653i</v>
      </c>
      <c r="AN207" s="292" t="str">
        <f t="shared" si="110"/>
        <v>-0.0000525981269353088-2.85105007178869E-06i</v>
      </c>
      <c r="AO207" s="292">
        <f t="shared" si="118"/>
        <v>-85.56785305076842</v>
      </c>
      <c r="AP207" s="292">
        <f t="shared" si="119"/>
        <v>-176.89735274460776</v>
      </c>
      <c r="AR207" s="292" t="str">
        <f t="shared" si="111"/>
        <v>0.13148585653768-0.372733889769656i</v>
      </c>
      <c r="AS207" s="292" t="str">
        <f t="shared" si="112"/>
        <v>-0.0000525981269353088-2.85105007178869E-06i</v>
      </c>
      <c r="AT207" s="292">
        <f t="shared" si="120"/>
        <v>-85.56785305076842</v>
      </c>
      <c r="AU207" s="292">
        <f t="shared" si="121"/>
        <v>-176.89735274460776</v>
      </c>
    </row>
    <row r="208" spans="6:47" x14ac:dyDescent="0.25">
      <c r="F208" s="292">
        <v>206</v>
      </c>
      <c r="G208" s="293">
        <f t="shared" si="92"/>
        <v>94.076139427336841</v>
      </c>
      <c r="H208" s="293">
        <f t="shared" si="93"/>
        <v>87.824796546857954</v>
      </c>
      <c r="I208" s="294">
        <f t="shared" si="94"/>
        <v>0</v>
      </c>
      <c r="J208" s="292">
        <f t="shared" si="113"/>
        <v>0</v>
      </c>
      <c r="K208" s="292">
        <f t="shared" si="113"/>
        <v>0</v>
      </c>
      <c r="L208" s="292">
        <f>10^('Small Signal'!F208/30)</f>
        <v>7356422.5445964225</v>
      </c>
      <c r="M208" s="292" t="str">
        <f t="shared" si="114"/>
        <v>46221766.0456129i</v>
      </c>
      <c r="N208" s="292">
        <f>IF(D$32=1, IF(AND('Small Signal'!$B$63&gt;=1,FCCM=0),U208+0,R208+0), 0)</f>
        <v>0</v>
      </c>
      <c r="O208" s="292">
        <f>IF(D$32=1, IF(AND('Small Signal'!$B$63&gt;=1,FCCM=0),V208,S208), 0)</f>
        <v>0</v>
      </c>
      <c r="P208" s="292">
        <f>IF(AND('Small Signal'!$B$63&gt;=1,FCCM=0),AE208+0,AB208+0)</f>
        <v>-90.619104697666472</v>
      </c>
      <c r="Q208" s="292">
        <f>IF(AND('Small Signal'!$B$63&gt;=1,FCCM=0),AF208,AC208)</f>
        <v>-76.534628958725975</v>
      </c>
      <c r="R208" s="292">
        <f t="shared" si="115"/>
        <v>-86.88643136799314</v>
      </c>
      <c r="S208" s="292">
        <f t="shared" si="115"/>
        <v>-177.09814906128398</v>
      </c>
      <c r="T208" s="292" t="str">
        <f>IMDIV(IMSUM('Small Signal'!$B$76,IMPRODUCT(M208,'Small Signal'!$B$77)),IMSUM(IMPRODUCT('Small Signal'!$B$80,IMPOWER(M208,2)),IMSUM(IMPRODUCT(M208,'Small Signal'!$B$79),'Small Signal'!$B$78)))</f>
        <v>-0.0000158406412898443-0.0000595778157559454i</v>
      </c>
      <c r="U208" s="292">
        <f t="shared" si="95"/>
        <v>-84.201658856760531</v>
      </c>
      <c r="V208" s="292">
        <f t="shared" si="96"/>
        <v>-104.88941094792631</v>
      </c>
      <c r="W208" s="292" t="str">
        <f>IMPRODUCT(IMDIV(IMSUM(IMPRODUCT(M208,'Small Signal'!$B$59*'Small Signal'!$B$6*'Small Signal'!$B$51*'Small Signal'!$B$7*'Small Signal'!$B$8),'Small Signal'!$B$59*'Small Signal'!$B$6*'Small Signal'!$B$51),IMSUM(IMSUM(IMPRODUCT(M208,('Small Signal'!$B$5+'Small Signal'!$B$6)*('Small Signal'!$B$58*'Small Signal'!$B$59)+'Small Signal'!$B$5*'Small Signal'!$B$59*('Small Signal'!$B$8+'Small Signal'!$B$9)+'Small Signal'!$B$6*'Small Signal'!$B$59*('Small Signal'!$B$8+'Small Signal'!$B$9)+'Small Signal'!$B$7*'Small Signal'!$B$8*('Small Signal'!$B$5+'Small Signal'!$B$6)),'Small Signal'!$B$6+'Small Signal'!$B$5),IMPRODUCT(IMPOWER(M208,2),'Small Signal'!$B$58*'Small Signal'!$B$59*'Small Signal'!$B$8*'Small Signal'!$B$7*('Small Signal'!$B$5+'Small Signal'!$B$6)+('Small Signal'!$B$5+'Small Signal'!$B$6)*('Small Signal'!$B$9*'Small Signal'!$B$8*'Small Signal'!$B$59*'Small Signal'!$B$7)))),-1)</f>
        <v>-0.0321171499127445+0.214540432098291i</v>
      </c>
      <c r="X208" s="292">
        <f t="shared" si="97"/>
        <v>0</v>
      </c>
      <c r="Y208" s="292">
        <f t="shared" si="98"/>
        <v>0</v>
      </c>
      <c r="Z208" s="292" t="str">
        <f t="shared" si="99"/>
        <v>2.99755109526132+0.107267049661808i</v>
      </c>
      <c r="AA208" s="292" t="str">
        <f t="shared" si="100"/>
        <v>6.85701722399017E-06-0.0000286377711076205i</v>
      </c>
      <c r="AB208" s="289">
        <f t="shared" si="116"/>
        <v>-90.619104697666472</v>
      </c>
      <c r="AC208" s="292">
        <f t="shared" si="117"/>
        <v>-76.534628958725975</v>
      </c>
      <c r="AD208" s="292" t="str">
        <f t="shared" si="101"/>
        <v>0.0000132906065867728-1.48498838692966E-06i</v>
      </c>
      <c r="AE208" s="289">
        <f t="shared" si="102"/>
        <v>-97.475221917752535</v>
      </c>
      <c r="AF208" s="292">
        <f t="shared" si="103"/>
        <v>-6.3753397551062001</v>
      </c>
      <c r="AH208" s="292" t="str">
        <f t="shared" si="104"/>
        <v>0.00075-0.000204875273704428i</v>
      </c>
      <c r="AI208" s="292">
        <f t="shared" si="105"/>
        <v>0.95</v>
      </c>
      <c r="AJ208" s="292" t="str">
        <f t="shared" si="106"/>
        <v>1000-21634.8289031876i</v>
      </c>
      <c r="AK208" s="292" t="str">
        <f t="shared" si="107"/>
        <v>0.000749452425117986-0.000204552182928879i</v>
      </c>
      <c r="AL208" s="292" t="str">
        <f t="shared" si="108"/>
        <v>0.11457934185516-0.350719164898449i</v>
      </c>
      <c r="AM208" s="292" t="str">
        <f t="shared" si="109"/>
        <v>0.019+101.687885300348i</v>
      </c>
      <c r="AN208" s="292" t="str">
        <f t="shared" si="110"/>
        <v>-0.0000451982050529854-2.29110617004681E-06i</v>
      </c>
      <c r="AO208" s="292">
        <f t="shared" si="118"/>
        <v>-86.88643136799314</v>
      </c>
      <c r="AP208" s="292">
        <f t="shared" si="119"/>
        <v>-177.09814906128398</v>
      </c>
      <c r="AR208" s="292" t="str">
        <f t="shared" si="111"/>
        <v>0.11457934185516-0.350719164898449i</v>
      </c>
      <c r="AS208" s="292" t="str">
        <f t="shared" si="112"/>
        <v>-0.0000451982050529854-2.29110617004681E-06i</v>
      </c>
      <c r="AT208" s="292">
        <f t="shared" si="120"/>
        <v>-86.88643136799314</v>
      </c>
      <c r="AU208" s="292">
        <f t="shared" si="121"/>
        <v>-177.09814906128398</v>
      </c>
    </row>
    <row r="209" spans="6:47" x14ac:dyDescent="0.25">
      <c r="F209" s="292">
        <v>207</v>
      </c>
      <c r="G209" s="293">
        <f t="shared" si="92"/>
        <v>93.359133071371573</v>
      </c>
      <c r="H209" s="293">
        <f t="shared" si="93"/>
        <v>87.564188531603349</v>
      </c>
      <c r="I209" s="294">
        <f t="shared" si="94"/>
        <v>0</v>
      </c>
      <c r="J209" s="292">
        <f t="shared" si="113"/>
        <v>0</v>
      </c>
      <c r="K209" s="292">
        <f t="shared" si="113"/>
        <v>0</v>
      </c>
      <c r="L209" s="292">
        <f>10^('Small Signal'!F209/30)</f>
        <v>7943282.3472428275</v>
      </c>
      <c r="M209" s="292" t="str">
        <f t="shared" si="114"/>
        <v>49909114.9349751i</v>
      </c>
      <c r="N209" s="292">
        <f>IF(D$32=1, IF(AND('Small Signal'!$B$63&gt;=1,FCCM=0),U209+0,R209+0), 0)</f>
        <v>0</v>
      </c>
      <c r="O209" s="292">
        <f>IF(D$32=1, IF(AND('Small Signal'!$B$63&gt;=1,FCCM=0),V209,S209), 0)</f>
        <v>0</v>
      </c>
      <c r="P209" s="292">
        <f>IF(AND('Small Signal'!$B$63&gt;=1,FCCM=0),AE209+0,AB209+0)</f>
        <v>-92.590893549735796</v>
      </c>
      <c r="Q209" s="292">
        <f>IF(AND('Small Signal'!$B$63&gt;=1,FCCM=0),AF209,AC209)</f>
        <v>-77.497620886293475</v>
      </c>
      <c r="R209" s="292">
        <f t="shared" si="115"/>
        <v>-88.206797064909097</v>
      </c>
      <c r="S209" s="292">
        <f t="shared" si="115"/>
        <v>-177.28939485801178</v>
      </c>
      <c r="T209" s="292" t="str">
        <f>IMDIV(IMSUM('Small Signal'!$B$76,IMPRODUCT(M209,'Small Signal'!$B$77)),IMSUM(IMPRODUCT('Small Signal'!$B$80,IMPOWER(M209,2)),IMSUM(IMPRODUCT(M209,'Small Signal'!$B$79),'Small Signal'!$B$78)))</f>
        <v>-0.000013586536548583-0.0000551619280317382i</v>
      </c>
      <c r="U209" s="292">
        <f t="shared" si="95"/>
        <v>-84.911428616626083</v>
      </c>
      <c r="V209" s="292">
        <f t="shared" si="96"/>
        <v>-103.83669678519543</v>
      </c>
      <c r="W209" s="292" t="str">
        <f>IMPRODUCT(IMDIV(IMSUM(IMPRODUCT(M209,'Small Signal'!$B$59*'Small Signal'!$B$6*'Small Signal'!$B$51*'Small Signal'!$B$7*'Small Signal'!$B$8),'Small Signal'!$B$59*'Small Signal'!$B$6*'Small Signal'!$B$51),IMSUM(IMSUM(IMPRODUCT(M209,('Small Signal'!$B$5+'Small Signal'!$B$6)*('Small Signal'!$B$58*'Small Signal'!$B$59)+'Small Signal'!$B$5*'Small Signal'!$B$59*('Small Signal'!$B$8+'Small Signal'!$B$9)+'Small Signal'!$B$6*'Small Signal'!$B$59*('Small Signal'!$B$8+'Small Signal'!$B$9)+'Small Signal'!$B$7*'Small Signal'!$B$8*('Small Signal'!$B$5+'Small Signal'!$B$6)),'Small Signal'!$B$6+'Small Signal'!$B$5),IMPRODUCT(IMPOWER(M209,2),'Small Signal'!$B$58*'Small Signal'!$B$59*'Small Signal'!$B$8*'Small Signal'!$B$7*('Small Signal'!$B$5+'Small Signal'!$B$6)+('Small Signal'!$B$5+'Small Signal'!$B$6)*('Small Signal'!$B$9*'Small Signal'!$B$8*'Small Signal'!$B$59*'Small Signal'!$B$7)))),-1)</f>
        <v>-0.0276335522213525+0.199313768087758i</v>
      </c>
      <c r="X209" s="292">
        <f t="shared" si="97"/>
        <v>0</v>
      </c>
      <c r="Y209" s="292">
        <f t="shared" si="98"/>
        <v>0</v>
      </c>
      <c r="Z209" s="292" t="str">
        <f t="shared" si="99"/>
        <v>2.99836876776467+0.0993826880151206i</v>
      </c>
      <c r="AA209" s="292" t="str">
        <f t="shared" si="100"/>
        <v>5.08011341810715E-06-0.0000229104087360773i</v>
      </c>
      <c r="AB209" s="289">
        <f t="shared" si="116"/>
        <v>-92.590893549735796</v>
      </c>
      <c r="AC209" s="292">
        <f t="shared" si="117"/>
        <v>-77.497620886293475</v>
      </c>
      <c r="AD209" s="292" t="str">
        <f t="shared" si="101"/>
        <v>0.000011369975998214-1.18366377586459E-06i</v>
      </c>
      <c r="AE209" s="289">
        <f t="shared" si="102"/>
        <v>-98.837994680008137</v>
      </c>
      <c r="AF209" s="292">
        <f t="shared" si="103"/>
        <v>-5.9433299536577611</v>
      </c>
      <c r="AH209" s="292" t="str">
        <f t="shared" si="104"/>
        <v>0.00075-0.000189738827908183i</v>
      </c>
      <c r="AI209" s="292">
        <f t="shared" si="105"/>
        <v>0.95</v>
      </c>
      <c r="AJ209" s="292" t="str">
        <f t="shared" si="106"/>
        <v>1000-20036.420227104i</v>
      </c>
      <c r="AK209" s="292" t="str">
        <f t="shared" si="107"/>
        <v>0.000749446152366973-0.000189439612612642i</v>
      </c>
      <c r="AL209" s="292" t="str">
        <f t="shared" si="108"/>
        <v>0.0996416761090741-0.329327147680789i</v>
      </c>
      <c r="AM209" s="292" t="str">
        <f t="shared" si="109"/>
        <v>0.019+109.800052856945i</v>
      </c>
      <c r="AN209" s="292" t="str">
        <f t="shared" si="110"/>
        <v>-0.0000388305873239886-1.83840739426743E-06i</v>
      </c>
      <c r="AO209" s="292">
        <f t="shared" si="118"/>
        <v>-88.206797064909097</v>
      </c>
      <c r="AP209" s="292">
        <f t="shared" si="119"/>
        <v>-177.28939485801178</v>
      </c>
      <c r="AR209" s="292" t="str">
        <f t="shared" si="111"/>
        <v>0.0996416761090741-0.329327147680789i</v>
      </c>
      <c r="AS209" s="292" t="str">
        <f t="shared" si="112"/>
        <v>-0.0000388305873239886-1.83840739426743E-06i</v>
      </c>
      <c r="AT209" s="292">
        <f t="shared" si="120"/>
        <v>-88.206797064909097</v>
      </c>
      <c r="AU209" s="292">
        <f t="shared" si="121"/>
        <v>-177.28939485801178</v>
      </c>
    </row>
    <row r="210" spans="6:47" x14ac:dyDescent="0.25">
      <c r="F210" s="292">
        <v>208</v>
      </c>
      <c r="G210" s="293">
        <f t="shared" si="92"/>
        <v>92.693867648822888</v>
      </c>
      <c r="H210" s="293">
        <f t="shared" si="93"/>
        <v>87.322713284783163</v>
      </c>
      <c r="I210" s="294">
        <f t="shared" si="94"/>
        <v>0</v>
      </c>
      <c r="J210" s="292">
        <f t="shared" si="113"/>
        <v>0</v>
      </c>
      <c r="K210" s="292">
        <f t="shared" si="113"/>
        <v>0</v>
      </c>
      <c r="L210" s="292">
        <f>10^('Small Signal'!F210/30)</f>
        <v>8576958.9859089572</v>
      </c>
      <c r="M210" s="292" t="str">
        <f t="shared" si="114"/>
        <v>53890622.6805451i</v>
      </c>
      <c r="N210" s="292">
        <f>IF(D$32=1, IF(AND('Small Signal'!$B$63&gt;=1,FCCM=0),U210+0,R210+0), 0)</f>
        <v>0</v>
      </c>
      <c r="O210" s="292">
        <f>IF(D$32=1, IF(AND('Small Signal'!$B$63&gt;=1,FCCM=0),V210,S210), 0)</f>
        <v>0</v>
      </c>
      <c r="P210" s="292">
        <f>IF(AND('Small Signal'!$B$63&gt;=1,FCCM=0),AE210+0,AB210+0)</f>
        <v>-94.566424190903177</v>
      </c>
      <c r="Q210" s="292">
        <f>IF(AND('Small Signal'!$B$63&gt;=1,FCCM=0),AF210,AC210)</f>
        <v>-78.395595253154468</v>
      </c>
      <c r="R210" s="292">
        <f t="shared" si="115"/>
        <v>-89.528770255397475</v>
      </c>
      <c r="S210" s="292">
        <f t="shared" si="115"/>
        <v>-177.47087473217243</v>
      </c>
      <c r="T210" s="292" t="str">
        <f>IMDIV(IMSUM('Small Signal'!$B$76,IMPRODUCT(M210,'Small Signal'!$B$77)),IMSUM(IMPRODUCT('Small Signal'!$B$80,IMPOWER(M210,2)),IMSUM(IMPRODUCT(M210,'Small Signal'!$B$79),'Small Signal'!$B$78)))</f>
        <v>-0.0000116531780882165-0.0000510752127293115i</v>
      </c>
      <c r="U210" s="292">
        <f t="shared" si="95"/>
        <v>-85.615408926538294</v>
      </c>
      <c r="V210" s="292">
        <f t="shared" si="96"/>
        <v>-102.85244497384426</v>
      </c>
      <c r="W210" s="292" t="str">
        <f>IMPRODUCT(IMDIV(IMSUM(IMPRODUCT(M210,'Small Signal'!$B$59*'Small Signal'!$B$6*'Small Signal'!$B$51*'Small Signal'!$B$7*'Small Signal'!$B$8),'Small Signal'!$B$59*'Small Signal'!$B$6*'Small Signal'!$B$51),IMSUM(IMSUM(IMPRODUCT(M210,('Small Signal'!$B$5+'Small Signal'!$B$6)*('Small Signal'!$B$58*'Small Signal'!$B$59)+'Small Signal'!$B$5*'Small Signal'!$B$59*('Small Signal'!$B$8+'Small Signal'!$B$9)+'Small Signal'!$B$6*'Small Signal'!$B$59*('Small Signal'!$B$8+'Small Signal'!$B$9)+'Small Signal'!$B$7*'Small Signal'!$B$8*('Small Signal'!$B$5+'Small Signal'!$B$6)),'Small Signal'!$B$6+'Small Signal'!$B$5),IMPRODUCT(IMPOWER(M210,2),'Small Signal'!$B$58*'Small Signal'!$B$59*'Small Signal'!$B$8*'Small Signal'!$B$7*('Small Signal'!$B$5+'Small Signal'!$B$6)+('Small Signal'!$B$5+'Small Signal'!$B$6)*('Small Signal'!$B$9*'Small Signal'!$B$8*'Small Signal'!$B$59*'Small Signal'!$B$7)))),-1)</f>
        <v>-0.0237654162640653+0.185086668567917i</v>
      </c>
      <c r="X210" s="292">
        <f t="shared" si="97"/>
        <v>0</v>
      </c>
      <c r="Y210" s="292">
        <f t="shared" si="98"/>
        <v>0</v>
      </c>
      <c r="Z210" s="292" t="str">
        <f t="shared" si="99"/>
        <v>2.99907061560112+0.0920724940843589i</v>
      </c>
      <c r="AA210" s="292" t="str">
        <f t="shared" si="100"/>
        <v>3.76015541915762E-06-0.0000183109020371715i</v>
      </c>
      <c r="AB210" s="289">
        <f t="shared" si="116"/>
        <v>-94.566424190903177</v>
      </c>
      <c r="AC210" s="292">
        <f t="shared" si="117"/>
        <v>-78.395595253154468</v>
      </c>
      <c r="AD210" s="292" t="str">
        <f t="shared" si="101"/>
        <v>9.73028359853168E-06-9.43024219288865E-07i</v>
      </c>
      <c r="AE210" s="289">
        <f t="shared" si="102"/>
        <v>-100.19688804164447</v>
      </c>
      <c r="AF210" s="292">
        <f t="shared" si="103"/>
        <v>-5.535613217319141</v>
      </c>
      <c r="AH210" s="292" t="str">
        <f t="shared" si="104"/>
        <v>0.00075-0.000175720681978974i</v>
      </c>
      <c r="AI210" s="292">
        <f t="shared" si="105"/>
        <v>0.95</v>
      </c>
      <c r="AJ210" s="292" t="str">
        <f t="shared" si="106"/>
        <v>1000-18556.1040169797i</v>
      </c>
      <c r="AK210" s="292" t="str">
        <f t="shared" si="107"/>
        <v>0.000749440772194719-0.000175443578260745i</v>
      </c>
      <c r="AL210" s="292" t="str">
        <f t="shared" si="108"/>
        <v>0.0864945238454756-0.308679973234095i</v>
      </c>
      <c r="AM210" s="292" t="str">
        <f t="shared" si="109"/>
        <v>0.019+118.559369897199i</v>
      </c>
      <c r="AN210" s="292" t="str">
        <f t="shared" si="110"/>
        <v>-0.0000333532564880685-1.47322184739459E-06i</v>
      </c>
      <c r="AO210" s="292">
        <f t="shared" si="118"/>
        <v>-89.528770255397475</v>
      </c>
      <c r="AP210" s="292">
        <f t="shared" si="119"/>
        <v>-177.47087473217243</v>
      </c>
      <c r="AR210" s="292" t="str">
        <f t="shared" si="111"/>
        <v>0.0864945238454756-0.308679973234095i</v>
      </c>
      <c r="AS210" s="292" t="str">
        <f t="shared" si="112"/>
        <v>-0.0000333532564880685-1.47322184739459E-06i</v>
      </c>
      <c r="AT210" s="292">
        <f t="shared" si="120"/>
        <v>-89.528770255397475</v>
      </c>
      <c r="AU210" s="292">
        <f t="shared" si="121"/>
        <v>-177.47087473217243</v>
      </c>
    </row>
    <row r="211" spans="6:47" x14ac:dyDescent="0.25">
      <c r="F211" s="292">
        <v>209</v>
      </c>
      <c r="G211" s="293">
        <f t="shared" si="92"/>
        <v>92.076770192947592</v>
      </c>
      <c r="H211" s="293">
        <f t="shared" si="93"/>
        <v>87.098982107511631</v>
      </c>
      <c r="I211" s="294">
        <f t="shared" si="94"/>
        <v>0</v>
      </c>
      <c r="J211" s="292">
        <f t="shared" si="113"/>
        <v>0</v>
      </c>
      <c r="K211" s="292">
        <f t="shared" si="113"/>
        <v>0</v>
      </c>
      <c r="L211" s="292">
        <f>10^('Small Signal'!F211/30)</f>
        <v>9261187.2812879551</v>
      </c>
      <c r="M211" s="292" t="str">
        <f t="shared" si="114"/>
        <v>58189755.8528269i</v>
      </c>
      <c r="N211" s="292">
        <f>IF(D$32=1, IF(AND('Small Signal'!$B$63&gt;=1,FCCM=0),U211+0,R211+0), 0)</f>
        <v>0</v>
      </c>
      <c r="O211" s="292">
        <f>IF(D$32=1, IF(AND('Small Signal'!$B$63&gt;=1,FCCM=0),V211,S211), 0)</f>
        <v>0</v>
      </c>
      <c r="P211" s="292">
        <f>IF(AND('Small Signal'!$B$63&gt;=1,FCCM=0),AE211+0,AB211+0)</f>
        <v>-96.545230783355464</v>
      </c>
      <c r="Q211" s="292">
        <f>IF(AND('Small Signal'!$B$63&gt;=1,FCCM=0),AF211,AC211)</f>
        <v>-79.232220645958634</v>
      </c>
      <c r="R211" s="292">
        <f t="shared" si="115"/>
        <v>-90.852179728097283</v>
      </c>
      <c r="S211" s="292">
        <f t="shared" si="115"/>
        <v>-177.64253103991595</v>
      </c>
      <c r="T211" s="292" t="str">
        <f>IMDIV(IMSUM('Small Signal'!$B$76,IMPRODUCT(M211,'Small Signal'!$B$77)),IMSUM(IMPRODUCT('Small Signal'!$B$80,IMPOWER(M211,2)),IMSUM(IMPRODUCT(M211,'Small Signal'!$B$79),'Small Signal'!$B$78)))</f>
        <v>-9.99492823127923E-06-0.0000472927494381764i</v>
      </c>
      <c r="U211" s="292">
        <f t="shared" si="95"/>
        <v>-86.314337053879925</v>
      </c>
      <c r="V211" s="292">
        <f t="shared" si="96"/>
        <v>-101.93338389705487</v>
      </c>
      <c r="W211" s="292" t="str">
        <f>IMPRODUCT(IMDIV(IMSUM(IMPRODUCT(M211,'Small Signal'!$B$59*'Small Signal'!$B$6*'Small Signal'!$B$51*'Small Signal'!$B$7*'Small Signal'!$B$8),'Small Signal'!$B$59*'Small Signal'!$B$6*'Small Signal'!$B$51),IMSUM(IMSUM(IMPRODUCT(M211,('Small Signal'!$B$5+'Small Signal'!$B$6)*('Small Signal'!$B$58*'Small Signal'!$B$59)+'Small Signal'!$B$5*'Small Signal'!$B$59*('Small Signal'!$B$8+'Small Signal'!$B$9)+'Small Signal'!$B$6*'Small Signal'!$B$59*('Small Signal'!$B$8+'Small Signal'!$B$9)+'Small Signal'!$B$7*'Small Signal'!$B$8*('Small Signal'!$B$5+'Small Signal'!$B$6)),'Small Signal'!$B$6+'Small Signal'!$B$5),IMPRODUCT(IMPOWER(M211,2),'Small Signal'!$B$58*'Small Signal'!$B$59*'Small Signal'!$B$8*'Small Signal'!$B$7*('Small Signal'!$B$5+'Small Signal'!$B$6)+('Small Signal'!$B$5+'Small Signal'!$B$6)*('Small Signal'!$B$9*'Small Signal'!$B$8*'Small Signal'!$B$59*'Small Signal'!$B$7)))),-1)</f>
        <v>-0.0204309901706139+0.171810165084655i</v>
      </c>
      <c r="X211" s="292">
        <f t="shared" si="97"/>
        <v>0</v>
      </c>
      <c r="Y211" s="292">
        <f t="shared" si="98"/>
        <v>0</v>
      </c>
      <c r="Z211" s="292" t="str">
        <f t="shared" si="99"/>
        <v>2.99967298048209+0.0852957549018613i</v>
      </c>
      <c r="AA211" s="292" t="str">
        <f t="shared" si="100"/>
        <v>2.78088156592548E-06-0.000014622562489695i</v>
      </c>
      <c r="AB211" s="289">
        <f t="shared" si="116"/>
        <v>-96.545230783355464</v>
      </c>
      <c r="AC211" s="292">
        <f t="shared" si="117"/>
        <v>-79.232220645958634</v>
      </c>
      <c r="AD211" s="292" t="str">
        <f t="shared" si="101"/>
        <v>8.32958136872957E-06-7.50992570512675E-07i</v>
      </c>
      <c r="AE211" s="289">
        <f t="shared" si="102"/>
        <v>-101.5523764036886</v>
      </c>
      <c r="AF211" s="292">
        <f t="shared" si="103"/>
        <v>-5.151841133749036</v>
      </c>
      <c r="AH211" s="292" t="str">
        <f t="shared" si="104"/>
        <v>0.00075-0.000162738214500292i</v>
      </c>
      <c r="AI211" s="292">
        <f t="shared" si="105"/>
        <v>0.95</v>
      </c>
      <c r="AJ211" s="292" t="str">
        <f t="shared" si="106"/>
        <v>1000-17185.1554512308i</v>
      </c>
      <c r="AK211" s="292" t="str">
        <f t="shared" si="107"/>
        <v>0.000749436157573866-0.000162481588852564i</v>
      </c>
      <c r="AL211" s="292" t="str">
        <f t="shared" si="108"/>
        <v>0.0749625951553805-0.288866904910097i</v>
      </c>
      <c r="AM211" s="292" t="str">
        <f t="shared" si="109"/>
        <v>0.019+128.017462876219i</v>
      </c>
      <c r="AN211" s="292" t="str">
        <f t="shared" si="110"/>
        <v>-0.0000286433156017086-1.17921180164693E-06i</v>
      </c>
      <c r="AO211" s="292">
        <f t="shared" si="118"/>
        <v>-90.852179728097283</v>
      </c>
      <c r="AP211" s="292">
        <f t="shared" si="119"/>
        <v>-177.64253103991595</v>
      </c>
      <c r="AR211" s="292" t="str">
        <f t="shared" si="111"/>
        <v>0.0749625951553805-0.288866904910097i</v>
      </c>
      <c r="AS211" s="292" t="str">
        <f t="shared" si="112"/>
        <v>-0.0000286433156017086-1.17921180164693E-06i</v>
      </c>
      <c r="AT211" s="292">
        <f t="shared" si="120"/>
        <v>-90.852179728097283</v>
      </c>
      <c r="AU211" s="292">
        <f t="shared" si="121"/>
        <v>-177.64253103991595</v>
      </c>
    </row>
    <row r="212" spans="6:47" x14ac:dyDescent="0.25">
      <c r="F212" s="292">
        <v>210</v>
      </c>
      <c r="G212" s="293">
        <f t="shared" si="92"/>
        <v>91.504481533503395</v>
      </c>
      <c r="H212" s="293">
        <f t="shared" si="93"/>
        <v>86.89170381654894</v>
      </c>
      <c r="I212" s="294">
        <f t="shared" si="94"/>
        <v>0</v>
      </c>
      <c r="J212" s="292">
        <f t="shared" si="113"/>
        <v>0</v>
      </c>
      <c r="K212" s="292">
        <f t="shared" si="113"/>
        <v>0</v>
      </c>
      <c r="L212" s="292">
        <f>10^('Small Signal'!F212/30)</f>
        <v>10000000</v>
      </c>
      <c r="M212" s="292" t="str">
        <f t="shared" si="114"/>
        <v>62831853.0717959i</v>
      </c>
      <c r="N212" s="292">
        <f>IF(D$32=1, IF(AND('Small Signal'!$B$63&gt;=1,FCCM=0),U212+0,R212+0), 0)</f>
        <v>0</v>
      </c>
      <c r="O212" s="292">
        <f>IF(D$32=1, IF(AND('Small Signal'!$B$63&gt;=1,FCCM=0),V212,S212), 0)</f>
        <v>0</v>
      </c>
      <c r="P212" s="292">
        <f>IF(AND('Small Signal'!$B$63&gt;=1,FCCM=0),AE212+0,AB212+0)</f>
        <v>-98.52689805542694</v>
      </c>
      <c r="Q212" s="292">
        <f>IF(AND('Small Signal'!$B$63&gt;=1,FCCM=0),AF212,AC212)</f>
        <v>-80.011091290016338</v>
      </c>
      <c r="R212" s="292">
        <f t="shared" si="115"/>
        <v>-92.176865264496882</v>
      </c>
      <c r="S212" s="292">
        <f t="shared" si="115"/>
        <v>-177.80443620247408</v>
      </c>
      <c r="T212" s="292" t="str">
        <f>IMDIV(IMSUM('Small Signal'!$B$76,IMPRODUCT(M212,'Small Signal'!$B$77)),IMSUM(IMPRODUCT('Small Signal'!$B$80,IMPOWER(M212,2)),IMSUM(IMPRODUCT(M212,'Small Signal'!$B$79),'Small Signal'!$B$78)))</f>
        <v>-8.57264218686087E-06-0.0000437915824412041i</v>
      </c>
      <c r="U212" s="292">
        <f t="shared" si="95"/>
        <v>-87.008866678471378</v>
      </c>
      <c r="V212" s="292">
        <f t="shared" si="96"/>
        <v>-101.07615519461191</v>
      </c>
      <c r="W212" s="292" t="str">
        <f>IMPRODUCT(IMDIV(IMSUM(IMPRODUCT(M212,'Small Signal'!$B$59*'Small Signal'!$B$6*'Small Signal'!$B$51*'Small Signal'!$B$7*'Small Signal'!$B$8),'Small Signal'!$B$59*'Small Signal'!$B$6*'Small Signal'!$B$51),IMSUM(IMSUM(IMPRODUCT(M212,('Small Signal'!$B$5+'Small Signal'!$B$6)*('Small Signal'!$B$58*'Small Signal'!$B$59)+'Small Signal'!$B$5*'Small Signal'!$B$59*('Small Signal'!$B$8+'Small Signal'!$B$9)+'Small Signal'!$B$6*'Small Signal'!$B$59*('Small Signal'!$B$8+'Small Signal'!$B$9)+'Small Signal'!$B$7*'Small Signal'!$B$8*('Small Signal'!$B$5+'Small Signal'!$B$6)),'Small Signal'!$B$6+'Small Signal'!$B$5),IMPRODUCT(IMPOWER(M212,2),'Small Signal'!$B$58*'Small Signal'!$B$59*'Small Signal'!$B$8*'Small Signal'!$B$7*('Small Signal'!$B$5+'Small Signal'!$B$6)+('Small Signal'!$B$5+'Small Signal'!$B$6)*('Small Signal'!$B$9*'Small Signal'!$B$8*'Small Signal'!$B$59*'Small Signal'!$B$7)))),-1)</f>
        <v>-0.0175586637157316+0.159434073389886i</v>
      </c>
      <c r="X212" s="292">
        <f t="shared" si="97"/>
        <v>0</v>
      </c>
      <c r="Y212" s="292">
        <f t="shared" si="98"/>
        <v>0</v>
      </c>
      <c r="Z212" s="292" t="str">
        <f t="shared" si="99"/>
        <v>3.00018991564524+0.0790144167706019i</v>
      </c>
      <c r="AA212" s="292" t="str">
        <f t="shared" si="100"/>
        <v>2.05517245035396E-06-0.0000116686703738554i</v>
      </c>
      <c r="AB212" s="289">
        <f t="shared" si="116"/>
        <v>-98.52689805542694</v>
      </c>
      <c r="AC212" s="292">
        <f t="shared" si="117"/>
        <v>-80.011091290016338</v>
      </c>
      <c r="AD212" s="292" t="str">
        <f t="shared" si="101"/>
        <v>7.13239451010456E-06-5.97849593900369E-07i</v>
      </c>
      <c r="AE212" s="289">
        <f t="shared" si="102"/>
        <v>-102.90488567313288</v>
      </c>
      <c r="AF212" s="292">
        <f t="shared" si="103"/>
        <v>-4.7914302237775974</v>
      </c>
      <c r="AH212" s="292" t="str">
        <f t="shared" si="104"/>
        <v>0.00075-0.000150714908230961i</v>
      </c>
      <c r="AI212" s="292">
        <f t="shared" si="105"/>
        <v>0.95</v>
      </c>
      <c r="AJ212" s="292" t="str">
        <f t="shared" si="106"/>
        <v>1000-15915.4943091895i</v>
      </c>
      <c r="AK212" s="292" t="str">
        <f t="shared" si="107"/>
        <v>0.000749432199551956-0.000150477247899762i</v>
      </c>
      <c r="AL212" s="292" t="str">
        <f t="shared" si="108"/>
        <v>0.0648776183998956-0.269948803761105i</v>
      </c>
      <c r="AM212" s="292" t="str">
        <f t="shared" si="109"/>
        <v>0.019+138.230076757951i</v>
      </c>
      <c r="AN212" s="292" t="str">
        <f t="shared" ref="AN212" si="122">IMDIV(IMPRODUCT(AK212,AL212),IMPRODUCT(Ri,IMSUM(AL212,AK212,AM212)))</f>
        <v>-0.0000245944886732599-9.42917884893948E-07i</v>
      </c>
      <c r="AO212" s="292">
        <f t="shared" si="118"/>
        <v>-92.176865264496882</v>
      </c>
      <c r="AP212" s="292">
        <f t="shared" si="119"/>
        <v>-177.80443620247408</v>
      </c>
      <c r="AR212" s="292" t="str">
        <f t="shared" si="111"/>
        <v>0.0648776183998956-0.269948803761105i</v>
      </c>
      <c r="AS212" s="292" t="str">
        <f t="shared" si="112"/>
        <v>-0.0000245944886732599-9.42917884893948E-07i</v>
      </c>
      <c r="AT212" s="292">
        <f t="shared" si="120"/>
        <v>-92.176865264496882</v>
      </c>
      <c r="AU212" s="292">
        <f t="shared" si="121"/>
        <v>-177.80443620247408</v>
      </c>
    </row>
  </sheetData>
  <sheetProtection sheet="1" objects="1" scenarios="1"/>
  <conditionalFormatting sqref="C19">
    <cfRule type="cellIs" dxfId="2" priority="3" operator="greaterThan">
      <formula>fsw_Hz/5</formula>
    </cfRule>
  </conditionalFormatting>
  <conditionalFormatting sqref="C20">
    <cfRule type="cellIs" dxfId="1" priority="2" operator="lessThan">
      <formula>60</formula>
    </cfRule>
  </conditionalFormatting>
  <conditionalFormatting sqref="C21">
    <cfRule type="cellIs" dxfId="0" priority="1" operator="greaterThan">
      <formula>-12</formula>
    </cfRule>
  </conditionalFormatting>
  <pageMargins left="0.75" right="0.75" top="1" bottom="1" header="0.5" footer="0.5"/>
  <pageSetup orientation="portrait" r:id="rId1"/>
  <headerFooter alignWithMargins="0"/>
  <ignoredErrors>
    <ignoredError sqref="C29" evalError="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A50"/>
  <sheetViews>
    <sheetView workbookViewId="0">
      <pane xSplit="1" ySplit="2" topLeftCell="B3" activePane="bottomRight" state="frozen"/>
      <selection pane="topRight" activeCell="B1" sqref="B1"/>
      <selection pane="bottomLeft" activeCell="A3" sqref="A3"/>
      <selection pane="bottomRight" activeCell="A11" sqref="A11"/>
    </sheetView>
  </sheetViews>
  <sheetFormatPr defaultColWidth="9.1796875" defaultRowHeight="12.5" x14ac:dyDescent="0.25"/>
  <cols>
    <col min="1" max="1" width="22.7265625" style="215" bestFit="1" customWidth="1"/>
    <col min="2" max="2" width="9.81640625" style="215" bestFit="1" customWidth="1"/>
    <col min="3" max="3" width="16.453125" style="215" bestFit="1" customWidth="1"/>
    <col min="4" max="4" width="10" style="215" bestFit="1" customWidth="1"/>
    <col min="5" max="5" width="9.453125" style="215" bestFit="1" customWidth="1"/>
    <col min="6" max="6" width="8.81640625" style="215" bestFit="1" customWidth="1"/>
    <col min="7" max="7" width="16.26953125" style="215" bestFit="1" customWidth="1"/>
    <col min="8" max="8" width="9.54296875" style="215" bestFit="1" customWidth="1"/>
    <col min="9" max="9" width="12" style="215" customWidth="1"/>
    <col min="10" max="10" width="20.1796875" style="215" bestFit="1" customWidth="1"/>
    <col min="11" max="11" width="29" style="215" bestFit="1" customWidth="1"/>
    <col min="12" max="12" width="6.453125" style="215" bestFit="1" customWidth="1"/>
    <col min="13" max="13" width="20" style="215" bestFit="1" customWidth="1"/>
    <col min="14" max="14" width="12.1796875" style="215" customWidth="1"/>
    <col min="15" max="15" width="12.54296875" style="215" bestFit="1" customWidth="1"/>
    <col min="16" max="16" width="9.81640625" style="215" bestFit="1" customWidth="1"/>
    <col min="17" max="17" width="6.81640625" style="215" bestFit="1" customWidth="1"/>
    <col min="18" max="18" width="11" style="219" bestFit="1" customWidth="1"/>
    <col min="19" max="20" width="9.1796875" style="215"/>
    <col min="21" max="21" width="12.7265625" style="215" bestFit="1" customWidth="1"/>
    <col min="22" max="16384" width="9.1796875" style="215"/>
  </cols>
  <sheetData>
    <row r="1" spans="1:27" ht="12.75" x14ac:dyDescent="0.2">
      <c r="A1" s="77">
        <v>1</v>
      </c>
      <c r="B1" s="77">
        <f>A1+1</f>
        <v>2</v>
      </c>
      <c r="C1" s="77">
        <f t="shared" ref="C1:W1" si="0">B1+1</f>
        <v>3</v>
      </c>
      <c r="D1" s="77">
        <f t="shared" si="0"/>
        <v>4</v>
      </c>
      <c r="E1" s="77">
        <f t="shared" si="0"/>
        <v>5</v>
      </c>
      <c r="F1" s="77">
        <f t="shared" si="0"/>
        <v>6</v>
      </c>
      <c r="G1" s="77">
        <f t="shared" si="0"/>
        <v>7</v>
      </c>
      <c r="H1" s="77">
        <f t="shared" si="0"/>
        <v>8</v>
      </c>
      <c r="I1" s="77">
        <f t="shared" si="0"/>
        <v>9</v>
      </c>
      <c r="J1" s="77">
        <f t="shared" si="0"/>
        <v>10</v>
      </c>
      <c r="K1" s="77">
        <f t="shared" si="0"/>
        <v>11</v>
      </c>
      <c r="L1" s="77">
        <f t="shared" si="0"/>
        <v>12</v>
      </c>
      <c r="M1" s="77">
        <f t="shared" si="0"/>
        <v>13</v>
      </c>
      <c r="N1" s="77">
        <f t="shared" si="0"/>
        <v>14</v>
      </c>
      <c r="O1" s="77">
        <f t="shared" si="0"/>
        <v>15</v>
      </c>
      <c r="P1" s="77">
        <f t="shared" si="0"/>
        <v>16</v>
      </c>
      <c r="Q1" s="77">
        <f t="shared" si="0"/>
        <v>17</v>
      </c>
      <c r="R1" s="77">
        <f t="shared" si="0"/>
        <v>18</v>
      </c>
      <c r="S1" s="77">
        <f t="shared" si="0"/>
        <v>19</v>
      </c>
      <c r="T1" s="77">
        <f t="shared" si="0"/>
        <v>20</v>
      </c>
      <c r="U1" s="77">
        <f t="shared" si="0"/>
        <v>21</v>
      </c>
      <c r="V1" s="77">
        <f t="shared" si="0"/>
        <v>22</v>
      </c>
      <c r="W1" s="77">
        <f t="shared" si="0"/>
        <v>23</v>
      </c>
      <c r="X1" s="215">
        <v>24</v>
      </c>
    </row>
    <row r="2" spans="1:27" ht="12.75" x14ac:dyDescent="0.2">
      <c r="A2" s="78" t="s">
        <v>320</v>
      </c>
      <c r="B2" s="78" t="s">
        <v>321</v>
      </c>
      <c r="C2" s="78" t="s">
        <v>322</v>
      </c>
      <c r="D2" s="78" t="s">
        <v>323</v>
      </c>
      <c r="E2" s="78" t="s">
        <v>518</v>
      </c>
      <c r="F2" s="78" t="s">
        <v>517</v>
      </c>
      <c r="G2" s="78" t="s">
        <v>519</v>
      </c>
      <c r="H2" s="78" t="s">
        <v>324</v>
      </c>
      <c r="I2" s="78" t="s">
        <v>210</v>
      </c>
      <c r="J2" s="78" t="s">
        <v>325</v>
      </c>
      <c r="K2" s="78" t="s">
        <v>502</v>
      </c>
      <c r="L2" s="78" t="s">
        <v>326</v>
      </c>
      <c r="M2" s="79" t="s">
        <v>327</v>
      </c>
      <c r="N2" s="78" t="s">
        <v>328</v>
      </c>
      <c r="O2" s="79" t="s">
        <v>329</v>
      </c>
      <c r="P2" s="79" t="s">
        <v>218</v>
      </c>
      <c r="Q2" s="79" t="s">
        <v>220</v>
      </c>
      <c r="R2" s="79" t="s">
        <v>365</v>
      </c>
      <c r="S2" s="79" t="s">
        <v>366</v>
      </c>
      <c r="T2" s="79" t="s">
        <v>330</v>
      </c>
      <c r="U2" s="79" t="s">
        <v>394</v>
      </c>
      <c r="V2" s="79" t="s">
        <v>39</v>
      </c>
      <c r="W2" s="79" t="s">
        <v>387</v>
      </c>
      <c r="X2" s="79" t="s">
        <v>391</v>
      </c>
      <c r="Y2" s="215" t="s">
        <v>645</v>
      </c>
      <c r="Z2" s="215" t="s">
        <v>646</v>
      </c>
    </row>
    <row r="3" spans="1:27" x14ac:dyDescent="0.25">
      <c r="A3" s="241" t="s">
        <v>490</v>
      </c>
      <c r="B3" s="244">
        <v>4.5</v>
      </c>
      <c r="C3" s="244">
        <v>17</v>
      </c>
      <c r="D3" s="244">
        <v>8</v>
      </c>
      <c r="E3" s="242">
        <v>200000</v>
      </c>
      <c r="F3" s="242">
        <v>1200000</v>
      </c>
      <c r="G3" s="245">
        <v>8</v>
      </c>
      <c r="H3" s="246">
        <v>165</v>
      </c>
      <c r="I3" s="244">
        <v>0.6</v>
      </c>
      <c r="J3" s="243" t="s">
        <v>522</v>
      </c>
      <c r="K3" s="245">
        <v>6</v>
      </c>
      <c r="L3" s="411">
        <v>100</v>
      </c>
      <c r="M3" s="247">
        <v>8</v>
      </c>
      <c r="N3" s="247">
        <v>6</v>
      </c>
      <c r="O3" s="242">
        <v>2.2999999999999998</v>
      </c>
      <c r="P3" s="248">
        <v>1.22</v>
      </c>
      <c r="Q3" s="248">
        <v>1.17</v>
      </c>
      <c r="R3" s="247">
        <v>1300</v>
      </c>
      <c r="S3" s="249">
        <v>13</v>
      </c>
      <c r="T3" s="215">
        <v>0</v>
      </c>
      <c r="U3" s="252">
        <v>10000000</v>
      </c>
      <c r="V3" s="215">
        <f>10^((LOG(fsw_select)-LOG(42533.5))/-0.964356)</f>
        <v>70.722687158377184</v>
      </c>
      <c r="W3" s="215">
        <f>42533.5*(Rt)^-(0.964356)</f>
        <v>914.53573824918305</v>
      </c>
      <c r="X3" s="215">
        <v>9</v>
      </c>
      <c r="Y3" s="215">
        <v>1.1499999999999999</v>
      </c>
      <c r="Z3" s="215">
        <v>3.3</v>
      </c>
    </row>
    <row r="4" spans="1:27" ht="12.75" x14ac:dyDescent="0.2">
      <c r="A4" s="241" t="s">
        <v>491</v>
      </c>
      <c r="B4" s="244">
        <v>4.5</v>
      </c>
      <c r="C4" s="244">
        <v>17</v>
      </c>
      <c r="D4" s="244">
        <v>8</v>
      </c>
      <c r="E4" s="242">
        <v>200000</v>
      </c>
      <c r="F4" s="242">
        <v>1200000</v>
      </c>
      <c r="G4" s="245">
        <v>15.1</v>
      </c>
      <c r="H4" s="246">
        <v>165</v>
      </c>
      <c r="I4" s="244">
        <v>0.6</v>
      </c>
      <c r="J4" s="243" t="s">
        <v>522</v>
      </c>
      <c r="K4" s="245">
        <v>6</v>
      </c>
      <c r="L4" s="411">
        <v>100</v>
      </c>
      <c r="M4" s="247">
        <v>8</v>
      </c>
      <c r="N4" s="247">
        <v>6</v>
      </c>
      <c r="O4" s="242">
        <v>2.2999999999999998</v>
      </c>
      <c r="P4" s="248">
        <v>1.22</v>
      </c>
      <c r="Q4" s="248">
        <v>1.17</v>
      </c>
      <c r="R4" s="247">
        <v>1300</v>
      </c>
      <c r="S4" s="249">
        <v>20</v>
      </c>
      <c r="T4" s="215">
        <v>0</v>
      </c>
      <c r="U4" s="252">
        <v>10000000</v>
      </c>
      <c r="V4" s="215">
        <f>10^((LOG(fsw_select)-LOG(42533.5))/-0.964356)</f>
        <v>70.722687158377184</v>
      </c>
      <c r="W4" s="215">
        <f>42533.5*(Rt)^-(0.964356)</f>
        <v>914.53573824918305</v>
      </c>
      <c r="X4" s="215">
        <v>9</v>
      </c>
      <c r="Y4" s="215">
        <v>1.1499999999999999</v>
      </c>
      <c r="Z4" s="215">
        <v>3.3</v>
      </c>
    </row>
    <row r="5" spans="1:27" ht="12.75" x14ac:dyDescent="0.2">
      <c r="A5" s="244" t="s">
        <v>492</v>
      </c>
      <c r="B5" s="244">
        <v>4.5</v>
      </c>
      <c r="C5" s="244">
        <v>17</v>
      </c>
      <c r="D5" s="244">
        <v>8</v>
      </c>
      <c r="E5" s="244">
        <v>200000</v>
      </c>
      <c r="F5" s="244">
        <v>1200000</v>
      </c>
      <c r="G5" s="245">
        <v>12.75</v>
      </c>
      <c r="H5" s="246">
        <v>165</v>
      </c>
      <c r="I5" s="244">
        <v>0.6</v>
      </c>
      <c r="J5" s="243" t="s">
        <v>522</v>
      </c>
      <c r="K5" s="245">
        <v>6</v>
      </c>
      <c r="L5" s="412">
        <v>100</v>
      </c>
      <c r="M5" s="247">
        <v>8</v>
      </c>
      <c r="N5" s="247">
        <v>6</v>
      </c>
      <c r="O5" s="244">
        <v>2.2999999999999998</v>
      </c>
      <c r="P5" s="248">
        <v>1.22</v>
      </c>
      <c r="Q5" s="248">
        <v>1.17</v>
      </c>
      <c r="R5" s="247">
        <v>1300</v>
      </c>
      <c r="S5" s="249">
        <v>17</v>
      </c>
      <c r="T5" s="215">
        <v>0</v>
      </c>
      <c r="U5" s="252">
        <v>10000000</v>
      </c>
      <c r="V5" s="215">
        <f>10^((LOG(fsw_select)-LOG(42533.5))/-0.964356)</f>
        <v>70.722687158377184</v>
      </c>
      <c r="W5" s="215">
        <f>42533.5*(Rt)^-(0.964356)</f>
        <v>914.53573824918305</v>
      </c>
      <c r="X5" s="215">
        <v>9</v>
      </c>
      <c r="Y5" s="244">
        <v>1.1499999999999999</v>
      </c>
      <c r="Z5" s="244">
        <v>3.3</v>
      </c>
      <c r="AA5" s="244"/>
    </row>
    <row r="6" spans="1:27" ht="12.75" x14ac:dyDescent="0.2">
      <c r="A6" s="244" t="s">
        <v>493</v>
      </c>
      <c r="B6" s="244">
        <v>4.5</v>
      </c>
      <c r="C6" s="244">
        <v>17</v>
      </c>
      <c r="D6" s="244">
        <v>3</v>
      </c>
      <c r="E6" s="244">
        <v>200000</v>
      </c>
      <c r="F6" s="244">
        <v>1600000</v>
      </c>
      <c r="G6" s="245">
        <v>6.2</v>
      </c>
      <c r="H6" s="246">
        <v>135</v>
      </c>
      <c r="I6" s="244">
        <v>0.8</v>
      </c>
      <c r="J6" s="243" t="s">
        <v>331</v>
      </c>
      <c r="K6" s="245">
        <v>6</v>
      </c>
      <c r="L6" s="412">
        <v>100</v>
      </c>
      <c r="M6" s="247">
        <v>57</v>
      </c>
      <c r="N6" s="247">
        <v>50</v>
      </c>
      <c r="O6" s="244">
        <v>2.2999999999999998</v>
      </c>
      <c r="P6" s="248">
        <v>1.21</v>
      </c>
      <c r="Q6" s="248">
        <v>1.17</v>
      </c>
      <c r="R6" s="247">
        <v>1300</v>
      </c>
      <c r="S6" s="249">
        <v>12</v>
      </c>
      <c r="T6" s="215">
        <v>1</v>
      </c>
      <c r="U6" s="252">
        <v>10000000</v>
      </c>
      <c r="V6" s="215">
        <f>48000*(fsw_select)^-(0.997)-2</f>
        <v>67.932409419235967</v>
      </c>
      <c r="W6" s="215">
        <f>43660*(Rt)^-(0.973)+2</f>
        <v>908.99812863428428</v>
      </c>
      <c r="X6" s="215">
        <v>6.75</v>
      </c>
      <c r="Y6" s="335">
        <v>1.1499999999999999</v>
      </c>
      <c r="Z6" s="336">
        <v>3.4</v>
      </c>
      <c r="AA6" s="244"/>
    </row>
    <row r="7" spans="1:27" ht="12.75" x14ac:dyDescent="0.2">
      <c r="A7" s="244" t="s">
        <v>494</v>
      </c>
      <c r="B7" s="244">
        <v>2.95</v>
      </c>
      <c r="C7" s="244">
        <v>6</v>
      </c>
      <c r="D7" s="244">
        <v>4</v>
      </c>
      <c r="E7" s="244">
        <v>200000</v>
      </c>
      <c r="F7" s="244">
        <v>2000000</v>
      </c>
      <c r="G7" s="244">
        <v>6.4</v>
      </c>
      <c r="H7" s="244">
        <v>120</v>
      </c>
      <c r="I7" s="244">
        <v>0.80300000000000005</v>
      </c>
      <c r="J7" s="243" t="s">
        <v>521</v>
      </c>
      <c r="K7" s="244">
        <v>7</v>
      </c>
      <c r="L7" s="412">
        <v>60</v>
      </c>
      <c r="M7" s="244">
        <v>30</v>
      </c>
      <c r="N7" s="244">
        <v>30</v>
      </c>
      <c r="O7" s="244">
        <v>1.8</v>
      </c>
      <c r="P7" s="248">
        <v>1.25</v>
      </c>
      <c r="Q7" s="248">
        <v>1.18</v>
      </c>
      <c r="R7" s="244">
        <v>225</v>
      </c>
      <c r="S7" s="245">
        <v>13</v>
      </c>
      <c r="T7" s="218">
        <v>1</v>
      </c>
      <c r="U7" s="252">
        <v>7000000</v>
      </c>
      <c r="V7" s="215">
        <f>311890/((fsw_select)^(1.0793))</f>
        <v>265.02517856124035</v>
      </c>
      <c r="W7" s="215">
        <f>133870*(Rt)^-(0.9393)</f>
        <v>3180.3782623841435</v>
      </c>
      <c r="X7" s="215">
        <v>8.4</v>
      </c>
      <c r="Y7" s="337">
        <v>0.65</v>
      </c>
      <c r="Z7" s="337">
        <f>3.2-0.65</f>
        <v>2.5500000000000003</v>
      </c>
      <c r="AA7" s="244"/>
    </row>
    <row r="8" spans="1:27" ht="12.75" x14ac:dyDescent="0.2">
      <c r="A8" s="244" t="s">
        <v>495</v>
      </c>
      <c r="B8" s="244">
        <v>4.5</v>
      </c>
      <c r="C8" s="244">
        <v>17</v>
      </c>
      <c r="D8" s="244">
        <v>4</v>
      </c>
      <c r="E8" s="244">
        <v>200000</v>
      </c>
      <c r="F8" s="244">
        <v>1600000</v>
      </c>
      <c r="G8" s="244">
        <v>6.8</v>
      </c>
      <c r="H8" s="244">
        <v>130</v>
      </c>
      <c r="I8" s="244">
        <v>0.6</v>
      </c>
      <c r="J8" s="243" t="s">
        <v>331</v>
      </c>
      <c r="K8" s="244">
        <v>6.5</v>
      </c>
      <c r="L8" s="412">
        <v>200</v>
      </c>
      <c r="M8" s="244">
        <v>14</v>
      </c>
      <c r="N8" s="244">
        <v>6</v>
      </c>
      <c r="O8" s="244">
        <v>5</v>
      </c>
      <c r="P8" s="248">
        <v>1.2</v>
      </c>
      <c r="Q8" s="248">
        <v>1.1499999999999999</v>
      </c>
      <c r="R8" s="244">
        <v>1100</v>
      </c>
      <c r="S8" s="245">
        <f>16.52*1.4</f>
        <v>23.127999999999997</v>
      </c>
      <c r="T8" s="218">
        <v>1</v>
      </c>
      <c r="U8" s="252">
        <v>10000000</v>
      </c>
      <c r="V8" s="215">
        <f>58650*(fsw_select)^-(1.028)</f>
        <v>69.744060967508986</v>
      </c>
      <c r="W8" s="215">
        <f>43660*(Rt)^-(0.973)</f>
        <v>906.99812863428428</v>
      </c>
      <c r="X8" s="215">
        <v>6</v>
      </c>
      <c r="Y8" s="337">
        <v>1.2</v>
      </c>
      <c r="Z8" s="337">
        <v>3.6</v>
      </c>
      <c r="AA8" s="244"/>
    </row>
    <row r="9" spans="1:27" ht="12.75" x14ac:dyDescent="0.2">
      <c r="A9" s="244" t="s">
        <v>496</v>
      </c>
      <c r="B9" s="244">
        <v>2.95</v>
      </c>
      <c r="C9" s="244">
        <v>6</v>
      </c>
      <c r="D9" s="244">
        <v>4</v>
      </c>
      <c r="E9" s="244">
        <v>200000</v>
      </c>
      <c r="F9" s="244">
        <v>2000000</v>
      </c>
      <c r="G9" s="245">
        <v>6.5</v>
      </c>
      <c r="H9" s="246">
        <v>120</v>
      </c>
      <c r="I9" s="244">
        <v>0.6</v>
      </c>
      <c r="J9" s="243" t="s">
        <v>331</v>
      </c>
      <c r="K9" s="245">
        <v>6</v>
      </c>
      <c r="L9" s="412">
        <v>110</v>
      </c>
      <c r="M9" s="247">
        <v>30</v>
      </c>
      <c r="N9" s="247">
        <v>30</v>
      </c>
      <c r="O9" s="244">
        <v>2.2000000000000002</v>
      </c>
      <c r="P9" s="248">
        <v>1.3</v>
      </c>
      <c r="Q9" s="248">
        <v>1.21</v>
      </c>
      <c r="R9" s="247">
        <v>225</v>
      </c>
      <c r="S9" s="249">
        <v>14</v>
      </c>
      <c r="T9" s="218">
        <v>1</v>
      </c>
      <c r="U9" s="252">
        <v>7000000</v>
      </c>
      <c r="V9" s="215">
        <f>90066/((fsw_select)^(1.135))</f>
        <v>53.134255519535444</v>
      </c>
      <c r="W9" s="215">
        <f>23439*(Rt)^-(0.8813)</f>
        <v>701.4975359338722</v>
      </c>
      <c r="X9" s="215">
        <v>8.4</v>
      </c>
      <c r="Y9" s="336">
        <v>0.6</v>
      </c>
      <c r="Z9" s="336">
        <f>3.4-Y9</f>
        <v>2.8</v>
      </c>
      <c r="AA9" s="244"/>
    </row>
    <row r="10" spans="1:27" ht="12.75" x14ac:dyDescent="0.2">
      <c r="A10" s="244" t="s">
        <v>497</v>
      </c>
      <c r="B10" s="244">
        <v>4.5</v>
      </c>
      <c r="C10" s="244">
        <v>17</v>
      </c>
      <c r="D10" s="244">
        <v>5</v>
      </c>
      <c r="E10" s="244">
        <v>200000</v>
      </c>
      <c r="F10" s="244">
        <v>1600000</v>
      </c>
      <c r="G10" s="244">
        <v>9</v>
      </c>
      <c r="H10" s="244">
        <v>135</v>
      </c>
      <c r="I10" s="244">
        <v>0.8</v>
      </c>
      <c r="J10" s="243" t="s">
        <v>331</v>
      </c>
      <c r="K10" s="244">
        <v>6</v>
      </c>
      <c r="L10" s="412">
        <v>100</v>
      </c>
      <c r="M10" s="244">
        <v>57</v>
      </c>
      <c r="N10" s="244">
        <v>50</v>
      </c>
      <c r="O10" s="244">
        <v>2.2999999999999998</v>
      </c>
      <c r="P10" s="244">
        <v>1.21</v>
      </c>
      <c r="Q10" s="244">
        <v>1.17</v>
      </c>
      <c r="R10" s="244">
        <v>1300</v>
      </c>
      <c r="S10" s="244">
        <v>12</v>
      </c>
      <c r="T10" s="218">
        <v>1</v>
      </c>
      <c r="U10" s="252">
        <v>10000000</v>
      </c>
      <c r="V10" s="215">
        <f>60728*(fsw_select)^-(1.033)</f>
        <v>69.888014600609878</v>
      </c>
      <c r="W10" s="215">
        <f>43660*(Rt)^-(0.973)+2</f>
        <v>908.99812863428428</v>
      </c>
      <c r="X10" s="215">
        <v>6.75</v>
      </c>
      <c r="Y10" s="414">
        <f>Y6</f>
        <v>1.1499999999999999</v>
      </c>
      <c r="Z10" s="413">
        <f>Z6</f>
        <v>3.4</v>
      </c>
      <c r="AA10" s="244"/>
    </row>
    <row r="11" spans="1:27" ht="12.75" x14ac:dyDescent="0.2">
      <c r="A11" s="244" t="s">
        <v>498</v>
      </c>
      <c r="B11" s="244">
        <v>4.5</v>
      </c>
      <c r="C11" s="244">
        <v>17</v>
      </c>
      <c r="D11" s="244">
        <v>6</v>
      </c>
      <c r="E11" s="244">
        <v>200000</v>
      </c>
      <c r="F11" s="244">
        <v>1600000</v>
      </c>
      <c r="G11" s="245">
        <v>11</v>
      </c>
      <c r="H11" s="246">
        <v>135</v>
      </c>
      <c r="I11" s="244">
        <v>0.8</v>
      </c>
      <c r="J11" s="243" t="s">
        <v>520</v>
      </c>
      <c r="K11" s="245">
        <v>6</v>
      </c>
      <c r="L11" s="412">
        <v>100</v>
      </c>
      <c r="M11" s="247">
        <v>26</v>
      </c>
      <c r="N11" s="247">
        <v>19</v>
      </c>
      <c r="O11" s="236">
        <v>2.2999999999999998</v>
      </c>
      <c r="P11" s="248">
        <v>1.21</v>
      </c>
      <c r="Q11" s="248">
        <v>1.17</v>
      </c>
      <c r="R11" s="247">
        <v>1300</v>
      </c>
      <c r="S11" s="249">
        <v>16</v>
      </c>
      <c r="T11" s="218">
        <v>1</v>
      </c>
      <c r="U11" s="252">
        <v>10000000</v>
      </c>
      <c r="V11" s="215">
        <f>48000*(fsw_select)^-(0.997)-2</f>
        <v>67.932409419235967</v>
      </c>
      <c r="W11" s="215">
        <f>43660*(Rt)^-(0.973)+2</f>
        <v>908.99812863428428</v>
      </c>
      <c r="X11" s="215">
        <v>9</v>
      </c>
      <c r="Y11" s="215">
        <v>1.1499999999999999</v>
      </c>
      <c r="Z11" s="215">
        <v>3.4</v>
      </c>
    </row>
    <row r="12" spans="1:27" ht="12.75" x14ac:dyDescent="0.2">
      <c r="A12" s="235" t="s">
        <v>339</v>
      </c>
      <c r="B12" s="236">
        <v>4.5</v>
      </c>
      <c r="C12" s="236">
        <v>17</v>
      </c>
      <c r="D12" s="236">
        <v>6</v>
      </c>
      <c r="E12" s="236">
        <v>200000</v>
      </c>
      <c r="F12" s="236">
        <v>1600000</v>
      </c>
      <c r="G12" s="236">
        <v>11</v>
      </c>
      <c r="H12" s="237">
        <v>145</v>
      </c>
      <c r="I12" s="235">
        <v>0.6</v>
      </c>
      <c r="J12" s="243" t="s">
        <v>331</v>
      </c>
      <c r="K12" s="238">
        <v>6</v>
      </c>
      <c r="L12" s="409">
        <v>100</v>
      </c>
      <c r="M12" s="236">
        <v>26</v>
      </c>
      <c r="N12" s="236">
        <v>19</v>
      </c>
      <c r="O12" s="244">
        <v>2.2999999999999998</v>
      </c>
      <c r="P12" s="236">
        <v>1.21</v>
      </c>
      <c r="Q12" s="236">
        <v>1.17</v>
      </c>
      <c r="R12" s="239">
        <v>1300</v>
      </c>
      <c r="S12" s="237">
        <v>16</v>
      </c>
      <c r="T12" s="215">
        <v>1</v>
      </c>
      <c r="U12" s="252">
        <v>10000000</v>
      </c>
      <c r="V12" s="215">
        <f>48000*(fsw_select)^-(0.997)-2</f>
        <v>67.932409419235967</v>
      </c>
      <c r="W12" s="215">
        <f>43660*(Rt)^-(0.973)+2</f>
        <v>908.99812863428428</v>
      </c>
      <c r="X12" s="215">
        <v>9</v>
      </c>
      <c r="Y12" s="215">
        <v>1.1499999999999999</v>
      </c>
      <c r="Z12" s="215">
        <v>3.3</v>
      </c>
    </row>
    <row r="13" spans="1:27" ht="12.75" x14ac:dyDescent="0.2">
      <c r="A13" s="244" t="s">
        <v>499</v>
      </c>
      <c r="B13" s="244">
        <v>4.5</v>
      </c>
      <c r="C13" s="244">
        <v>17</v>
      </c>
      <c r="D13" s="244">
        <v>6</v>
      </c>
      <c r="E13" s="244">
        <v>200000</v>
      </c>
      <c r="F13" s="244">
        <v>1600000</v>
      </c>
      <c r="G13" s="245">
        <v>11</v>
      </c>
      <c r="H13" s="246">
        <v>145</v>
      </c>
      <c r="I13" s="244">
        <v>0.6</v>
      </c>
      <c r="J13" s="243" t="s">
        <v>331</v>
      </c>
      <c r="K13" s="245">
        <v>6</v>
      </c>
      <c r="L13" s="412">
        <v>100</v>
      </c>
      <c r="M13" s="247">
        <v>26</v>
      </c>
      <c r="N13" s="247">
        <v>19</v>
      </c>
      <c r="O13" s="244">
        <v>2.2999999999999998</v>
      </c>
      <c r="P13" s="248">
        <v>1.21</v>
      </c>
      <c r="Q13" s="248">
        <v>1.17</v>
      </c>
      <c r="R13" s="247">
        <v>1300</v>
      </c>
      <c r="S13" s="249">
        <v>16</v>
      </c>
      <c r="T13" s="218">
        <v>0</v>
      </c>
      <c r="U13" s="252">
        <v>10000000</v>
      </c>
      <c r="V13" s="215">
        <f>48000*(fsw_select)^-(0.997)-2</f>
        <v>67.932409419235967</v>
      </c>
      <c r="W13" s="215">
        <f>43660*(Rt)^-(0.973)+2</f>
        <v>908.99812863428428</v>
      </c>
      <c r="X13" s="215">
        <v>9</v>
      </c>
      <c r="Y13" s="215">
        <v>1.1499999999999999</v>
      </c>
      <c r="Z13" s="215">
        <v>3.3</v>
      </c>
    </row>
    <row r="14" spans="1:27" ht="12.75" x14ac:dyDescent="0.2">
      <c r="A14" s="244" t="s">
        <v>500</v>
      </c>
      <c r="B14" s="244">
        <v>2.95</v>
      </c>
      <c r="C14" s="244">
        <v>6</v>
      </c>
      <c r="D14" s="244">
        <v>6</v>
      </c>
      <c r="E14" s="244">
        <v>200000</v>
      </c>
      <c r="F14" s="244">
        <v>2000000</v>
      </c>
      <c r="G14" s="244">
        <v>10.5</v>
      </c>
      <c r="H14" s="244">
        <v>110</v>
      </c>
      <c r="I14" s="244">
        <v>0.6</v>
      </c>
      <c r="J14" s="243" t="s">
        <v>331</v>
      </c>
      <c r="K14" s="244">
        <v>7</v>
      </c>
      <c r="L14" s="412">
        <v>70</v>
      </c>
      <c r="M14" s="244">
        <v>12</v>
      </c>
      <c r="N14" s="244">
        <v>12</v>
      </c>
      <c r="O14" s="244">
        <v>2.2000000000000002</v>
      </c>
      <c r="P14" s="248">
        <v>1.3</v>
      </c>
      <c r="Q14" s="248">
        <v>1.18</v>
      </c>
      <c r="R14" s="244">
        <v>245</v>
      </c>
      <c r="S14" s="245">
        <v>20</v>
      </c>
      <c r="T14" s="218">
        <v>1</v>
      </c>
      <c r="U14" s="252">
        <v>7000000</v>
      </c>
      <c r="V14" s="215">
        <f>56183/((fsw_select)^(1.052))</f>
        <v>57.090229306846474</v>
      </c>
      <c r="W14" s="215">
        <f>23439*(Rt)^-(0.8813)</f>
        <v>701.4975359338722</v>
      </c>
      <c r="X14" s="215">
        <v>10</v>
      </c>
      <c r="Y14" s="215">
        <v>0.7</v>
      </c>
      <c r="Z14" s="215">
        <v>2.8</v>
      </c>
    </row>
    <row r="15" spans="1:27" ht="12.75" x14ac:dyDescent="0.2">
      <c r="A15" s="244" t="s">
        <v>501</v>
      </c>
      <c r="B15" s="244">
        <v>4.5</v>
      </c>
      <c r="C15" s="244">
        <v>17</v>
      </c>
      <c r="D15" s="244">
        <v>8</v>
      </c>
      <c r="E15" s="244">
        <v>200000</v>
      </c>
      <c r="F15" s="244">
        <v>1600000</v>
      </c>
      <c r="G15" s="245">
        <v>14.5</v>
      </c>
      <c r="H15" s="246">
        <v>145</v>
      </c>
      <c r="I15" s="244">
        <v>0.6</v>
      </c>
      <c r="J15" s="243" t="s">
        <v>331</v>
      </c>
      <c r="K15" s="245">
        <v>6</v>
      </c>
      <c r="L15" s="412">
        <v>100</v>
      </c>
      <c r="M15" s="247">
        <v>26</v>
      </c>
      <c r="N15" s="247">
        <v>19</v>
      </c>
      <c r="O15" s="235">
        <v>2.2999999999999998</v>
      </c>
      <c r="P15" s="248">
        <v>1.21</v>
      </c>
      <c r="Q15" s="248">
        <v>1.17</v>
      </c>
      <c r="R15" s="247">
        <v>1300</v>
      </c>
      <c r="S15" s="249">
        <v>21</v>
      </c>
      <c r="T15" s="218">
        <v>1</v>
      </c>
      <c r="U15" s="252">
        <v>10000000</v>
      </c>
      <c r="V15" s="215">
        <f>48000*(fsw_select)^-(0.997)-2</f>
        <v>67.932409419235967</v>
      </c>
      <c r="W15" s="215">
        <f>43660*(Rt)^-(0.973)+2</f>
        <v>908.99812863428428</v>
      </c>
      <c r="X15" s="215">
        <v>9</v>
      </c>
      <c r="Y15" s="215">
        <v>1.1499999999999999</v>
      </c>
      <c r="Z15" s="215">
        <v>3.3</v>
      </c>
    </row>
    <row r="16" spans="1:27" ht="12.75" x14ac:dyDescent="0.2">
      <c r="A16" s="235" t="s">
        <v>337</v>
      </c>
      <c r="B16" s="235">
        <v>4.5</v>
      </c>
      <c r="C16" s="235">
        <v>17</v>
      </c>
      <c r="D16" s="235">
        <v>8</v>
      </c>
      <c r="E16" s="235">
        <v>200000</v>
      </c>
      <c r="F16" s="235">
        <v>1600000</v>
      </c>
      <c r="G16" s="235">
        <v>12.9</v>
      </c>
      <c r="H16" s="235">
        <v>145</v>
      </c>
      <c r="I16" s="235">
        <v>0.6</v>
      </c>
      <c r="J16" s="243" t="s">
        <v>331</v>
      </c>
      <c r="K16" s="235">
        <v>6.5</v>
      </c>
      <c r="L16" s="410">
        <v>100</v>
      </c>
      <c r="M16" s="235">
        <v>14</v>
      </c>
      <c r="N16" s="235">
        <v>6</v>
      </c>
      <c r="O16" s="235">
        <v>5</v>
      </c>
      <c r="P16" s="235">
        <v>1.2</v>
      </c>
      <c r="Q16" s="235">
        <v>1.1499999999999999</v>
      </c>
      <c r="R16" s="239">
        <v>1100</v>
      </c>
      <c r="S16" s="240">
        <v>23.1</v>
      </c>
      <c r="T16" s="215">
        <v>1</v>
      </c>
      <c r="U16" s="252">
        <v>10000000</v>
      </c>
      <c r="V16" s="215">
        <f>58650*(fsw_select)^-(1.028)</f>
        <v>69.744060967508986</v>
      </c>
      <c r="W16" s="215">
        <f>43660*(Rt)^-(0.973)</f>
        <v>906.99812863428428</v>
      </c>
      <c r="X16" s="215">
        <v>8</v>
      </c>
      <c r="Y16" s="215">
        <v>1.2</v>
      </c>
      <c r="Z16" s="215">
        <v>3.6</v>
      </c>
    </row>
    <row r="17" spans="1:27" ht="12.75" x14ac:dyDescent="0.2">
      <c r="A17" s="235" t="s">
        <v>338</v>
      </c>
      <c r="B17" s="235">
        <v>4.5</v>
      </c>
      <c r="C17" s="235">
        <v>17</v>
      </c>
      <c r="D17" s="235">
        <v>10</v>
      </c>
      <c r="E17" s="235">
        <v>200000</v>
      </c>
      <c r="F17" s="235">
        <v>1600000</v>
      </c>
      <c r="G17" s="235">
        <v>14.6</v>
      </c>
      <c r="H17" s="235">
        <v>145</v>
      </c>
      <c r="I17" s="235">
        <v>0.6</v>
      </c>
      <c r="J17" s="243" t="s">
        <v>331</v>
      </c>
      <c r="K17" s="235">
        <v>6.5</v>
      </c>
      <c r="L17" s="410">
        <v>200</v>
      </c>
      <c r="M17" s="235">
        <v>21</v>
      </c>
      <c r="N17" s="235">
        <v>8</v>
      </c>
      <c r="O17" s="244">
        <v>5</v>
      </c>
      <c r="P17" s="235">
        <v>1.2</v>
      </c>
      <c r="Q17" s="235">
        <v>1.1499999999999999</v>
      </c>
      <c r="R17" s="239">
        <v>1100</v>
      </c>
      <c r="S17" s="240">
        <v>23.1</v>
      </c>
      <c r="T17" s="215">
        <v>1</v>
      </c>
      <c r="U17" s="252">
        <v>10000000</v>
      </c>
      <c r="V17" s="215">
        <f>58650*(fsw_select)^-(1.028)</f>
        <v>69.744060967508986</v>
      </c>
      <c r="W17" s="215">
        <f>43660*(Rt)^-(0.973)</f>
        <v>906.99812863428428</v>
      </c>
      <c r="X17" s="215">
        <v>10</v>
      </c>
      <c r="Y17" s="215">
        <v>1.2</v>
      </c>
      <c r="Z17" s="215">
        <v>3.6</v>
      </c>
    </row>
    <row r="18" spans="1:27" ht="12.75" x14ac:dyDescent="0.2">
      <c r="A18" s="244"/>
      <c r="B18" s="244"/>
      <c r="C18" s="244"/>
      <c r="D18" s="244"/>
      <c r="E18" s="244"/>
      <c r="F18" s="244"/>
      <c r="G18" s="244"/>
      <c r="H18" s="244"/>
      <c r="I18" s="244"/>
      <c r="J18" s="244"/>
      <c r="K18" s="244"/>
      <c r="L18" s="244"/>
      <c r="M18" s="244"/>
      <c r="N18" s="244"/>
      <c r="O18" s="220"/>
      <c r="P18" s="244"/>
      <c r="Q18" s="244"/>
      <c r="R18" s="250"/>
      <c r="S18" s="244"/>
      <c r="T18" s="218"/>
      <c r="V18" s="220"/>
      <c r="W18" s="220"/>
      <c r="X18" s="220"/>
    </row>
    <row r="19" spans="1:27" ht="12.75" x14ac:dyDescent="0.2">
      <c r="A19" s="220"/>
      <c r="B19" s="220"/>
      <c r="C19" s="220"/>
      <c r="D19" s="220"/>
      <c r="E19" s="220"/>
      <c r="F19" s="220"/>
      <c r="G19" s="220"/>
      <c r="H19" s="220"/>
      <c r="I19" s="220"/>
      <c r="J19" s="220"/>
      <c r="K19" s="220"/>
      <c r="L19" s="220"/>
      <c r="M19" s="220"/>
      <c r="N19" s="220"/>
      <c r="O19" s="220"/>
      <c r="P19" s="220"/>
      <c r="Q19" s="220"/>
      <c r="R19" s="220"/>
      <c r="S19" s="220"/>
      <c r="T19" s="220"/>
      <c r="U19" s="220"/>
      <c r="V19" s="220"/>
      <c r="W19" s="220"/>
      <c r="X19" s="220"/>
      <c r="Y19" s="220"/>
      <c r="Z19" s="220"/>
      <c r="AA19" s="220"/>
    </row>
    <row r="20" spans="1:27" ht="12.75" x14ac:dyDescent="0.2">
      <c r="A20" s="220"/>
      <c r="B20" s="220"/>
      <c r="C20" s="220"/>
      <c r="D20" s="220"/>
      <c r="E20" s="220"/>
      <c r="F20" s="220"/>
      <c r="G20" s="220"/>
      <c r="H20" s="220"/>
      <c r="I20" s="220"/>
      <c r="J20" s="220"/>
      <c r="K20" s="220"/>
      <c r="L20" s="220"/>
      <c r="M20" s="220"/>
      <c r="N20" s="220"/>
      <c r="O20" s="220"/>
      <c r="P20" s="220"/>
      <c r="Q20" s="220"/>
      <c r="R20" s="220"/>
      <c r="S20" s="220"/>
      <c r="T20" s="220"/>
      <c r="U20" s="220"/>
      <c r="V20" s="220"/>
      <c r="W20" s="220"/>
      <c r="X20" s="220"/>
      <c r="Y20" s="220"/>
      <c r="Z20" s="220"/>
      <c r="AA20" s="220"/>
    </row>
    <row r="21" spans="1:27" ht="12.75" x14ac:dyDescent="0.2">
      <c r="A21" s="220"/>
      <c r="B21" s="220"/>
      <c r="C21" s="220"/>
      <c r="D21" s="220"/>
      <c r="E21" s="220"/>
      <c r="F21" s="220"/>
      <c r="G21" s="220"/>
      <c r="H21" s="220"/>
      <c r="I21" s="220"/>
      <c r="J21" s="220"/>
      <c r="K21" s="220"/>
      <c r="L21" s="220"/>
      <c r="M21" s="220"/>
      <c r="N21" s="220"/>
      <c r="O21" s="220"/>
      <c r="P21" s="220"/>
      <c r="Q21" s="220"/>
      <c r="R21" s="220"/>
      <c r="S21" s="220"/>
      <c r="T21" s="220"/>
      <c r="U21" s="220"/>
      <c r="V21" s="220"/>
      <c r="W21" s="220"/>
      <c r="X21" s="220"/>
      <c r="Y21" s="220"/>
      <c r="Z21" s="220"/>
      <c r="AA21" s="220"/>
    </row>
    <row r="22" spans="1:27" ht="12.75" x14ac:dyDescent="0.2">
      <c r="A22" s="338"/>
      <c r="B22" s="220"/>
      <c r="C22" s="220"/>
      <c r="D22" s="220"/>
      <c r="E22" s="220"/>
      <c r="F22" s="220"/>
      <c r="G22" s="220"/>
      <c r="H22" s="220"/>
      <c r="I22" s="220"/>
      <c r="J22" s="220"/>
      <c r="K22" s="220"/>
      <c r="L22" s="220"/>
      <c r="M22" s="220"/>
      <c r="N22" s="220"/>
      <c r="O22" s="220"/>
      <c r="P22" s="220"/>
      <c r="Q22" s="220"/>
      <c r="R22" s="220"/>
      <c r="S22" s="220"/>
      <c r="T22" s="220"/>
      <c r="U22" s="220"/>
      <c r="V22" s="220"/>
      <c r="W22" s="220"/>
      <c r="X22" s="220"/>
      <c r="Y22" s="220"/>
      <c r="Z22" s="220"/>
      <c r="AA22" s="220"/>
    </row>
    <row r="23" spans="1:27" ht="12.75" x14ac:dyDescent="0.2">
      <c r="A23" s="339"/>
      <c r="B23" s="220"/>
      <c r="C23" s="220"/>
      <c r="D23" s="220"/>
      <c r="E23" s="220"/>
      <c r="F23" s="220"/>
      <c r="G23" s="220"/>
      <c r="H23" s="220"/>
      <c r="I23" s="220"/>
      <c r="J23" s="220"/>
      <c r="K23" s="220"/>
      <c r="L23" s="220"/>
      <c r="M23" s="220"/>
      <c r="N23" s="220"/>
      <c r="O23" s="220"/>
      <c r="P23" s="220"/>
      <c r="Q23" s="220"/>
      <c r="R23" s="220"/>
      <c r="S23" s="220"/>
      <c r="T23" s="220"/>
      <c r="U23" s="220"/>
      <c r="V23" s="220"/>
      <c r="W23" s="220"/>
      <c r="X23" s="220"/>
      <c r="Y23" s="220"/>
      <c r="Z23" s="220"/>
      <c r="AA23" s="220"/>
    </row>
    <row r="24" spans="1:27" ht="12.75" x14ac:dyDescent="0.2">
      <c r="A24" s="339"/>
      <c r="B24" s="220"/>
      <c r="C24" s="220"/>
      <c r="D24" s="220"/>
      <c r="E24" s="220"/>
      <c r="F24" s="220"/>
      <c r="G24" s="220"/>
      <c r="H24" s="220"/>
      <c r="I24" s="220"/>
      <c r="J24" s="220"/>
      <c r="K24" s="220"/>
      <c r="L24" s="220"/>
      <c r="M24" s="220"/>
      <c r="N24" s="220"/>
      <c r="O24" s="220"/>
      <c r="P24" s="220"/>
      <c r="Q24" s="220"/>
      <c r="R24" s="220"/>
      <c r="S24" s="220"/>
      <c r="T24" s="220"/>
      <c r="U24" s="220"/>
      <c r="V24" s="220"/>
      <c r="W24" s="220"/>
      <c r="X24" s="220"/>
      <c r="Y24" s="220"/>
      <c r="Z24" s="220"/>
      <c r="AA24" s="220"/>
    </row>
    <row r="25" spans="1:27" ht="12.75" x14ac:dyDescent="0.2">
      <c r="A25" s="339"/>
      <c r="B25" s="220"/>
      <c r="C25" s="220"/>
      <c r="D25" s="220"/>
      <c r="E25" s="220"/>
      <c r="F25" s="220"/>
      <c r="G25" s="220"/>
      <c r="H25" s="220"/>
      <c r="I25" s="220"/>
      <c r="J25" s="220"/>
      <c r="K25" s="220"/>
      <c r="L25" s="220"/>
      <c r="M25" s="220"/>
      <c r="N25" s="220"/>
      <c r="O25" s="223"/>
      <c r="P25" s="220"/>
      <c r="Q25" s="220"/>
      <c r="R25" s="220"/>
      <c r="S25" s="220"/>
      <c r="T25" s="220"/>
      <c r="U25" s="220"/>
      <c r="V25" s="220"/>
      <c r="W25" s="220"/>
      <c r="X25" s="220"/>
      <c r="Y25" s="220"/>
      <c r="Z25" s="220"/>
      <c r="AA25" s="220"/>
    </row>
    <row r="26" spans="1:27" ht="12.75" x14ac:dyDescent="0.2">
      <c r="A26" s="339"/>
      <c r="B26" s="220"/>
      <c r="C26" s="221"/>
      <c r="D26" s="221"/>
      <c r="E26" s="220"/>
      <c r="F26" s="220"/>
      <c r="G26" s="221"/>
      <c r="H26" s="222"/>
      <c r="I26" s="222"/>
      <c r="J26" s="222"/>
      <c r="K26" s="222"/>
      <c r="L26" s="223"/>
      <c r="M26" s="223"/>
      <c r="N26" s="224"/>
      <c r="O26" s="227"/>
      <c r="P26" s="224"/>
      <c r="Q26" s="224"/>
      <c r="R26" s="225"/>
      <c r="S26" s="217"/>
      <c r="V26" s="220"/>
      <c r="W26" s="220"/>
      <c r="X26" s="220"/>
      <c r="Y26" s="220"/>
      <c r="Z26" s="220"/>
      <c r="AA26" s="220"/>
    </row>
    <row r="27" spans="1:27" ht="12.75" x14ac:dyDescent="0.2">
      <c r="A27" s="339"/>
      <c r="B27" s="220"/>
      <c r="C27" s="221"/>
      <c r="E27" s="220"/>
      <c r="F27" s="220"/>
      <c r="H27" s="222"/>
      <c r="K27" s="226"/>
      <c r="L27" s="223"/>
      <c r="M27" s="225"/>
      <c r="N27" s="224"/>
      <c r="O27" s="227"/>
      <c r="P27" s="224"/>
      <c r="Q27" s="224"/>
      <c r="R27" s="225"/>
      <c r="S27" s="228"/>
      <c r="V27" s="220"/>
      <c r="W27" s="220"/>
      <c r="X27" s="220"/>
      <c r="Y27" s="220"/>
      <c r="Z27" s="220"/>
      <c r="AA27" s="220"/>
    </row>
    <row r="28" spans="1:27" ht="12.75" x14ac:dyDescent="0.2">
      <c r="A28" s="340"/>
      <c r="B28" s="220"/>
      <c r="E28" s="220"/>
      <c r="F28" s="220"/>
      <c r="K28" s="227"/>
      <c r="L28" s="225"/>
      <c r="M28" s="225"/>
      <c r="N28" s="225"/>
      <c r="O28" s="226"/>
      <c r="P28" s="229"/>
      <c r="Q28" s="224"/>
      <c r="R28" s="225"/>
      <c r="S28" s="218"/>
      <c r="V28" s="220"/>
      <c r="W28" s="220"/>
      <c r="X28" s="220"/>
      <c r="Y28" s="220"/>
      <c r="Z28" s="220"/>
      <c r="AA28" s="220"/>
    </row>
    <row r="29" spans="1:27" ht="12.75" x14ac:dyDescent="0.2">
      <c r="A29" s="340"/>
      <c r="B29" s="220"/>
      <c r="E29" s="220"/>
      <c r="F29" s="220"/>
      <c r="K29" s="226"/>
      <c r="L29" s="225"/>
      <c r="M29" s="225"/>
      <c r="N29" s="225"/>
      <c r="O29" s="226"/>
      <c r="P29" s="229"/>
      <c r="Q29" s="225"/>
      <c r="R29" s="225"/>
      <c r="S29" s="218"/>
      <c r="V29" s="220"/>
      <c r="W29" s="220"/>
      <c r="X29" s="220"/>
      <c r="Y29" s="220"/>
      <c r="Z29" s="220"/>
      <c r="AA29" s="220"/>
    </row>
    <row r="30" spans="1:27" ht="12.75" x14ac:dyDescent="0.2">
      <c r="A30" s="339"/>
      <c r="B30" s="220"/>
      <c r="E30" s="220"/>
      <c r="F30" s="220"/>
      <c r="K30" s="227"/>
      <c r="L30" s="225"/>
      <c r="M30" s="225"/>
      <c r="N30" s="225"/>
      <c r="O30" s="226"/>
      <c r="P30" s="230"/>
      <c r="Q30" s="225"/>
      <c r="R30" s="225"/>
      <c r="S30" s="218"/>
      <c r="V30" s="220"/>
      <c r="W30" s="220"/>
      <c r="X30" s="220"/>
      <c r="Y30" s="220"/>
      <c r="Z30" s="220"/>
      <c r="AA30" s="220"/>
    </row>
    <row r="31" spans="1:27" ht="12.75" x14ac:dyDescent="0.2">
      <c r="A31" s="339"/>
      <c r="B31" s="220"/>
      <c r="E31" s="220"/>
      <c r="F31" s="220"/>
      <c r="K31" s="224"/>
      <c r="L31" s="225"/>
      <c r="M31" s="225"/>
      <c r="N31" s="225"/>
      <c r="O31" s="226"/>
      <c r="P31" s="230"/>
      <c r="Q31" s="225"/>
      <c r="R31" s="225"/>
      <c r="S31" s="218"/>
      <c r="V31" s="220"/>
      <c r="W31" s="220"/>
      <c r="X31" s="220"/>
      <c r="Y31" s="220"/>
      <c r="Z31" s="220"/>
      <c r="AA31" s="220"/>
    </row>
    <row r="32" spans="1:27" ht="12.75" x14ac:dyDescent="0.2">
      <c r="A32" s="339"/>
      <c r="B32" s="220"/>
      <c r="E32" s="220"/>
      <c r="F32" s="220"/>
      <c r="K32" s="229"/>
      <c r="L32" s="225"/>
      <c r="M32" s="225"/>
      <c r="N32" s="225"/>
      <c r="O32" s="218"/>
      <c r="P32" s="230"/>
      <c r="Q32" s="225"/>
      <c r="R32" s="225"/>
      <c r="S32" s="218"/>
      <c r="V32" s="220"/>
      <c r="W32" s="220"/>
      <c r="X32" s="220"/>
      <c r="Y32" s="220"/>
      <c r="Z32" s="220"/>
      <c r="AA32" s="220"/>
    </row>
    <row r="33" spans="1:27" ht="12.75" x14ac:dyDescent="0.2">
      <c r="A33" s="339"/>
      <c r="B33" s="220"/>
      <c r="E33" s="220"/>
      <c r="F33" s="220"/>
      <c r="K33" s="230"/>
      <c r="M33" s="218"/>
      <c r="N33" s="218"/>
      <c r="O33" s="218"/>
      <c r="P33" s="218"/>
      <c r="Q33" s="218"/>
      <c r="R33" s="218"/>
      <c r="S33" s="218"/>
      <c r="V33" s="220"/>
      <c r="W33" s="220"/>
      <c r="X33" s="220"/>
      <c r="Y33" s="220"/>
      <c r="Z33" s="220"/>
      <c r="AA33" s="220"/>
    </row>
    <row r="34" spans="1:27" ht="12.75" x14ac:dyDescent="0.2">
      <c r="A34" s="340"/>
      <c r="B34" s="220"/>
      <c r="F34" s="220"/>
      <c r="K34" s="230"/>
      <c r="M34" s="218"/>
      <c r="N34" s="218"/>
      <c r="O34" s="218"/>
      <c r="P34" s="218"/>
      <c r="Q34" s="218"/>
      <c r="R34" s="218"/>
      <c r="S34" s="218"/>
      <c r="Y34" s="220"/>
      <c r="Z34" s="220"/>
      <c r="AA34" s="220"/>
    </row>
    <row r="35" spans="1:27" ht="12.75" x14ac:dyDescent="0.2">
      <c r="A35" s="339"/>
      <c r="B35" s="232"/>
      <c r="F35" s="220"/>
      <c r="G35" s="231"/>
      <c r="I35" s="231"/>
      <c r="J35" s="231"/>
      <c r="K35" s="230"/>
      <c r="M35" s="218"/>
      <c r="N35" s="218"/>
      <c r="O35" s="218"/>
      <c r="P35" s="218"/>
      <c r="Q35" s="218"/>
      <c r="R35" s="218"/>
      <c r="S35" s="218"/>
    </row>
    <row r="36" spans="1:27" ht="12.75" x14ac:dyDescent="0.2">
      <c r="A36" s="339"/>
      <c r="B36" s="225"/>
      <c r="F36" s="220"/>
      <c r="G36" s="231"/>
      <c r="I36" s="231"/>
      <c r="J36" s="231"/>
      <c r="K36" s="219"/>
      <c r="M36" s="218"/>
      <c r="N36" s="218"/>
      <c r="O36" s="218"/>
      <c r="P36" s="218"/>
      <c r="Q36" s="218"/>
      <c r="R36" s="218"/>
      <c r="S36" s="218"/>
    </row>
    <row r="37" spans="1:27" ht="12.75" x14ac:dyDescent="0.2">
      <c r="A37" s="339"/>
      <c r="G37" s="231"/>
      <c r="I37" s="231"/>
      <c r="J37" s="231"/>
      <c r="K37" s="219"/>
      <c r="M37" s="218"/>
      <c r="N37" s="218"/>
      <c r="O37" s="218"/>
      <c r="P37" s="218"/>
      <c r="Q37" s="218"/>
      <c r="R37" s="218"/>
      <c r="S37" s="218"/>
    </row>
    <row r="38" spans="1:27" ht="12.75" x14ac:dyDescent="0.2">
      <c r="A38" s="341"/>
      <c r="F38" s="216"/>
      <c r="H38" s="233"/>
      <c r="I38" s="233"/>
      <c r="K38" s="219"/>
      <c r="M38" s="218"/>
      <c r="N38" s="218"/>
      <c r="P38" s="218"/>
      <c r="Q38" s="218"/>
      <c r="R38" s="218"/>
      <c r="S38" s="218"/>
    </row>
    <row r="39" spans="1:27" ht="12.75" x14ac:dyDescent="0.2">
      <c r="A39" s="341"/>
      <c r="F39" s="221"/>
      <c r="H39" s="233"/>
      <c r="I39" s="233"/>
      <c r="K39" s="219"/>
      <c r="R39" s="215"/>
    </row>
    <row r="40" spans="1:27" ht="12.75" x14ac:dyDescent="0.2">
      <c r="A40" s="341"/>
      <c r="F40" s="221"/>
      <c r="H40" s="233"/>
      <c r="I40" s="233"/>
      <c r="K40" s="219"/>
      <c r="R40" s="215"/>
    </row>
    <row r="41" spans="1:27" ht="12.75" x14ac:dyDescent="0.2">
      <c r="A41" s="341"/>
      <c r="R41" s="215"/>
    </row>
    <row r="42" spans="1:27" ht="12.75" x14ac:dyDescent="0.2">
      <c r="R42" s="215"/>
    </row>
    <row r="43" spans="1:27" ht="12.75" x14ac:dyDescent="0.2">
      <c r="R43" s="215"/>
    </row>
    <row r="44" spans="1:27" ht="12.75" x14ac:dyDescent="0.2">
      <c r="R44" s="215"/>
    </row>
    <row r="45" spans="1:27" ht="12.75" x14ac:dyDescent="0.2">
      <c r="A45" s="80"/>
      <c r="R45" s="215"/>
    </row>
    <row r="46" spans="1:27" ht="12.75" x14ac:dyDescent="0.2">
      <c r="A46" s="221"/>
      <c r="R46" s="215"/>
    </row>
    <row r="47" spans="1:27" ht="12.75" x14ac:dyDescent="0.2">
      <c r="A47" s="221"/>
      <c r="R47" s="215"/>
    </row>
    <row r="48" spans="1:27" ht="12.75" x14ac:dyDescent="0.2">
      <c r="A48" s="234"/>
      <c r="R48" s="215"/>
    </row>
    <row r="49" spans="1:18" ht="12.75" x14ac:dyDescent="0.2">
      <c r="A49" s="221"/>
      <c r="R49" s="215"/>
    </row>
    <row r="50" spans="1:18" ht="12.75" x14ac:dyDescent="0.2">
      <c r="A50" s="221"/>
      <c r="F50" s="221"/>
      <c r="H50" s="233"/>
      <c r="I50" s="233"/>
      <c r="K50" s="219"/>
      <c r="R50" s="215"/>
    </row>
  </sheetData>
  <protectedRanges>
    <protectedRange password="CD94" sqref="S26:S27 R24:R25 R2:R5" name="Range1"/>
  </protectedRanges>
  <sortState ref="A3:AE18">
    <sortCondition ref="A3:A18"/>
  </sortState>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Q146"/>
  <sheetViews>
    <sheetView workbookViewId="0"/>
  </sheetViews>
  <sheetFormatPr defaultColWidth="9.1796875" defaultRowHeight="12.5" x14ac:dyDescent="0.25"/>
  <cols>
    <col min="1" max="1" width="9.1796875" style="167"/>
    <col min="2" max="2" width="19.26953125" style="167" bestFit="1" customWidth="1"/>
    <col min="3" max="3" width="12.453125" style="167" bestFit="1" customWidth="1"/>
    <col min="4" max="4" width="7.7265625" style="167" customWidth="1"/>
    <col min="5" max="8" width="8.7265625" style="168" customWidth="1"/>
    <col min="9" max="9" width="8.7265625" style="169" customWidth="1"/>
    <col min="10" max="11" width="9.1796875" style="170"/>
    <col min="12" max="12" width="8.54296875" style="170" bestFit="1" customWidth="1"/>
    <col min="13" max="16384" width="9.1796875" style="168"/>
  </cols>
  <sheetData>
    <row r="1" spans="1:17" ht="18" x14ac:dyDescent="0.25">
      <c r="A1" s="166" t="s">
        <v>367</v>
      </c>
    </row>
    <row r="2" spans="1:17" ht="18.75" thickBot="1" x14ac:dyDescent="0.3">
      <c r="A2" s="171"/>
      <c r="B2" s="168"/>
      <c r="C2" s="168"/>
      <c r="D2" s="168"/>
      <c r="E2" s="166" t="s">
        <v>368</v>
      </c>
      <c r="J2" s="166" t="s">
        <v>369</v>
      </c>
      <c r="K2" s="167"/>
      <c r="L2" s="167"/>
    </row>
    <row r="3" spans="1:17" ht="13.5" thickBot="1" x14ac:dyDescent="0.25">
      <c r="A3" s="168"/>
      <c r="B3" s="172" t="s">
        <v>370</v>
      </c>
      <c r="C3" s="173">
        <v>100</v>
      </c>
      <c r="D3" s="168"/>
      <c r="E3" s="479" t="s">
        <v>371</v>
      </c>
      <c r="F3" s="480"/>
      <c r="G3" s="481" t="s">
        <v>372</v>
      </c>
      <c r="H3" s="482"/>
      <c r="J3" s="174" t="s">
        <v>373</v>
      </c>
      <c r="K3" s="175">
        <v>8.2000000000000006E-8</v>
      </c>
      <c r="L3" s="176" t="s">
        <v>232</v>
      </c>
    </row>
    <row r="4" spans="1:17" ht="13.5" thickBot="1" x14ac:dyDescent="0.25">
      <c r="B4" s="168"/>
      <c r="E4" s="177">
        <v>100</v>
      </c>
      <c r="F4" s="178">
        <v>150</v>
      </c>
      <c r="G4" s="179">
        <v>100</v>
      </c>
      <c r="H4" s="180">
        <v>102</v>
      </c>
      <c r="K4" s="181">
        <f>IF(K3*10^12&lt;10000,IF((10^(LOG(K3*10^12)-INT(LOG(K3*10^12))))-VLOOKUP((10^(LOG(K3*10^12)-INT(LOG(K3*10^12)))),c_s1:C_f1,1)&lt;VLOOKUP((10^(LOG(K3*10^12)-INT(LOG(K3*10^12)))),c_s1:C_f1,2)-(10^(LOG(K3*10^12)-INT(LOG(K3*10^12)))),VLOOKUP((10^(LOG(K3*10^12)-INT(LOG(K3*10^12)))),c_s1:C_f1,1),VLOOKUP((10^(LOG(K3*10^12)-INT(LOG(K3*10^12)))),c_s1:C_f1,2))*10^INT(LOG(K3*10^12)),IF((10^(LOG(K3*10^12)-INT(LOG(K3*10^12))))-VLOOKUP((10^(LOG(K3*10^12)-INT(LOG(K3*10^12)))),C_s2:C_f2,1)&lt;VLOOKUP((10^(LOG(K3*10^12)-INT(LOG(K3*10^12)))),C_s2:C_f2,2)-(10^(LOG(K3*10^12)-INT(LOG(K3*10^12)))),VLOOKUP((10^(LOG(K3*10^12)-INT(LOG(K3*10^12)))),C_s2:C_f2,1),VLOOKUP((10^(LOG(K3*10^12)-INT(LOG(K3*10^12)))),C_s2:C_f2,2))*10^INT(LOG(K3*10^12)))*10^-12</f>
        <v>6.8E-8</v>
      </c>
      <c r="L4" s="182" t="s">
        <v>232</v>
      </c>
    </row>
    <row r="5" spans="1:17" ht="13.5" thickBot="1" x14ac:dyDescent="0.25">
      <c r="B5" s="183" t="s">
        <v>374</v>
      </c>
      <c r="C5" s="184">
        <f>(IF((10^(LOG(C3)-INT(LOG(C3)))*100)-VLOOKUP((10^(LOG(C3)-INT(LOG(C3)))*100),E6_s:E6_f,1)&lt;VLOOKUP((10^(LOG(C3)-INT(LOG(C3)))*100),E6_s:E6_f,2)-(10^(LOG(C3)-INT(LOG(C3)))*100),VLOOKUP((10^(LOG(C3)-INT(LOG(C3)))*100),E6_s:E6_f,1),VLOOKUP((10^(LOG(C3)-INT(LOG(C3)))*100),E6_s:E6_f,2)))*10^INT(LOG(C3))/100</f>
        <v>100</v>
      </c>
      <c r="E5" s="178">
        <v>150</v>
      </c>
      <c r="F5" s="177">
        <v>220</v>
      </c>
      <c r="G5" s="180">
        <v>102</v>
      </c>
      <c r="H5" s="179">
        <v>105</v>
      </c>
      <c r="J5" s="185"/>
      <c r="K5" s="186"/>
      <c r="L5" s="187"/>
    </row>
    <row r="6" spans="1:17" ht="13.5" thickBot="1" x14ac:dyDescent="0.25">
      <c r="B6" s="188" t="s">
        <v>375</v>
      </c>
      <c r="C6" s="189">
        <f>(IF((10^(LOG(C3)-INT(LOG(C3)))*100)-VLOOKUP((10^(LOG(C3)-INT(LOG(C3)))*100),E12_s:E12_f,1)&lt;VLOOKUP((10^(LOG(C3)-INT(LOG(C3)))*100),E12_s:E12_f,2)-(10^(LOG(C3)-INT(LOG(C3)))*100),VLOOKUP((10^(LOG(C3)-INT(LOG(C3)))*100),E12_s:E12_f,1),VLOOKUP((10^(LOG(C3)-INT(LOG(C3)))*100),E12_s:E12_f,2)))*10^INT(LOG(C3))/100</f>
        <v>100</v>
      </c>
      <c r="E6" s="177">
        <v>220</v>
      </c>
      <c r="F6" s="178">
        <v>330</v>
      </c>
      <c r="G6" s="179">
        <v>105</v>
      </c>
      <c r="H6" s="180">
        <v>107</v>
      </c>
      <c r="J6" s="190" t="s">
        <v>376</v>
      </c>
      <c r="K6" s="191"/>
      <c r="L6" s="168"/>
    </row>
    <row r="7" spans="1:17" ht="13.5" thickBot="1" x14ac:dyDescent="0.25">
      <c r="B7" s="188" t="s">
        <v>377</v>
      </c>
      <c r="C7" s="189">
        <f>(IF((10^(LOG(C3)-INT(LOG(C3)))*100)-VLOOKUP((10^(LOG(C3)-INT(LOG(C3)))*100),E24_s:E24_f,1)&lt;VLOOKUP((10^(LOG(C3)-INT(LOG(C3)))*100),E24_s:E24_f,2)-(10^(LOG(C3)-INT(LOG(C3)))*100),VLOOKUP((10^(LOG(C3)-INT(LOG(C3)))*100),E24_s:E24_f,1),VLOOKUP((10^(LOG(C3)-INT(LOG(C3)))*100),E24_s:E24_f,2)))*10^INT(LOG(C3))/100</f>
        <v>100</v>
      </c>
      <c r="E7" s="178">
        <v>330</v>
      </c>
      <c r="F7" s="177">
        <v>470</v>
      </c>
      <c r="G7" s="180">
        <v>107</v>
      </c>
      <c r="H7" s="179">
        <v>110</v>
      </c>
      <c r="J7" s="191">
        <v>1</v>
      </c>
      <c r="K7" s="191">
        <v>1.2</v>
      </c>
      <c r="L7" s="192">
        <f>IF((10^(LOG(K3)-INT(LOG(K3))))-VLOOKUP((10^(LOG(K3)-INT(LOG(K3)))),c_s1:C_f1,1)&lt;VLOOKUP((10^(LOG(K3)-INT(LOG(K3)))),c_s1:C_f1,2)-(10^(LOG(K3)-INT(LOG(K3)))),VLOOKUP((10^(LOG(K3)-INT(LOG(K3)))),c_s1:C_f1,1),VLOOKUP((10^(LOG(K3)-INT(LOG(K3)))),c_s1:C_f1,2))</f>
        <v>8.1999999999999993</v>
      </c>
    </row>
    <row r="8" spans="1:17" ht="13.5" thickBot="1" x14ac:dyDescent="0.25">
      <c r="B8" s="188" t="s">
        <v>378</v>
      </c>
      <c r="C8" s="189">
        <f>(IF((10^(LOG(C3)-INT(LOG(C3)))*100)-VLOOKUP((10^(LOG(C3)-INT(LOG(C3)))*100),E48_s:E48_f,1)&lt;VLOOKUP((10^(LOG(C3)-INT(LOG(C3)))*100),E48_s:E48_f,2)-(10^(LOG(C3)-INT(LOG(C3)))*100),VLOOKUP((10^(LOG(C3)-INT(LOG(C3)))*100),E48_s:E48_f,1),VLOOKUP((10^(LOG(C3)-INT(LOG(C3)))*100),E48_s:E48_f,2)))*10^INT(LOG(C3))/100</f>
        <v>100</v>
      </c>
      <c r="E8" s="177">
        <v>470</v>
      </c>
      <c r="F8" s="178">
        <v>680</v>
      </c>
      <c r="G8" s="179">
        <v>110</v>
      </c>
      <c r="H8" s="180">
        <v>113</v>
      </c>
      <c r="J8" s="191">
        <v>1.2</v>
      </c>
      <c r="K8" s="191">
        <v>1.5</v>
      </c>
      <c r="L8" s="193"/>
    </row>
    <row r="9" spans="1:17" ht="13.5" thickBot="1" x14ac:dyDescent="0.25">
      <c r="B9" s="194" t="s">
        <v>379</v>
      </c>
      <c r="C9" s="195">
        <f>(IF((10^(LOG(C3)-INT(LOG(C3)))*100)-VLOOKUP((10^(LOG(C3)-INT(LOG(C3)))*100),E96_s:E96_f,1)&lt;VLOOKUP((10^(LOG(C3)-INT(LOG(C3)))*100),E96_s:E96_f,2)-(10^(LOG(C3)-INT(LOG(C3)))*100),VLOOKUP((10^(LOG(C3)-INT(LOG(C3)))*100),E96_s:E96_f,1),VLOOKUP((10^(LOG(C3)-INT(LOG(C3)))*100),E96_s:E96_f,2)))*10^INT(LOG(C3))/100</f>
        <v>100</v>
      </c>
      <c r="D9" s="168"/>
      <c r="E9" s="178">
        <v>680</v>
      </c>
      <c r="F9" s="178">
        <v>1000</v>
      </c>
      <c r="G9" s="180">
        <v>113</v>
      </c>
      <c r="H9" s="179">
        <v>115</v>
      </c>
      <c r="J9" s="191">
        <v>1.5</v>
      </c>
      <c r="K9" s="191">
        <v>1.8</v>
      </c>
      <c r="L9" s="193"/>
      <c r="P9" s="168" t="s">
        <v>380</v>
      </c>
      <c r="Q9" s="168" t="s">
        <v>381</v>
      </c>
    </row>
    <row r="10" spans="1:17" ht="13.5" thickBot="1" x14ac:dyDescent="0.25">
      <c r="E10" s="483" t="s">
        <v>382</v>
      </c>
      <c r="F10" s="484"/>
      <c r="G10" s="179">
        <v>115</v>
      </c>
      <c r="H10" s="180">
        <v>118</v>
      </c>
      <c r="J10" s="191">
        <v>1.8</v>
      </c>
      <c r="K10" s="191">
        <v>2.2000000000000002</v>
      </c>
      <c r="L10" s="168"/>
      <c r="Q10" s="168" t="s">
        <v>383</v>
      </c>
    </row>
    <row r="11" spans="1:17" ht="13.5" thickBot="1" x14ac:dyDescent="0.25">
      <c r="E11" s="196">
        <v>100</v>
      </c>
      <c r="F11" s="197">
        <v>120</v>
      </c>
      <c r="G11" s="180">
        <v>118</v>
      </c>
      <c r="H11" s="179">
        <v>121</v>
      </c>
      <c r="J11" s="191">
        <v>2.2000000000000002</v>
      </c>
      <c r="K11" s="191">
        <v>2.7</v>
      </c>
      <c r="L11" s="168"/>
    </row>
    <row r="12" spans="1:17" ht="13.5" thickBot="1" x14ac:dyDescent="0.25">
      <c r="E12" s="197">
        <v>120</v>
      </c>
      <c r="F12" s="197">
        <v>150</v>
      </c>
      <c r="G12" s="179">
        <v>121</v>
      </c>
      <c r="H12" s="180">
        <v>124</v>
      </c>
      <c r="J12" s="191">
        <v>2.7</v>
      </c>
      <c r="K12" s="191">
        <v>3.3</v>
      </c>
      <c r="L12" s="168"/>
    </row>
    <row r="13" spans="1:17" ht="13.5" thickBot="1" x14ac:dyDescent="0.25">
      <c r="E13" s="197">
        <v>150</v>
      </c>
      <c r="F13" s="197">
        <v>180</v>
      </c>
      <c r="G13" s="180">
        <v>124</v>
      </c>
      <c r="H13" s="179">
        <v>127</v>
      </c>
      <c r="J13" s="191">
        <v>3.3</v>
      </c>
      <c r="K13" s="191">
        <v>3.9</v>
      </c>
      <c r="L13" s="168"/>
    </row>
    <row r="14" spans="1:17" ht="13.5" thickBot="1" x14ac:dyDescent="0.25">
      <c r="E14" s="197">
        <v>180</v>
      </c>
      <c r="F14" s="196">
        <v>220</v>
      </c>
      <c r="G14" s="179">
        <v>127</v>
      </c>
      <c r="H14" s="180">
        <v>130</v>
      </c>
      <c r="J14" s="191">
        <v>3.9</v>
      </c>
      <c r="K14" s="191">
        <v>4.7</v>
      </c>
      <c r="L14" s="168"/>
    </row>
    <row r="15" spans="1:17" ht="13.5" thickBot="1" x14ac:dyDescent="0.25">
      <c r="D15" s="198"/>
      <c r="E15" s="196">
        <v>220</v>
      </c>
      <c r="F15" s="197">
        <v>270</v>
      </c>
      <c r="G15" s="180">
        <v>130</v>
      </c>
      <c r="H15" s="179">
        <v>133</v>
      </c>
      <c r="J15" s="191">
        <v>4.7</v>
      </c>
      <c r="K15" s="191">
        <v>5.6</v>
      </c>
      <c r="L15" s="168"/>
    </row>
    <row r="16" spans="1:17" ht="13.5" thickBot="1" x14ac:dyDescent="0.25">
      <c r="A16" s="199"/>
      <c r="B16" s="200"/>
      <c r="D16" s="201"/>
      <c r="E16" s="197">
        <v>270</v>
      </c>
      <c r="F16" s="197">
        <v>330</v>
      </c>
      <c r="G16" s="179">
        <v>133</v>
      </c>
      <c r="H16" s="180">
        <v>137</v>
      </c>
      <c r="J16" s="191">
        <v>5.6</v>
      </c>
      <c r="K16" s="191">
        <v>6.8</v>
      </c>
      <c r="L16" s="168"/>
    </row>
    <row r="17" spans="1:12" ht="13.5" thickBot="1" x14ac:dyDescent="0.25">
      <c r="A17" s="199"/>
      <c r="B17" s="200"/>
      <c r="D17" s="201"/>
      <c r="E17" s="197">
        <v>330</v>
      </c>
      <c r="F17" s="197">
        <v>390</v>
      </c>
      <c r="G17" s="180">
        <v>137</v>
      </c>
      <c r="H17" s="179">
        <v>140</v>
      </c>
      <c r="J17" s="191">
        <v>6.8</v>
      </c>
      <c r="K17" s="191">
        <v>8.1999999999999993</v>
      </c>
      <c r="L17" s="168"/>
    </row>
    <row r="18" spans="1:12" ht="13.5" thickBot="1" x14ac:dyDescent="0.25">
      <c r="A18" s="199"/>
      <c r="B18" s="200"/>
      <c r="D18" s="201"/>
      <c r="E18" s="197">
        <v>390</v>
      </c>
      <c r="F18" s="196">
        <v>470</v>
      </c>
      <c r="G18" s="179">
        <v>140</v>
      </c>
      <c r="H18" s="180">
        <v>143</v>
      </c>
      <c r="J18" s="191">
        <v>8.1999999999999993</v>
      </c>
      <c r="K18" s="191">
        <v>10</v>
      </c>
      <c r="L18" s="168"/>
    </row>
    <row r="19" spans="1:12" ht="13.5" thickBot="1" x14ac:dyDescent="0.25">
      <c r="A19" s="199"/>
      <c r="B19" s="200"/>
      <c r="D19" s="201"/>
      <c r="E19" s="196">
        <v>470</v>
      </c>
      <c r="F19" s="197">
        <v>560</v>
      </c>
      <c r="G19" s="180">
        <v>143</v>
      </c>
      <c r="H19" s="179">
        <v>147</v>
      </c>
      <c r="J19" s="190" t="s">
        <v>384</v>
      </c>
      <c r="K19" s="191"/>
      <c r="L19" s="191"/>
    </row>
    <row r="20" spans="1:12" ht="13.5" thickBot="1" x14ac:dyDescent="0.25">
      <c r="A20" s="199"/>
      <c r="B20" s="200"/>
      <c r="D20" s="201"/>
      <c r="E20" s="197">
        <v>560</v>
      </c>
      <c r="F20" s="197">
        <v>680</v>
      </c>
      <c r="G20" s="179">
        <v>147</v>
      </c>
      <c r="H20" s="180">
        <v>150</v>
      </c>
      <c r="J20" s="191">
        <v>1</v>
      </c>
      <c r="K20" s="191">
        <v>1.5</v>
      </c>
      <c r="L20" s="192">
        <f>IF((10^(LOG(K3)-INT(LOG(K3))))-VLOOKUP((10^(LOG(K3)-INT(LOG(K3)))),C_s2:C_f2,1)&lt;VLOOKUP((10^(LOG(K3)-INT(LOG(K3)))),C_s2:C_f2,2)-(10^(LOG(K3)-INT(LOG(K3)))),VLOOKUP((10^(LOG(K3)-INT(LOG(K3)))),C_s2:C_f2,1),VLOOKUP((10^(LOG(K3)-INT(LOG(K3)))),C_s2:C_f2,2))</f>
        <v>6.8</v>
      </c>
    </row>
    <row r="21" spans="1:12" ht="13.5" thickBot="1" x14ac:dyDescent="0.25">
      <c r="A21" s="199"/>
      <c r="B21" s="200"/>
      <c r="D21" s="201"/>
      <c r="E21" s="202">
        <v>680</v>
      </c>
      <c r="F21" s="197">
        <v>820</v>
      </c>
      <c r="G21" s="180">
        <v>150</v>
      </c>
      <c r="H21" s="179">
        <v>154</v>
      </c>
      <c r="J21" s="191">
        <v>1.5</v>
      </c>
      <c r="K21" s="191">
        <v>2.2000000000000002</v>
      </c>
    </row>
    <row r="22" spans="1:12" ht="13.5" thickBot="1" x14ac:dyDescent="0.25">
      <c r="A22" s="199"/>
      <c r="B22" s="200"/>
      <c r="D22" s="201"/>
      <c r="E22" s="202">
        <v>820</v>
      </c>
      <c r="F22" s="197">
        <v>1000</v>
      </c>
      <c r="G22" s="179">
        <v>154</v>
      </c>
      <c r="H22" s="180">
        <v>158</v>
      </c>
      <c r="J22" s="191">
        <v>2.2000000000000002</v>
      </c>
      <c r="K22" s="191">
        <v>3.3</v>
      </c>
      <c r="L22" s="192"/>
    </row>
    <row r="23" spans="1:12" ht="13.5" thickBot="1" x14ac:dyDescent="0.25">
      <c r="A23" s="199"/>
      <c r="B23" s="200"/>
      <c r="D23" s="201"/>
      <c r="E23" s="485" t="s">
        <v>385</v>
      </c>
      <c r="F23" s="486"/>
      <c r="G23" s="180">
        <v>158</v>
      </c>
      <c r="H23" s="179">
        <v>162</v>
      </c>
      <c r="J23" s="191">
        <v>3.3</v>
      </c>
      <c r="K23" s="191">
        <v>4.7</v>
      </c>
      <c r="L23" s="192"/>
    </row>
    <row r="24" spans="1:12" ht="13.5" thickBot="1" x14ac:dyDescent="0.25">
      <c r="A24" s="199"/>
      <c r="B24" s="200"/>
      <c r="D24" s="201"/>
      <c r="E24" s="203">
        <v>100</v>
      </c>
      <c r="F24" s="204">
        <v>110</v>
      </c>
      <c r="G24" s="179">
        <v>162</v>
      </c>
      <c r="H24" s="180">
        <v>165</v>
      </c>
      <c r="J24" s="191">
        <v>4.7</v>
      </c>
      <c r="K24" s="191">
        <v>6.8</v>
      </c>
      <c r="L24" s="168"/>
    </row>
    <row r="25" spans="1:12" ht="13.5" thickBot="1" x14ac:dyDescent="0.25">
      <c r="A25" s="199"/>
      <c r="B25" s="200"/>
      <c r="D25" s="201"/>
      <c r="E25" s="204">
        <v>110</v>
      </c>
      <c r="F25" s="204">
        <v>120</v>
      </c>
      <c r="G25" s="180">
        <v>165</v>
      </c>
      <c r="H25" s="179">
        <v>169</v>
      </c>
      <c r="J25" s="191">
        <v>6.8</v>
      </c>
      <c r="K25" s="191">
        <v>10</v>
      </c>
      <c r="L25" s="168"/>
    </row>
    <row r="26" spans="1:12" ht="13.5" thickBot="1" x14ac:dyDescent="0.25">
      <c r="A26" s="199"/>
      <c r="B26" s="200"/>
      <c r="D26" s="201"/>
      <c r="E26" s="204">
        <v>120</v>
      </c>
      <c r="F26" s="204">
        <v>130</v>
      </c>
      <c r="G26" s="179">
        <v>169</v>
      </c>
      <c r="H26" s="180">
        <v>174</v>
      </c>
      <c r="J26" s="205"/>
      <c r="K26" s="205"/>
      <c r="L26" s="205"/>
    </row>
    <row r="27" spans="1:12" ht="13.5" thickBot="1" x14ac:dyDescent="0.25">
      <c r="A27" s="199"/>
      <c r="B27" s="200"/>
      <c r="D27" s="201"/>
      <c r="E27" s="204">
        <v>130</v>
      </c>
      <c r="F27" s="204">
        <v>150</v>
      </c>
      <c r="G27" s="180">
        <v>174</v>
      </c>
      <c r="H27" s="179">
        <v>178</v>
      </c>
      <c r="J27" s="205"/>
      <c r="K27" s="205"/>
      <c r="L27" s="205"/>
    </row>
    <row r="28" spans="1:12" ht="13.5" thickBot="1" x14ac:dyDescent="0.25">
      <c r="A28" s="199"/>
      <c r="B28" s="200"/>
      <c r="D28" s="201"/>
      <c r="E28" s="204">
        <v>150</v>
      </c>
      <c r="F28" s="204">
        <v>160</v>
      </c>
      <c r="G28" s="179">
        <v>178</v>
      </c>
      <c r="H28" s="180">
        <v>182</v>
      </c>
      <c r="I28" s="206"/>
      <c r="J28" s="205"/>
      <c r="K28" s="205"/>
      <c r="L28" s="205"/>
    </row>
    <row r="29" spans="1:12" ht="13.5" thickBot="1" x14ac:dyDescent="0.25">
      <c r="A29" s="199"/>
      <c r="B29" s="200"/>
      <c r="D29" s="201"/>
      <c r="E29" s="204">
        <v>160</v>
      </c>
      <c r="F29" s="204">
        <v>180</v>
      </c>
      <c r="G29" s="180">
        <v>182</v>
      </c>
      <c r="H29" s="179">
        <v>187</v>
      </c>
      <c r="I29" s="206"/>
      <c r="J29" s="205"/>
      <c r="K29" s="205"/>
      <c r="L29" s="205"/>
    </row>
    <row r="30" spans="1:12" ht="13.5" thickBot="1" x14ac:dyDescent="0.25">
      <c r="A30" s="199"/>
      <c r="B30" s="200"/>
      <c r="D30" s="201"/>
      <c r="E30" s="204">
        <v>180</v>
      </c>
      <c r="F30" s="207">
        <v>200</v>
      </c>
      <c r="G30" s="179">
        <v>187</v>
      </c>
      <c r="H30" s="180">
        <v>191</v>
      </c>
      <c r="I30" s="206"/>
      <c r="J30" s="205"/>
      <c r="K30" s="205"/>
      <c r="L30" s="205"/>
    </row>
    <row r="31" spans="1:12" ht="13.5" thickBot="1" x14ac:dyDescent="0.25">
      <c r="A31" s="199"/>
      <c r="B31" s="200"/>
      <c r="D31" s="201"/>
      <c r="E31" s="207">
        <v>200</v>
      </c>
      <c r="F31" s="203">
        <v>220</v>
      </c>
      <c r="G31" s="180">
        <v>191</v>
      </c>
      <c r="H31" s="179">
        <v>196</v>
      </c>
      <c r="I31" s="206"/>
      <c r="J31" s="205"/>
      <c r="K31" s="205"/>
      <c r="L31" s="205"/>
    </row>
    <row r="32" spans="1:12" ht="13.5" thickBot="1" x14ac:dyDescent="0.25">
      <c r="A32" s="199"/>
      <c r="B32" s="200"/>
      <c r="D32" s="201"/>
      <c r="E32" s="203">
        <v>220</v>
      </c>
      <c r="F32" s="204">
        <v>240</v>
      </c>
      <c r="G32" s="179">
        <v>196</v>
      </c>
      <c r="H32" s="180">
        <v>200</v>
      </c>
      <c r="I32" s="206"/>
      <c r="J32" s="205"/>
      <c r="K32" s="205"/>
      <c r="L32" s="205"/>
    </row>
    <row r="33" spans="1:12" ht="13.5" thickBot="1" x14ac:dyDescent="0.25">
      <c r="A33" s="199"/>
      <c r="B33" s="200"/>
      <c r="D33" s="201"/>
      <c r="E33" s="204">
        <v>240</v>
      </c>
      <c r="F33" s="204">
        <v>270</v>
      </c>
      <c r="G33" s="180">
        <v>200</v>
      </c>
      <c r="H33" s="179">
        <v>205</v>
      </c>
      <c r="I33" s="206"/>
      <c r="J33" s="205"/>
      <c r="K33" s="205"/>
      <c r="L33" s="205"/>
    </row>
    <row r="34" spans="1:12" s="209" customFormat="1" ht="13.5" thickBot="1" x14ac:dyDescent="0.25">
      <c r="A34" s="199"/>
      <c r="B34" s="200"/>
      <c r="C34" s="167"/>
      <c r="D34" s="201"/>
      <c r="E34" s="204">
        <v>270</v>
      </c>
      <c r="F34" s="204">
        <v>300</v>
      </c>
      <c r="G34" s="179">
        <v>205</v>
      </c>
      <c r="H34" s="180">
        <v>210</v>
      </c>
      <c r="I34" s="208"/>
      <c r="J34" s="205"/>
      <c r="K34" s="205"/>
      <c r="L34" s="205"/>
    </row>
    <row r="35" spans="1:12" s="209" customFormat="1" ht="13.5" thickBot="1" x14ac:dyDescent="0.25">
      <c r="E35" s="204">
        <v>300</v>
      </c>
      <c r="F35" s="204">
        <v>330</v>
      </c>
      <c r="G35" s="180">
        <v>210</v>
      </c>
      <c r="H35" s="179">
        <v>215</v>
      </c>
      <c r="I35" s="169"/>
      <c r="J35" s="205"/>
      <c r="K35" s="205"/>
      <c r="L35" s="205"/>
    </row>
    <row r="36" spans="1:12" s="209" customFormat="1" ht="13.5" thickBot="1" x14ac:dyDescent="0.25">
      <c r="E36" s="204">
        <v>330</v>
      </c>
      <c r="F36" s="204">
        <v>360</v>
      </c>
      <c r="G36" s="179">
        <v>215</v>
      </c>
      <c r="H36" s="180">
        <v>221</v>
      </c>
      <c r="I36" s="169"/>
      <c r="J36" s="205"/>
      <c r="K36" s="205"/>
      <c r="L36" s="205"/>
    </row>
    <row r="37" spans="1:12" s="209" customFormat="1" ht="13.5" thickBot="1" x14ac:dyDescent="0.25">
      <c r="E37" s="204">
        <v>360</v>
      </c>
      <c r="F37" s="204">
        <v>390</v>
      </c>
      <c r="G37" s="180">
        <v>221</v>
      </c>
      <c r="H37" s="179">
        <v>226</v>
      </c>
      <c r="I37" s="169"/>
      <c r="J37" s="205"/>
      <c r="K37" s="205"/>
      <c r="L37" s="205"/>
    </row>
    <row r="38" spans="1:12" s="209" customFormat="1" ht="13.5" thickBot="1" x14ac:dyDescent="0.25">
      <c r="E38" s="204">
        <v>390</v>
      </c>
      <c r="F38" s="207">
        <v>430</v>
      </c>
      <c r="G38" s="179">
        <v>226</v>
      </c>
      <c r="H38" s="180">
        <v>232</v>
      </c>
      <c r="I38" s="206"/>
      <c r="J38" s="205"/>
      <c r="K38" s="205"/>
      <c r="L38" s="205"/>
    </row>
    <row r="39" spans="1:12" ht="13.5" thickBot="1" x14ac:dyDescent="0.25">
      <c r="E39" s="207">
        <v>430</v>
      </c>
      <c r="F39" s="203">
        <v>470</v>
      </c>
      <c r="G39" s="180">
        <v>232</v>
      </c>
      <c r="H39" s="179">
        <v>237</v>
      </c>
      <c r="I39" s="206"/>
      <c r="J39" s="205"/>
      <c r="K39" s="205"/>
      <c r="L39" s="205"/>
    </row>
    <row r="40" spans="1:12" ht="13.5" thickBot="1" x14ac:dyDescent="0.25">
      <c r="E40" s="203">
        <v>470</v>
      </c>
      <c r="F40" s="204">
        <v>510</v>
      </c>
      <c r="G40" s="179">
        <v>237</v>
      </c>
      <c r="H40" s="180">
        <v>243</v>
      </c>
      <c r="I40" s="206"/>
      <c r="J40" s="205"/>
      <c r="K40" s="205"/>
      <c r="L40" s="205"/>
    </row>
    <row r="41" spans="1:12" ht="13.5" thickBot="1" x14ac:dyDescent="0.25">
      <c r="E41" s="204">
        <v>510</v>
      </c>
      <c r="F41" s="204">
        <v>560</v>
      </c>
      <c r="G41" s="180">
        <v>243</v>
      </c>
      <c r="H41" s="179">
        <v>249</v>
      </c>
      <c r="I41" s="206"/>
      <c r="J41" s="205"/>
      <c r="K41" s="205"/>
      <c r="L41" s="205"/>
    </row>
    <row r="42" spans="1:12" ht="13.5" thickBot="1" x14ac:dyDescent="0.25">
      <c r="E42" s="204">
        <v>560</v>
      </c>
      <c r="F42" s="204">
        <v>620</v>
      </c>
      <c r="G42" s="179">
        <v>249</v>
      </c>
      <c r="H42" s="180">
        <v>255</v>
      </c>
      <c r="I42" s="206"/>
      <c r="J42" s="205"/>
      <c r="K42" s="205"/>
      <c r="L42" s="205"/>
    </row>
    <row r="43" spans="1:12" ht="13.5" thickBot="1" x14ac:dyDescent="0.25">
      <c r="E43" s="204">
        <v>620</v>
      </c>
      <c r="F43" s="204">
        <v>680</v>
      </c>
      <c r="G43" s="180">
        <v>255</v>
      </c>
      <c r="H43" s="179">
        <v>261</v>
      </c>
      <c r="I43" s="206"/>
      <c r="J43" s="205"/>
      <c r="K43" s="205"/>
      <c r="L43" s="205"/>
    </row>
    <row r="44" spans="1:12" ht="13.5" thickBot="1" x14ac:dyDescent="0.25">
      <c r="E44" s="204">
        <v>680</v>
      </c>
      <c r="F44" s="204">
        <v>750</v>
      </c>
      <c r="G44" s="179">
        <v>261</v>
      </c>
      <c r="H44" s="180">
        <v>267</v>
      </c>
      <c r="I44" s="206"/>
      <c r="J44" s="205"/>
      <c r="K44" s="205"/>
      <c r="L44" s="205"/>
    </row>
    <row r="45" spans="1:12" ht="13.5" thickBot="1" x14ac:dyDescent="0.35">
      <c r="E45" s="204">
        <v>750</v>
      </c>
      <c r="F45" s="204">
        <v>820</v>
      </c>
      <c r="G45" s="180">
        <v>267</v>
      </c>
      <c r="H45" s="179">
        <v>274</v>
      </c>
      <c r="J45" s="205"/>
      <c r="K45" s="205"/>
      <c r="L45" s="205"/>
    </row>
    <row r="46" spans="1:12" ht="13.5" thickBot="1" x14ac:dyDescent="0.35">
      <c r="E46" s="204">
        <v>820</v>
      </c>
      <c r="F46" s="207">
        <v>910</v>
      </c>
      <c r="G46" s="179">
        <v>274</v>
      </c>
      <c r="H46" s="180">
        <v>280</v>
      </c>
      <c r="J46" s="205"/>
      <c r="K46" s="205"/>
      <c r="L46" s="205"/>
    </row>
    <row r="47" spans="1:12" ht="13.5" thickBot="1" x14ac:dyDescent="0.35">
      <c r="E47" s="207">
        <v>910</v>
      </c>
      <c r="F47" s="207">
        <v>1000</v>
      </c>
      <c r="G47" s="180">
        <v>280</v>
      </c>
      <c r="H47" s="179">
        <v>287</v>
      </c>
      <c r="J47" s="205"/>
      <c r="K47" s="205"/>
      <c r="L47" s="205"/>
    </row>
    <row r="48" spans="1:12" ht="13.5" thickBot="1" x14ac:dyDescent="0.35">
      <c r="E48" s="487" t="s">
        <v>386</v>
      </c>
      <c r="F48" s="487"/>
      <c r="G48" s="179">
        <v>287</v>
      </c>
      <c r="H48" s="180">
        <v>294</v>
      </c>
      <c r="J48" s="205"/>
      <c r="K48" s="205"/>
      <c r="L48" s="205"/>
    </row>
    <row r="49" spans="1:12" ht="13.5" thickBot="1" x14ac:dyDescent="0.35">
      <c r="E49" s="210">
        <v>100</v>
      </c>
      <c r="F49" s="210">
        <v>105</v>
      </c>
      <c r="G49" s="180">
        <v>294</v>
      </c>
      <c r="H49" s="179">
        <v>301</v>
      </c>
      <c r="J49" s="205"/>
      <c r="K49" s="205"/>
      <c r="L49" s="205"/>
    </row>
    <row r="50" spans="1:12" ht="13.5" thickBot="1" x14ac:dyDescent="0.35">
      <c r="A50" s="168"/>
      <c r="B50" s="168"/>
      <c r="C50" s="168"/>
      <c r="D50" s="168"/>
      <c r="E50" s="210">
        <v>105</v>
      </c>
      <c r="F50" s="210">
        <v>110</v>
      </c>
      <c r="G50" s="179">
        <v>301</v>
      </c>
      <c r="H50" s="180">
        <v>309</v>
      </c>
      <c r="J50" s="205"/>
      <c r="K50" s="205"/>
      <c r="L50" s="205"/>
    </row>
    <row r="51" spans="1:12" ht="13.5" thickBot="1" x14ac:dyDescent="0.35">
      <c r="A51" s="168"/>
      <c r="B51" s="168"/>
      <c r="C51" s="168"/>
      <c r="D51" s="168"/>
      <c r="E51" s="210">
        <v>110</v>
      </c>
      <c r="F51" s="210">
        <v>115</v>
      </c>
      <c r="G51" s="180">
        <v>309</v>
      </c>
      <c r="H51" s="179">
        <v>316</v>
      </c>
      <c r="J51" s="205"/>
      <c r="K51" s="205"/>
      <c r="L51" s="205"/>
    </row>
    <row r="52" spans="1:12" ht="13.5" thickBot="1" x14ac:dyDescent="0.35">
      <c r="A52" s="168"/>
      <c r="B52" s="168"/>
      <c r="C52" s="168"/>
      <c r="D52" s="168"/>
      <c r="E52" s="210">
        <v>115</v>
      </c>
      <c r="F52" s="210">
        <v>121</v>
      </c>
      <c r="G52" s="179">
        <v>316</v>
      </c>
      <c r="H52" s="180">
        <v>324</v>
      </c>
      <c r="J52" s="205"/>
      <c r="K52" s="205"/>
      <c r="L52" s="205"/>
    </row>
    <row r="53" spans="1:12" ht="13.5" thickBot="1" x14ac:dyDescent="0.35">
      <c r="A53" s="168"/>
      <c r="B53" s="168"/>
      <c r="C53" s="168"/>
      <c r="D53" s="168"/>
      <c r="E53" s="210">
        <v>121</v>
      </c>
      <c r="F53" s="210">
        <v>127</v>
      </c>
      <c r="G53" s="180">
        <v>324</v>
      </c>
      <c r="H53" s="179">
        <v>332</v>
      </c>
      <c r="J53" s="205"/>
      <c r="K53" s="205"/>
      <c r="L53" s="205"/>
    </row>
    <row r="54" spans="1:12" ht="13.5" thickBot="1" x14ac:dyDescent="0.35">
      <c r="A54" s="168"/>
      <c r="B54" s="168"/>
      <c r="C54" s="168"/>
      <c r="D54" s="168"/>
      <c r="E54" s="210">
        <v>127</v>
      </c>
      <c r="F54" s="210">
        <v>133</v>
      </c>
      <c r="G54" s="179">
        <v>332</v>
      </c>
      <c r="H54" s="180">
        <v>340</v>
      </c>
      <c r="J54" s="205"/>
      <c r="K54" s="205"/>
      <c r="L54" s="205"/>
    </row>
    <row r="55" spans="1:12" ht="13.5" thickBot="1" x14ac:dyDescent="0.35">
      <c r="A55" s="168"/>
      <c r="B55" s="168"/>
      <c r="C55" s="168"/>
      <c r="D55" s="168"/>
      <c r="E55" s="210">
        <v>133</v>
      </c>
      <c r="F55" s="210">
        <v>140</v>
      </c>
      <c r="G55" s="180">
        <v>340</v>
      </c>
      <c r="H55" s="179">
        <v>348</v>
      </c>
      <c r="J55" s="205"/>
      <c r="K55" s="205"/>
      <c r="L55" s="205"/>
    </row>
    <row r="56" spans="1:12" ht="13.5" thickBot="1" x14ac:dyDescent="0.35">
      <c r="A56" s="168"/>
      <c r="B56" s="168"/>
      <c r="C56" s="168"/>
      <c r="D56" s="168"/>
      <c r="E56" s="210">
        <v>140</v>
      </c>
      <c r="F56" s="210">
        <v>147</v>
      </c>
      <c r="G56" s="179">
        <v>348</v>
      </c>
      <c r="H56" s="180">
        <v>357</v>
      </c>
      <c r="J56" s="205"/>
      <c r="K56" s="205"/>
      <c r="L56" s="205"/>
    </row>
    <row r="57" spans="1:12" ht="13.5" thickBot="1" x14ac:dyDescent="0.35">
      <c r="A57" s="168"/>
      <c r="B57" s="168"/>
      <c r="C57" s="168"/>
      <c r="D57" s="168"/>
      <c r="E57" s="210">
        <v>147</v>
      </c>
      <c r="F57" s="210">
        <v>154</v>
      </c>
      <c r="G57" s="180">
        <v>357</v>
      </c>
      <c r="H57" s="179">
        <v>365</v>
      </c>
      <c r="J57" s="205"/>
      <c r="K57" s="205"/>
      <c r="L57" s="205"/>
    </row>
    <row r="58" spans="1:12" ht="13.5" thickBot="1" x14ac:dyDescent="0.35">
      <c r="A58" s="168"/>
      <c r="B58" s="168"/>
      <c r="C58" s="168"/>
      <c r="D58" s="168"/>
      <c r="E58" s="210">
        <v>154</v>
      </c>
      <c r="F58" s="210">
        <v>162</v>
      </c>
      <c r="G58" s="179">
        <v>365</v>
      </c>
      <c r="H58" s="180">
        <v>374</v>
      </c>
      <c r="J58" s="205"/>
      <c r="K58" s="205"/>
      <c r="L58" s="205"/>
    </row>
    <row r="59" spans="1:12" ht="13.5" thickBot="1" x14ac:dyDescent="0.35">
      <c r="A59" s="168"/>
      <c r="B59" s="168"/>
      <c r="C59" s="168"/>
      <c r="D59" s="168"/>
      <c r="E59" s="210">
        <v>162</v>
      </c>
      <c r="F59" s="210">
        <v>169</v>
      </c>
      <c r="G59" s="180">
        <v>374</v>
      </c>
      <c r="H59" s="179">
        <v>383</v>
      </c>
      <c r="J59" s="205"/>
      <c r="K59" s="205"/>
      <c r="L59" s="205"/>
    </row>
    <row r="60" spans="1:12" ht="13.5" thickBot="1" x14ac:dyDescent="0.35">
      <c r="A60" s="168"/>
      <c r="B60" s="168"/>
      <c r="C60" s="168"/>
      <c r="D60" s="168"/>
      <c r="E60" s="210">
        <v>169</v>
      </c>
      <c r="F60" s="210">
        <v>178</v>
      </c>
      <c r="G60" s="179">
        <v>383</v>
      </c>
      <c r="H60" s="180">
        <v>392</v>
      </c>
      <c r="J60" s="205"/>
      <c r="K60" s="205"/>
      <c r="L60" s="205"/>
    </row>
    <row r="61" spans="1:12" ht="13.5" thickBot="1" x14ac:dyDescent="0.35">
      <c r="A61" s="168"/>
      <c r="B61" s="168"/>
      <c r="C61" s="168"/>
      <c r="D61" s="168"/>
      <c r="E61" s="210">
        <v>178</v>
      </c>
      <c r="F61" s="210">
        <v>187</v>
      </c>
      <c r="G61" s="180">
        <v>392</v>
      </c>
      <c r="H61" s="179">
        <v>402</v>
      </c>
      <c r="J61" s="205"/>
      <c r="K61" s="205"/>
      <c r="L61" s="205"/>
    </row>
    <row r="62" spans="1:12" ht="13.5" thickBot="1" x14ac:dyDescent="0.35">
      <c r="A62" s="168"/>
      <c r="B62" s="168"/>
      <c r="C62" s="168"/>
      <c r="D62" s="168"/>
      <c r="E62" s="210">
        <v>187</v>
      </c>
      <c r="F62" s="210">
        <v>196</v>
      </c>
      <c r="G62" s="179">
        <v>402</v>
      </c>
      <c r="H62" s="180">
        <v>412</v>
      </c>
      <c r="J62" s="205"/>
      <c r="K62" s="205"/>
      <c r="L62" s="205"/>
    </row>
    <row r="63" spans="1:12" ht="13.5" thickBot="1" x14ac:dyDescent="0.35">
      <c r="A63" s="168"/>
      <c r="B63" s="168"/>
      <c r="C63" s="168"/>
      <c r="D63" s="168"/>
      <c r="E63" s="210">
        <v>196</v>
      </c>
      <c r="F63" s="210">
        <v>205</v>
      </c>
      <c r="G63" s="180">
        <v>412</v>
      </c>
      <c r="H63" s="179">
        <v>422</v>
      </c>
      <c r="J63" s="205"/>
      <c r="K63" s="205"/>
      <c r="L63" s="205"/>
    </row>
    <row r="64" spans="1:12" ht="13.5" thickBot="1" x14ac:dyDescent="0.35">
      <c r="A64" s="168"/>
      <c r="B64" s="168"/>
      <c r="C64" s="168"/>
      <c r="D64" s="168"/>
      <c r="E64" s="210">
        <v>205</v>
      </c>
      <c r="F64" s="210">
        <v>215</v>
      </c>
      <c r="G64" s="179">
        <v>422</v>
      </c>
      <c r="H64" s="180">
        <v>432</v>
      </c>
      <c r="J64" s="205"/>
      <c r="K64" s="205"/>
      <c r="L64" s="205"/>
    </row>
    <row r="65" spans="1:12" ht="13.5" thickBot="1" x14ac:dyDescent="0.35">
      <c r="A65" s="168"/>
      <c r="B65" s="168"/>
      <c r="C65" s="168"/>
      <c r="D65" s="168"/>
      <c r="E65" s="210">
        <v>215</v>
      </c>
      <c r="F65" s="210">
        <v>226</v>
      </c>
      <c r="G65" s="180">
        <v>432</v>
      </c>
      <c r="H65" s="179">
        <v>442</v>
      </c>
      <c r="J65" s="205"/>
      <c r="K65" s="205"/>
      <c r="L65" s="205"/>
    </row>
    <row r="66" spans="1:12" ht="13.5" thickBot="1" x14ac:dyDescent="0.35">
      <c r="A66" s="168"/>
      <c r="B66" s="168"/>
      <c r="C66" s="168"/>
      <c r="D66" s="168"/>
      <c r="E66" s="210">
        <v>226</v>
      </c>
      <c r="F66" s="210">
        <v>237</v>
      </c>
      <c r="G66" s="179">
        <v>442</v>
      </c>
      <c r="H66" s="180">
        <v>453</v>
      </c>
      <c r="J66" s="205"/>
      <c r="K66" s="205"/>
      <c r="L66" s="205"/>
    </row>
    <row r="67" spans="1:12" ht="13.5" thickBot="1" x14ac:dyDescent="0.35">
      <c r="A67" s="168"/>
      <c r="B67" s="168"/>
      <c r="C67" s="168"/>
      <c r="D67" s="168"/>
      <c r="E67" s="210">
        <v>237</v>
      </c>
      <c r="F67" s="210">
        <v>249</v>
      </c>
      <c r="G67" s="180">
        <v>453</v>
      </c>
      <c r="H67" s="179">
        <v>464</v>
      </c>
      <c r="J67" s="205"/>
      <c r="K67" s="205"/>
      <c r="L67" s="205"/>
    </row>
    <row r="68" spans="1:12" ht="13.5" thickBot="1" x14ac:dyDescent="0.35">
      <c r="A68" s="168"/>
      <c r="B68" s="168"/>
      <c r="C68" s="168"/>
      <c r="D68" s="168"/>
      <c r="E68" s="210">
        <v>249</v>
      </c>
      <c r="F68" s="210">
        <v>261</v>
      </c>
      <c r="G68" s="179">
        <v>464</v>
      </c>
      <c r="H68" s="180">
        <v>475</v>
      </c>
      <c r="J68" s="205"/>
      <c r="K68" s="205"/>
      <c r="L68" s="205"/>
    </row>
    <row r="69" spans="1:12" ht="13.5" thickBot="1" x14ac:dyDescent="0.35">
      <c r="A69" s="168"/>
      <c r="B69" s="168"/>
      <c r="C69" s="168"/>
      <c r="D69" s="168"/>
      <c r="E69" s="210">
        <v>261</v>
      </c>
      <c r="F69" s="210">
        <v>274</v>
      </c>
      <c r="G69" s="180">
        <v>475</v>
      </c>
      <c r="H69" s="179">
        <v>487</v>
      </c>
      <c r="J69" s="205"/>
      <c r="K69" s="205"/>
      <c r="L69" s="205"/>
    </row>
    <row r="70" spans="1:12" ht="13.5" thickBot="1" x14ac:dyDescent="0.35">
      <c r="A70" s="168"/>
      <c r="B70" s="168"/>
      <c r="C70" s="168"/>
      <c r="D70" s="168"/>
      <c r="E70" s="210">
        <v>274</v>
      </c>
      <c r="F70" s="210">
        <v>287</v>
      </c>
      <c r="G70" s="179">
        <v>487</v>
      </c>
      <c r="H70" s="180">
        <v>499</v>
      </c>
      <c r="J70" s="205"/>
      <c r="K70" s="205"/>
      <c r="L70" s="205"/>
    </row>
    <row r="71" spans="1:12" ht="13.5" thickBot="1" x14ac:dyDescent="0.35">
      <c r="A71" s="168"/>
      <c r="B71" s="168"/>
      <c r="C71" s="168"/>
      <c r="D71" s="168"/>
      <c r="E71" s="210">
        <v>287</v>
      </c>
      <c r="F71" s="210">
        <v>301</v>
      </c>
      <c r="G71" s="180">
        <v>499</v>
      </c>
      <c r="H71" s="179">
        <v>511</v>
      </c>
      <c r="J71" s="205"/>
      <c r="K71" s="205"/>
      <c r="L71" s="205"/>
    </row>
    <row r="72" spans="1:12" ht="13.5" thickBot="1" x14ac:dyDescent="0.35">
      <c r="A72" s="168"/>
      <c r="B72" s="168"/>
      <c r="C72" s="168"/>
      <c r="D72" s="168"/>
      <c r="E72" s="210">
        <v>301</v>
      </c>
      <c r="F72" s="210">
        <v>316</v>
      </c>
      <c r="G72" s="179">
        <v>511</v>
      </c>
      <c r="H72" s="180">
        <v>523</v>
      </c>
      <c r="J72" s="205"/>
      <c r="K72" s="205"/>
      <c r="L72" s="205"/>
    </row>
    <row r="73" spans="1:12" ht="13.5" thickBot="1" x14ac:dyDescent="0.35">
      <c r="A73" s="168"/>
      <c r="B73" s="168"/>
      <c r="C73" s="168"/>
      <c r="D73" s="168"/>
      <c r="E73" s="210">
        <v>316</v>
      </c>
      <c r="F73" s="210">
        <v>332</v>
      </c>
      <c r="G73" s="180">
        <v>523</v>
      </c>
      <c r="H73" s="179">
        <v>536</v>
      </c>
      <c r="J73" s="205"/>
      <c r="K73" s="205"/>
      <c r="L73" s="205"/>
    </row>
    <row r="74" spans="1:12" ht="13.5" thickBot="1" x14ac:dyDescent="0.35">
      <c r="A74" s="168"/>
      <c r="B74" s="168"/>
      <c r="C74" s="168"/>
      <c r="D74" s="168"/>
      <c r="E74" s="210">
        <v>332</v>
      </c>
      <c r="F74" s="210">
        <v>348</v>
      </c>
      <c r="G74" s="179">
        <v>536</v>
      </c>
      <c r="H74" s="180">
        <v>549</v>
      </c>
      <c r="J74" s="205"/>
      <c r="K74" s="205"/>
      <c r="L74" s="205"/>
    </row>
    <row r="75" spans="1:12" ht="13.5" thickBot="1" x14ac:dyDescent="0.35">
      <c r="A75" s="168"/>
      <c r="B75" s="168"/>
      <c r="C75" s="168"/>
      <c r="D75" s="168"/>
      <c r="E75" s="210">
        <v>348</v>
      </c>
      <c r="F75" s="210">
        <v>365</v>
      </c>
      <c r="G75" s="180">
        <v>549</v>
      </c>
      <c r="H75" s="179">
        <v>562</v>
      </c>
      <c r="J75" s="205"/>
      <c r="K75" s="205"/>
      <c r="L75" s="205"/>
    </row>
    <row r="76" spans="1:12" ht="13.5" thickBot="1" x14ac:dyDescent="0.35">
      <c r="A76" s="168"/>
      <c r="B76" s="168"/>
      <c r="C76" s="168"/>
      <c r="D76" s="168"/>
      <c r="E76" s="210">
        <v>365</v>
      </c>
      <c r="F76" s="210">
        <v>383</v>
      </c>
      <c r="G76" s="179">
        <v>562</v>
      </c>
      <c r="H76" s="180">
        <v>576</v>
      </c>
      <c r="J76" s="211"/>
      <c r="K76" s="211"/>
      <c r="L76" s="211"/>
    </row>
    <row r="77" spans="1:12" ht="13.5" thickBot="1" x14ac:dyDescent="0.35">
      <c r="A77" s="168"/>
      <c r="B77" s="168"/>
      <c r="C77" s="168"/>
      <c r="D77" s="168"/>
      <c r="E77" s="210">
        <v>383</v>
      </c>
      <c r="F77" s="210">
        <v>402</v>
      </c>
      <c r="G77" s="180">
        <v>576</v>
      </c>
      <c r="H77" s="179">
        <v>590</v>
      </c>
      <c r="J77" s="211"/>
      <c r="K77" s="211"/>
      <c r="L77" s="211"/>
    </row>
    <row r="78" spans="1:12" ht="13.5" thickBot="1" x14ac:dyDescent="0.35">
      <c r="A78" s="168"/>
      <c r="B78" s="168"/>
      <c r="C78" s="168"/>
      <c r="D78" s="168"/>
      <c r="E78" s="210">
        <v>402</v>
      </c>
      <c r="F78" s="210">
        <v>422</v>
      </c>
      <c r="G78" s="179">
        <v>590</v>
      </c>
      <c r="H78" s="180">
        <v>604</v>
      </c>
      <c r="J78" s="211"/>
      <c r="K78" s="211"/>
      <c r="L78" s="211"/>
    </row>
    <row r="79" spans="1:12" ht="13.5" thickBot="1" x14ac:dyDescent="0.35">
      <c r="A79" s="168"/>
      <c r="B79" s="168"/>
      <c r="C79" s="168"/>
      <c r="D79" s="168"/>
      <c r="E79" s="210">
        <v>422</v>
      </c>
      <c r="F79" s="210">
        <v>442</v>
      </c>
      <c r="G79" s="180">
        <v>604</v>
      </c>
      <c r="H79" s="179">
        <v>619</v>
      </c>
      <c r="J79" s="211"/>
      <c r="K79" s="211"/>
      <c r="L79" s="211"/>
    </row>
    <row r="80" spans="1:12" ht="13.5" thickBot="1" x14ac:dyDescent="0.35">
      <c r="A80" s="168"/>
      <c r="B80" s="168"/>
      <c r="C80" s="168"/>
      <c r="D80" s="168"/>
      <c r="E80" s="210">
        <v>442</v>
      </c>
      <c r="F80" s="210">
        <v>464</v>
      </c>
      <c r="G80" s="179">
        <v>619</v>
      </c>
      <c r="H80" s="180">
        <v>634</v>
      </c>
      <c r="J80" s="211"/>
      <c r="K80" s="211"/>
      <c r="L80" s="211"/>
    </row>
    <row r="81" spans="1:12" ht="13.5" thickBot="1" x14ac:dyDescent="0.35">
      <c r="A81" s="168"/>
      <c r="B81" s="168"/>
      <c r="C81" s="168"/>
      <c r="D81" s="168"/>
      <c r="E81" s="210">
        <v>464</v>
      </c>
      <c r="F81" s="210">
        <v>487</v>
      </c>
      <c r="G81" s="180">
        <v>634</v>
      </c>
      <c r="H81" s="179">
        <v>649</v>
      </c>
      <c r="J81" s="211"/>
      <c r="K81" s="211"/>
      <c r="L81" s="211"/>
    </row>
    <row r="82" spans="1:12" ht="13.5" thickBot="1" x14ac:dyDescent="0.35">
      <c r="A82" s="168"/>
      <c r="B82" s="168"/>
      <c r="C82" s="168"/>
      <c r="D82" s="168"/>
      <c r="E82" s="210">
        <v>487</v>
      </c>
      <c r="F82" s="210">
        <v>511</v>
      </c>
      <c r="G82" s="179">
        <v>649</v>
      </c>
      <c r="H82" s="180">
        <v>665</v>
      </c>
      <c r="J82" s="211"/>
      <c r="K82" s="211"/>
      <c r="L82" s="211"/>
    </row>
    <row r="83" spans="1:12" ht="13.5" thickBot="1" x14ac:dyDescent="0.35">
      <c r="A83" s="168"/>
      <c r="B83" s="168"/>
      <c r="C83" s="168"/>
      <c r="D83" s="168"/>
      <c r="E83" s="210">
        <v>511</v>
      </c>
      <c r="F83" s="210">
        <v>536</v>
      </c>
      <c r="G83" s="180">
        <v>665</v>
      </c>
      <c r="H83" s="179">
        <v>681</v>
      </c>
      <c r="J83" s="211"/>
      <c r="K83" s="211"/>
      <c r="L83" s="211"/>
    </row>
    <row r="84" spans="1:12" ht="13.5" thickBot="1" x14ac:dyDescent="0.35">
      <c r="A84" s="168"/>
      <c r="B84" s="168"/>
      <c r="C84" s="168"/>
      <c r="D84" s="168"/>
      <c r="E84" s="210">
        <v>536</v>
      </c>
      <c r="F84" s="210">
        <v>562</v>
      </c>
      <c r="G84" s="179">
        <v>681</v>
      </c>
      <c r="H84" s="180">
        <v>698</v>
      </c>
      <c r="J84" s="211"/>
      <c r="K84" s="211"/>
      <c r="L84" s="211"/>
    </row>
    <row r="85" spans="1:12" ht="13.5" thickBot="1" x14ac:dyDescent="0.35">
      <c r="A85" s="168"/>
      <c r="B85" s="168"/>
      <c r="C85" s="168"/>
      <c r="D85" s="168"/>
      <c r="E85" s="210">
        <v>562</v>
      </c>
      <c r="F85" s="210">
        <v>590</v>
      </c>
      <c r="G85" s="180">
        <v>698</v>
      </c>
      <c r="H85" s="179">
        <v>715</v>
      </c>
      <c r="J85" s="211"/>
      <c r="K85" s="211"/>
      <c r="L85" s="211"/>
    </row>
    <row r="86" spans="1:12" ht="13.5" thickBot="1" x14ac:dyDescent="0.35">
      <c r="A86" s="168"/>
      <c r="B86" s="168"/>
      <c r="C86" s="168"/>
      <c r="D86" s="168"/>
      <c r="E86" s="210">
        <v>590</v>
      </c>
      <c r="F86" s="210">
        <v>619</v>
      </c>
      <c r="G86" s="179">
        <v>715</v>
      </c>
      <c r="H86" s="180">
        <v>732</v>
      </c>
      <c r="J86" s="211"/>
      <c r="K86" s="211"/>
      <c r="L86" s="211"/>
    </row>
    <row r="87" spans="1:12" ht="13.5" thickBot="1" x14ac:dyDescent="0.35">
      <c r="A87" s="168"/>
      <c r="B87" s="168"/>
      <c r="C87" s="168"/>
      <c r="D87" s="168"/>
      <c r="E87" s="210">
        <v>619</v>
      </c>
      <c r="F87" s="210">
        <v>649</v>
      </c>
      <c r="G87" s="180">
        <v>732</v>
      </c>
      <c r="H87" s="179">
        <v>750</v>
      </c>
      <c r="J87" s="211"/>
      <c r="K87" s="211"/>
      <c r="L87" s="211"/>
    </row>
    <row r="88" spans="1:12" ht="13.5" thickBot="1" x14ac:dyDescent="0.35">
      <c r="A88" s="168"/>
      <c r="B88" s="168"/>
      <c r="C88" s="168"/>
      <c r="D88" s="168"/>
      <c r="E88" s="210">
        <v>649</v>
      </c>
      <c r="F88" s="210">
        <v>681</v>
      </c>
      <c r="G88" s="179">
        <v>750</v>
      </c>
      <c r="H88" s="180">
        <v>768</v>
      </c>
      <c r="J88" s="211"/>
      <c r="K88" s="211"/>
      <c r="L88" s="211"/>
    </row>
    <row r="89" spans="1:12" ht="13.5" thickBot="1" x14ac:dyDescent="0.35">
      <c r="A89" s="168"/>
      <c r="B89" s="168"/>
      <c r="C89" s="168"/>
      <c r="D89" s="168"/>
      <c r="E89" s="210">
        <v>681</v>
      </c>
      <c r="F89" s="210">
        <v>715</v>
      </c>
      <c r="G89" s="180">
        <v>768</v>
      </c>
      <c r="H89" s="179">
        <v>787</v>
      </c>
      <c r="J89" s="211"/>
      <c r="K89" s="211"/>
      <c r="L89" s="211"/>
    </row>
    <row r="90" spans="1:12" ht="13.5" thickBot="1" x14ac:dyDescent="0.35">
      <c r="A90" s="168"/>
      <c r="B90" s="168"/>
      <c r="C90" s="168"/>
      <c r="D90" s="168"/>
      <c r="E90" s="210">
        <v>715</v>
      </c>
      <c r="F90" s="210">
        <v>750</v>
      </c>
      <c r="G90" s="179">
        <v>787</v>
      </c>
      <c r="H90" s="180">
        <v>806</v>
      </c>
      <c r="J90" s="211"/>
      <c r="K90" s="211"/>
      <c r="L90" s="211"/>
    </row>
    <row r="91" spans="1:12" ht="13.5" thickBot="1" x14ac:dyDescent="0.35">
      <c r="A91" s="168"/>
      <c r="B91" s="168"/>
      <c r="C91" s="168"/>
      <c r="D91" s="168"/>
      <c r="E91" s="210">
        <v>750</v>
      </c>
      <c r="F91" s="210">
        <v>787</v>
      </c>
      <c r="G91" s="180">
        <v>806</v>
      </c>
      <c r="H91" s="179">
        <v>825</v>
      </c>
      <c r="J91" s="211"/>
      <c r="K91" s="211"/>
      <c r="L91" s="211"/>
    </row>
    <row r="92" spans="1:12" ht="13.5" thickBot="1" x14ac:dyDescent="0.35">
      <c r="A92" s="168"/>
      <c r="B92" s="168"/>
      <c r="C92" s="168"/>
      <c r="D92" s="168"/>
      <c r="E92" s="210">
        <v>787</v>
      </c>
      <c r="F92" s="210">
        <v>825</v>
      </c>
      <c r="G92" s="179">
        <v>825</v>
      </c>
      <c r="H92" s="180">
        <v>845</v>
      </c>
      <c r="J92" s="211"/>
      <c r="K92" s="211"/>
      <c r="L92" s="211"/>
    </row>
    <row r="93" spans="1:12" ht="13.5" thickBot="1" x14ac:dyDescent="0.35">
      <c r="A93" s="168"/>
      <c r="B93" s="168"/>
      <c r="C93" s="168"/>
      <c r="D93" s="168"/>
      <c r="E93" s="210">
        <v>825</v>
      </c>
      <c r="F93" s="210">
        <v>866</v>
      </c>
      <c r="G93" s="180">
        <v>845</v>
      </c>
      <c r="H93" s="179">
        <v>866</v>
      </c>
      <c r="J93" s="211"/>
      <c r="K93" s="211"/>
      <c r="L93" s="211"/>
    </row>
    <row r="94" spans="1:12" ht="13.5" thickBot="1" x14ac:dyDescent="0.35">
      <c r="A94" s="168"/>
      <c r="B94" s="168"/>
      <c r="C94" s="168"/>
      <c r="D94" s="168"/>
      <c r="E94" s="210">
        <v>866</v>
      </c>
      <c r="F94" s="210">
        <v>909</v>
      </c>
      <c r="G94" s="179">
        <v>866</v>
      </c>
      <c r="H94" s="180">
        <v>887</v>
      </c>
      <c r="J94" s="211"/>
      <c r="K94" s="211"/>
      <c r="L94" s="211"/>
    </row>
    <row r="95" spans="1:12" ht="13.5" thickBot="1" x14ac:dyDescent="0.35">
      <c r="A95" s="168"/>
      <c r="B95" s="168"/>
      <c r="C95" s="168"/>
      <c r="D95" s="168"/>
      <c r="E95" s="210">
        <v>909</v>
      </c>
      <c r="F95" s="210">
        <v>953</v>
      </c>
      <c r="G95" s="180">
        <v>887</v>
      </c>
      <c r="H95" s="179">
        <v>909</v>
      </c>
      <c r="J95" s="211"/>
      <c r="K95" s="211"/>
      <c r="L95" s="211"/>
    </row>
    <row r="96" spans="1:12" ht="13.5" thickBot="1" x14ac:dyDescent="0.35">
      <c r="A96" s="168"/>
      <c r="B96" s="168"/>
      <c r="C96" s="168"/>
      <c r="D96" s="168"/>
      <c r="E96" s="210">
        <v>953</v>
      </c>
      <c r="F96" s="210">
        <v>1000</v>
      </c>
      <c r="G96" s="179">
        <v>909</v>
      </c>
      <c r="H96" s="180">
        <v>931</v>
      </c>
      <c r="J96" s="211"/>
      <c r="K96" s="211"/>
      <c r="L96" s="211"/>
    </row>
    <row r="97" spans="1:12" ht="13.5" thickBot="1" x14ac:dyDescent="0.35">
      <c r="A97" s="168"/>
      <c r="B97" s="168"/>
      <c r="C97" s="168"/>
      <c r="D97" s="168"/>
      <c r="G97" s="180">
        <v>931</v>
      </c>
      <c r="H97" s="179">
        <v>953</v>
      </c>
      <c r="J97" s="211"/>
      <c r="K97" s="211"/>
      <c r="L97" s="211"/>
    </row>
    <row r="98" spans="1:12" ht="13.5" thickBot="1" x14ac:dyDescent="0.35">
      <c r="A98" s="168"/>
      <c r="B98" s="168"/>
      <c r="C98" s="168"/>
      <c r="D98" s="168"/>
      <c r="G98" s="179">
        <v>953</v>
      </c>
      <c r="H98" s="180">
        <v>976</v>
      </c>
      <c r="J98" s="211"/>
      <c r="K98" s="211"/>
      <c r="L98" s="211"/>
    </row>
    <row r="99" spans="1:12" ht="13.5" thickBot="1" x14ac:dyDescent="0.35">
      <c r="A99" s="168"/>
      <c r="B99" s="168"/>
      <c r="C99" s="168"/>
      <c r="D99" s="168"/>
      <c r="G99" s="180">
        <v>976</v>
      </c>
      <c r="H99" s="180">
        <v>1000</v>
      </c>
      <c r="J99" s="211"/>
      <c r="K99" s="211"/>
      <c r="L99" s="211"/>
    </row>
    <row r="100" spans="1:12" x14ac:dyDescent="0.25">
      <c r="A100" s="168"/>
      <c r="B100" s="168"/>
      <c r="C100" s="168"/>
      <c r="D100" s="168"/>
      <c r="J100" s="211"/>
      <c r="K100" s="211"/>
      <c r="L100" s="211"/>
    </row>
    <row r="101" spans="1:12" x14ac:dyDescent="0.25">
      <c r="A101" s="168"/>
      <c r="B101" s="168"/>
      <c r="C101" s="168"/>
      <c r="D101" s="168"/>
      <c r="J101" s="211"/>
      <c r="K101" s="211"/>
      <c r="L101" s="211"/>
    </row>
    <row r="102" spans="1:12" x14ac:dyDescent="0.25">
      <c r="A102" s="168"/>
      <c r="B102" s="168"/>
      <c r="C102" s="168"/>
      <c r="D102" s="168"/>
      <c r="J102" s="211"/>
      <c r="K102" s="211"/>
      <c r="L102" s="211"/>
    </row>
    <row r="103" spans="1:12" x14ac:dyDescent="0.25">
      <c r="A103" s="168"/>
      <c r="B103" s="168"/>
      <c r="C103" s="168"/>
      <c r="D103" s="168"/>
      <c r="J103" s="211"/>
      <c r="K103" s="211"/>
      <c r="L103" s="211"/>
    </row>
    <row r="104" spans="1:12" x14ac:dyDescent="0.25">
      <c r="A104" s="168"/>
      <c r="B104" s="168"/>
      <c r="C104" s="168"/>
      <c r="D104" s="168"/>
      <c r="J104" s="211"/>
      <c r="K104" s="211"/>
      <c r="L104" s="211"/>
    </row>
    <row r="105" spans="1:12" x14ac:dyDescent="0.25">
      <c r="A105" s="168"/>
      <c r="B105" s="168"/>
      <c r="C105" s="168"/>
      <c r="D105" s="168"/>
      <c r="J105" s="211"/>
      <c r="K105" s="211"/>
      <c r="L105" s="211"/>
    </row>
    <row r="106" spans="1:12" x14ac:dyDescent="0.25">
      <c r="A106" s="168"/>
      <c r="B106" s="168"/>
      <c r="C106" s="168"/>
      <c r="D106" s="168"/>
      <c r="J106" s="211"/>
      <c r="K106" s="211"/>
      <c r="L106" s="211"/>
    </row>
    <row r="107" spans="1:12" x14ac:dyDescent="0.25">
      <c r="A107" s="168"/>
      <c r="B107" s="168"/>
      <c r="C107" s="168"/>
      <c r="D107" s="168"/>
      <c r="J107" s="211"/>
      <c r="K107" s="211"/>
      <c r="L107" s="211"/>
    </row>
    <row r="108" spans="1:12" x14ac:dyDescent="0.25">
      <c r="A108" s="168"/>
      <c r="B108" s="168"/>
      <c r="C108" s="168"/>
      <c r="D108" s="168"/>
      <c r="J108" s="211"/>
      <c r="K108" s="211"/>
      <c r="L108" s="211"/>
    </row>
    <row r="109" spans="1:12" x14ac:dyDescent="0.25">
      <c r="A109" s="168"/>
      <c r="B109" s="168"/>
      <c r="C109" s="168"/>
      <c r="D109" s="168"/>
      <c r="J109" s="211"/>
      <c r="K109" s="211"/>
      <c r="L109" s="211"/>
    </row>
    <row r="110" spans="1:12" x14ac:dyDescent="0.25">
      <c r="A110" s="168"/>
      <c r="B110" s="168"/>
      <c r="C110" s="168"/>
      <c r="D110" s="168"/>
      <c r="J110" s="211"/>
      <c r="K110" s="211"/>
      <c r="L110" s="211"/>
    </row>
    <row r="111" spans="1:12" x14ac:dyDescent="0.25">
      <c r="A111" s="168"/>
      <c r="B111" s="168"/>
      <c r="C111" s="168"/>
      <c r="D111" s="168"/>
      <c r="J111" s="211"/>
      <c r="K111" s="211"/>
      <c r="L111" s="211"/>
    </row>
    <row r="112" spans="1:12" x14ac:dyDescent="0.25">
      <c r="A112" s="168"/>
      <c r="B112" s="168"/>
      <c r="C112" s="168"/>
      <c r="D112" s="168"/>
      <c r="J112" s="211"/>
      <c r="K112" s="211"/>
      <c r="L112" s="211"/>
    </row>
    <row r="113" spans="1:12" x14ac:dyDescent="0.25">
      <c r="A113" s="168"/>
      <c r="B113" s="168"/>
      <c r="C113" s="168"/>
      <c r="D113" s="168"/>
      <c r="J113" s="211"/>
      <c r="K113" s="211"/>
      <c r="L113" s="211"/>
    </row>
    <row r="114" spans="1:12" x14ac:dyDescent="0.25">
      <c r="A114" s="168"/>
      <c r="B114" s="168"/>
      <c r="C114" s="168"/>
      <c r="D114" s="168"/>
      <c r="I114" s="168"/>
      <c r="J114" s="211"/>
      <c r="K114" s="211"/>
      <c r="L114" s="211"/>
    </row>
    <row r="115" spans="1:12" x14ac:dyDescent="0.25">
      <c r="A115" s="168"/>
      <c r="B115" s="168"/>
      <c r="C115" s="168"/>
      <c r="D115" s="168"/>
      <c r="I115" s="168"/>
      <c r="J115" s="211"/>
      <c r="K115" s="211"/>
      <c r="L115" s="211"/>
    </row>
    <row r="116" spans="1:12" x14ac:dyDescent="0.25">
      <c r="A116" s="168"/>
      <c r="B116" s="168"/>
      <c r="C116" s="168"/>
      <c r="D116" s="168"/>
      <c r="I116" s="168"/>
      <c r="J116" s="211"/>
      <c r="K116" s="211"/>
      <c r="L116" s="211"/>
    </row>
    <row r="117" spans="1:12" x14ac:dyDescent="0.25">
      <c r="A117" s="168"/>
      <c r="B117" s="168"/>
      <c r="C117" s="168"/>
      <c r="D117" s="168"/>
      <c r="I117" s="168"/>
      <c r="J117" s="211"/>
      <c r="K117" s="211"/>
      <c r="L117" s="211"/>
    </row>
    <row r="118" spans="1:12" x14ac:dyDescent="0.25">
      <c r="A118" s="168"/>
      <c r="B118" s="168"/>
      <c r="C118" s="168"/>
      <c r="D118" s="168"/>
      <c r="I118" s="168"/>
      <c r="J118" s="211"/>
      <c r="K118" s="211"/>
      <c r="L118" s="211"/>
    </row>
    <row r="119" spans="1:12" x14ac:dyDescent="0.25">
      <c r="A119" s="168"/>
      <c r="B119" s="168"/>
      <c r="C119" s="168"/>
      <c r="D119" s="168"/>
      <c r="I119" s="168"/>
      <c r="J119" s="211"/>
      <c r="K119" s="211"/>
      <c r="L119" s="211"/>
    </row>
    <row r="120" spans="1:12" x14ac:dyDescent="0.25">
      <c r="A120" s="168"/>
      <c r="B120" s="168"/>
      <c r="C120" s="168"/>
      <c r="D120" s="168"/>
      <c r="I120" s="168"/>
      <c r="J120" s="211"/>
      <c r="K120" s="211"/>
      <c r="L120" s="211"/>
    </row>
    <row r="121" spans="1:12" x14ac:dyDescent="0.25">
      <c r="A121" s="168"/>
      <c r="B121" s="168"/>
      <c r="C121" s="168"/>
      <c r="D121" s="168"/>
      <c r="I121" s="168"/>
      <c r="J121" s="211"/>
      <c r="K121" s="211"/>
      <c r="L121" s="211"/>
    </row>
    <row r="122" spans="1:12" x14ac:dyDescent="0.25">
      <c r="A122" s="168"/>
      <c r="B122" s="168"/>
      <c r="C122" s="168"/>
      <c r="D122" s="168"/>
      <c r="I122" s="168"/>
      <c r="J122" s="211"/>
      <c r="K122" s="211"/>
      <c r="L122" s="211"/>
    </row>
    <row r="123" spans="1:12" x14ac:dyDescent="0.25">
      <c r="A123" s="168"/>
      <c r="B123" s="168"/>
      <c r="C123" s="168"/>
      <c r="D123" s="168"/>
      <c r="I123" s="168"/>
      <c r="J123" s="211"/>
      <c r="K123" s="211"/>
      <c r="L123" s="211"/>
    </row>
    <row r="124" spans="1:12" x14ac:dyDescent="0.25">
      <c r="A124" s="168"/>
      <c r="B124" s="168"/>
      <c r="C124" s="168"/>
      <c r="D124" s="168"/>
      <c r="I124" s="168"/>
      <c r="J124" s="211"/>
      <c r="K124" s="211"/>
      <c r="L124" s="211"/>
    </row>
    <row r="125" spans="1:12" x14ac:dyDescent="0.25">
      <c r="A125" s="168"/>
      <c r="B125" s="168"/>
      <c r="C125" s="168"/>
      <c r="D125" s="168"/>
      <c r="I125" s="168"/>
      <c r="J125" s="211"/>
      <c r="K125" s="211"/>
      <c r="L125" s="211"/>
    </row>
    <row r="126" spans="1:12" x14ac:dyDescent="0.25">
      <c r="A126" s="168"/>
      <c r="B126" s="168"/>
      <c r="C126" s="168"/>
      <c r="D126" s="168"/>
      <c r="I126" s="168"/>
      <c r="J126" s="211"/>
      <c r="K126" s="211"/>
      <c r="L126" s="211"/>
    </row>
    <row r="127" spans="1:12" x14ac:dyDescent="0.25">
      <c r="A127" s="168"/>
      <c r="B127" s="168"/>
      <c r="C127" s="168"/>
      <c r="D127" s="168"/>
      <c r="I127" s="168"/>
      <c r="J127" s="211"/>
      <c r="K127" s="211"/>
      <c r="L127" s="211"/>
    </row>
    <row r="128" spans="1:12" x14ac:dyDescent="0.25">
      <c r="A128" s="168"/>
      <c r="B128" s="168"/>
      <c r="C128" s="168"/>
      <c r="D128" s="168"/>
      <c r="I128" s="168"/>
      <c r="J128" s="211"/>
      <c r="K128" s="211"/>
      <c r="L128" s="211"/>
    </row>
    <row r="129" spans="1:12" x14ac:dyDescent="0.25">
      <c r="A129" s="168"/>
      <c r="B129" s="168"/>
      <c r="C129" s="168"/>
      <c r="D129" s="168"/>
      <c r="I129" s="168"/>
      <c r="J129" s="211"/>
      <c r="K129" s="211"/>
      <c r="L129" s="211"/>
    </row>
    <row r="130" spans="1:12" x14ac:dyDescent="0.25">
      <c r="A130" s="168"/>
      <c r="B130" s="168"/>
      <c r="C130" s="168"/>
      <c r="D130" s="168"/>
      <c r="I130" s="168"/>
      <c r="J130" s="211"/>
      <c r="K130" s="211"/>
      <c r="L130" s="211"/>
    </row>
    <row r="131" spans="1:12" x14ac:dyDescent="0.25">
      <c r="A131" s="168"/>
      <c r="B131" s="168"/>
      <c r="C131" s="168"/>
      <c r="D131" s="168"/>
      <c r="I131" s="168"/>
      <c r="J131" s="211"/>
      <c r="K131" s="211"/>
      <c r="L131" s="211"/>
    </row>
    <row r="132" spans="1:12" x14ac:dyDescent="0.25">
      <c r="A132" s="168"/>
      <c r="B132" s="168"/>
      <c r="C132" s="168"/>
      <c r="D132" s="168"/>
      <c r="I132" s="168"/>
      <c r="J132" s="211"/>
      <c r="K132" s="211"/>
      <c r="L132" s="211"/>
    </row>
    <row r="133" spans="1:12" x14ac:dyDescent="0.25">
      <c r="A133" s="168"/>
      <c r="B133" s="168"/>
      <c r="C133" s="168"/>
      <c r="D133" s="168"/>
      <c r="I133" s="168"/>
      <c r="J133" s="211"/>
      <c r="K133" s="211"/>
      <c r="L133" s="211"/>
    </row>
    <row r="134" spans="1:12" x14ac:dyDescent="0.25">
      <c r="A134" s="168"/>
      <c r="B134" s="168"/>
      <c r="C134" s="168"/>
      <c r="D134" s="168"/>
      <c r="I134" s="168"/>
      <c r="J134" s="211"/>
      <c r="K134" s="211"/>
      <c r="L134" s="211"/>
    </row>
    <row r="135" spans="1:12" x14ac:dyDescent="0.25">
      <c r="A135" s="168"/>
      <c r="B135" s="168"/>
      <c r="C135" s="168"/>
      <c r="D135" s="168"/>
      <c r="I135" s="168"/>
      <c r="J135" s="211"/>
      <c r="K135" s="211"/>
      <c r="L135" s="211"/>
    </row>
    <row r="136" spans="1:12" x14ac:dyDescent="0.25">
      <c r="A136" s="168"/>
      <c r="B136" s="168"/>
      <c r="C136" s="168"/>
      <c r="D136" s="168"/>
      <c r="I136" s="168"/>
      <c r="J136" s="211"/>
      <c r="K136" s="211"/>
      <c r="L136" s="211"/>
    </row>
    <row r="137" spans="1:12" x14ac:dyDescent="0.25">
      <c r="A137" s="168"/>
      <c r="B137" s="168"/>
      <c r="C137" s="168"/>
      <c r="D137" s="168"/>
      <c r="I137" s="168"/>
      <c r="J137" s="211"/>
      <c r="K137" s="211"/>
      <c r="L137" s="211"/>
    </row>
    <row r="138" spans="1:12" x14ac:dyDescent="0.25">
      <c r="A138" s="168"/>
      <c r="B138" s="168"/>
      <c r="C138" s="168"/>
      <c r="D138" s="168"/>
      <c r="I138" s="168"/>
      <c r="J138" s="211"/>
      <c r="K138" s="211"/>
      <c r="L138" s="211"/>
    </row>
    <row r="139" spans="1:12" x14ac:dyDescent="0.25">
      <c r="A139" s="168"/>
      <c r="B139" s="168"/>
      <c r="C139" s="168"/>
      <c r="D139" s="168"/>
      <c r="I139" s="168"/>
      <c r="J139" s="211"/>
      <c r="K139" s="211"/>
      <c r="L139" s="211"/>
    </row>
    <row r="140" spans="1:12" x14ac:dyDescent="0.25">
      <c r="A140" s="168"/>
      <c r="B140" s="168"/>
      <c r="C140" s="168"/>
      <c r="D140" s="168"/>
      <c r="I140" s="168"/>
      <c r="J140" s="211"/>
      <c r="K140" s="211"/>
      <c r="L140" s="211"/>
    </row>
    <row r="141" spans="1:12" x14ac:dyDescent="0.25">
      <c r="A141" s="168"/>
      <c r="B141" s="168"/>
      <c r="C141" s="168"/>
      <c r="D141" s="168"/>
      <c r="I141" s="168"/>
      <c r="J141" s="211"/>
      <c r="K141" s="211"/>
      <c r="L141" s="211"/>
    </row>
    <row r="142" spans="1:12" x14ac:dyDescent="0.25">
      <c r="A142" s="168"/>
      <c r="B142" s="168"/>
      <c r="C142" s="168"/>
      <c r="D142" s="168"/>
      <c r="I142" s="168"/>
      <c r="J142" s="211"/>
      <c r="K142" s="211"/>
      <c r="L142" s="211"/>
    </row>
    <row r="143" spans="1:12" x14ac:dyDescent="0.25">
      <c r="A143" s="168"/>
      <c r="B143" s="168"/>
      <c r="C143" s="168"/>
      <c r="D143" s="168"/>
      <c r="I143" s="168"/>
      <c r="J143" s="211"/>
      <c r="K143" s="211"/>
      <c r="L143" s="211"/>
    </row>
    <row r="144" spans="1:12" x14ac:dyDescent="0.25">
      <c r="A144" s="168"/>
      <c r="B144" s="168"/>
      <c r="C144" s="168"/>
      <c r="D144" s="168"/>
      <c r="I144" s="168"/>
      <c r="J144" s="211"/>
      <c r="K144" s="211"/>
      <c r="L144" s="211"/>
    </row>
    <row r="145" spans="1:12" x14ac:dyDescent="0.25">
      <c r="A145" s="168"/>
      <c r="B145" s="168"/>
      <c r="C145" s="168"/>
      <c r="D145" s="168"/>
      <c r="I145" s="168"/>
      <c r="J145" s="211"/>
      <c r="K145" s="211"/>
      <c r="L145" s="211"/>
    </row>
    <row r="146" spans="1:12" x14ac:dyDescent="0.25">
      <c r="A146" s="168"/>
      <c r="B146" s="168"/>
      <c r="C146" s="168"/>
      <c r="D146" s="168"/>
      <c r="I146" s="168"/>
      <c r="J146" s="211"/>
      <c r="K146" s="211"/>
      <c r="L146" s="211"/>
    </row>
  </sheetData>
  <sheetProtection selectLockedCells="1"/>
  <mergeCells count="5">
    <mergeCell ref="E3:F3"/>
    <mergeCell ref="G3:H3"/>
    <mergeCell ref="E10:F10"/>
    <mergeCell ref="E23:F23"/>
    <mergeCell ref="E48:F48"/>
  </mergeCells>
  <pageMargins left="0.49" right="0.42" top="1" bottom="1" header="0.5" footer="0.5"/>
  <pageSetup scale="86"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2:B5"/>
  <sheetViews>
    <sheetView workbookViewId="0"/>
  </sheetViews>
  <sheetFormatPr defaultRowHeight="14.5" x14ac:dyDescent="0.35"/>
  <cols>
    <col min="2" max="2" width="20.453125" bestFit="1" customWidth="1"/>
  </cols>
  <sheetData>
    <row r="2" spans="2:2" x14ac:dyDescent="0.25">
      <c r="B2" t="s">
        <v>8</v>
      </c>
    </row>
    <row r="3" spans="2:2" x14ac:dyDescent="0.25">
      <c r="B3" t="s">
        <v>9</v>
      </c>
    </row>
    <row r="4" spans="2:2" x14ac:dyDescent="0.25">
      <c r="B4" t="s">
        <v>168</v>
      </c>
    </row>
    <row r="5" spans="2:2" x14ac:dyDescent="0.25">
      <c r="B5" t="s">
        <v>169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B4"/>
  <sheetViews>
    <sheetView workbookViewId="0">
      <selection activeCell="B4" sqref="B4"/>
    </sheetView>
  </sheetViews>
  <sheetFormatPr defaultRowHeight="14.5" x14ac:dyDescent="0.35"/>
  <cols>
    <col min="1" max="1" width="9.7265625" bestFit="1" customWidth="1"/>
  </cols>
  <sheetData>
    <row r="1" spans="1:2" x14ac:dyDescent="0.25">
      <c r="A1" s="342" t="s">
        <v>651</v>
      </c>
      <c r="B1" s="342" t="s">
        <v>652</v>
      </c>
    </row>
    <row r="2" spans="1:2" x14ac:dyDescent="0.25">
      <c r="A2" s="343">
        <v>44056</v>
      </c>
      <c r="B2" t="s">
        <v>653</v>
      </c>
    </row>
    <row r="3" spans="1:2" x14ac:dyDescent="0.25">
      <c r="A3" s="343">
        <v>44077</v>
      </c>
      <c r="B3" t="s">
        <v>659</v>
      </c>
    </row>
    <row r="4" spans="1:2" x14ac:dyDescent="0.25">
      <c r="A4" s="343">
        <v>44104</v>
      </c>
      <c r="B4" t="s">
        <v>698</v>
      </c>
    </row>
  </sheetData>
  <sheetProtection sheet="1" objects="1" scenarios="1"/>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9849348C3AB334CB852776262B7D24F" ma:contentTypeVersion="0" ma:contentTypeDescription="Create a new document." ma:contentTypeScope="" ma:versionID="852458224b0d956bf34f082d0ff97872">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B800AA2-EEB7-4C57-AE17-D3868A19F7E7}">
  <ds:schemaRefs>
    <ds:schemaRef ds:uri="http://purl.org/dc/term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0C2DB35C-6663-4A92-937A-E65EB27E9D64}">
  <ds:schemaRefs>
    <ds:schemaRef ds:uri="http://schemas.microsoft.com/sharepoint/v3/contenttype/forms"/>
  </ds:schemaRefs>
</ds:datastoreItem>
</file>

<file path=customXml/itemProps3.xml><?xml version="1.0" encoding="utf-8"?>
<ds:datastoreItem xmlns:ds="http://schemas.openxmlformats.org/officeDocument/2006/customXml" ds:itemID="{01B850A6-2376-4606-89E2-BB7791D16E6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145</vt:i4>
      </vt:variant>
    </vt:vector>
  </HeadingPairs>
  <TitlesOfParts>
    <vt:vector size="154" baseType="lpstr">
      <vt:lpstr>InputSheet</vt:lpstr>
      <vt:lpstr>DeviceCalculator</vt:lpstr>
      <vt:lpstr>Schematic Checklist</vt:lpstr>
      <vt:lpstr>Layout Checklist</vt:lpstr>
      <vt:lpstr>Small Signal</vt:lpstr>
      <vt:lpstr>partData</vt:lpstr>
      <vt:lpstr>Std. R and C Values</vt:lpstr>
      <vt:lpstr>Extra</vt:lpstr>
      <vt:lpstr>revisionNotes</vt:lpstr>
      <vt:lpstr>C_f1</vt:lpstr>
      <vt:lpstr>C_f2</vt:lpstr>
      <vt:lpstr>c_s1</vt:lpstr>
      <vt:lpstr>C_s2</vt:lpstr>
      <vt:lpstr>Cboot</vt:lpstr>
      <vt:lpstr>Cboot_req</vt:lpstr>
      <vt:lpstr>Cc_ss</vt:lpstr>
      <vt:lpstr>Ccomp_fco</vt:lpstr>
      <vt:lpstr>Ccomp_ps_fpole</vt:lpstr>
      <vt:lpstr>Ccomp_rec_std</vt:lpstr>
      <vt:lpstr>Ce</vt:lpstr>
      <vt:lpstr>Cff_fsw</vt:lpstr>
      <vt:lpstr>Cff_rec_std</vt:lpstr>
      <vt:lpstr>Cff_ss</vt:lpstr>
      <vt:lpstr>Cin</vt:lpstr>
      <vt:lpstr>Cin_derating</vt:lpstr>
      <vt:lpstr>Cin_eff</vt:lpstr>
      <vt:lpstr>Cin_min</vt:lpstr>
      <vt:lpstr>Co_bulk</vt:lpstr>
      <vt:lpstr>Co_bulk_eff</vt:lpstr>
      <vt:lpstr>Co_cer</vt:lpstr>
      <vt:lpstr>Co_cer_eff</vt:lpstr>
      <vt:lpstr>Co_derate_cer</vt:lpstr>
      <vt:lpstr>Co_ss</vt:lpstr>
      <vt:lpstr>Co_total</vt:lpstr>
      <vt:lpstr>Co2_ss</vt:lpstr>
      <vt:lpstr>Cout_min</vt:lpstr>
      <vt:lpstr>Cp_ss</vt:lpstr>
      <vt:lpstr>Cpole_ESR_fzero</vt:lpstr>
      <vt:lpstr>Cpole_fco</vt:lpstr>
      <vt:lpstr>Cpole_fsw</vt:lpstr>
      <vt:lpstr>Cpole_rec_std</vt:lpstr>
      <vt:lpstr>Css</vt:lpstr>
      <vt:lpstr>Css_std</vt:lpstr>
      <vt:lpstr>DCR</vt:lpstr>
      <vt:lpstr>dVo_dc</vt:lpstr>
      <vt:lpstr>dVo_trans</vt:lpstr>
      <vt:lpstr>E12_f</vt:lpstr>
      <vt:lpstr>E12_s</vt:lpstr>
      <vt:lpstr>E24_f</vt:lpstr>
      <vt:lpstr>E24_s</vt:lpstr>
      <vt:lpstr>E48_f</vt:lpstr>
      <vt:lpstr>E48_s</vt:lpstr>
      <vt:lpstr>E6_f</vt:lpstr>
      <vt:lpstr>E6_s</vt:lpstr>
      <vt:lpstr>E96_f</vt:lpstr>
      <vt:lpstr>E96_s</vt:lpstr>
      <vt:lpstr>EN_fall</vt:lpstr>
      <vt:lpstr>EN_rise</vt:lpstr>
      <vt:lpstr>ESR_bulk</vt:lpstr>
      <vt:lpstr>ESR_bulk_eff</vt:lpstr>
      <vt:lpstr>ESR_cer</vt:lpstr>
      <vt:lpstr>ESR_cer_eff</vt:lpstr>
      <vt:lpstr>ESR_ss</vt:lpstr>
      <vt:lpstr>ESR2_ss</vt:lpstr>
      <vt:lpstr>fbw_ea</vt:lpstr>
      <vt:lpstr>FCCM</vt:lpstr>
      <vt:lpstr>fco</vt:lpstr>
      <vt:lpstr>fco_3</vt:lpstr>
      <vt:lpstr>fco_est</vt:lpstr>
      <vt:lpstr>fco_target</vt:lpstr>
      <vt:lpstr>fm</vt:lpstr>
      <vt:lpstr>fp_cff</vt:lpstr>
      <vt:lpstr>fsw</vt:lpstr>
      <vt:lpstr>fsw_max</vt:lpstr>
      <vt:lpstr>fsw_max_toff</vt:lpstr>
      <vt:lpstr>fsw_max_ton</vt:lpstr>
      <vt:lpstr>fsw_min</vt:lpstr>
      <vt:lpstr>fsw_select</vt:lpstr>
      <vt:lpstr>fsw_ss</vt:lpstr>
      <vt:lpstr>fz_cff</vt:lpstr>
      <vt:lpstr>fz_ESR_bulk</vt:lpstr>
      <vt:lpstr>fz_ESR_cer</vt:lpstr>
      <vt:lpstr>fzero_ESR</vt:lpstr>
      <vt:lpstr>gainMargin</vt:lpstr>
      <vt:lpstr>gmps</vt:lpstr>
      <vt:lpstr>Ilim_peak</vt:lpstr>
      <vt:lpstr>Io_max_IC</vt:lpstr>
      <vt:lpstr>Io_ss</vt:lpstr>
      <vt:lpstr>Io_step</vt:lpstr>
      <vt:lpstr>Iout</vt:lpstr>
      <vt:lpstr>Iripple_max</vt:lpstr>
      <vt:lpstr>Iripple_min</vt:lpstr>
      <vt:lpstr>Iss</vt:lpstr>
      <vt:lpstr>k_2</vt:lpstr>
      <vt:lpstr>Kind</vt:lpstr>
      <vt:lpstr>L_rec</vt:lpstr>
      <vt:lpstr>Lo_ss</vt:lpstr>
      <vt:lpstr>Lout</vt:lpstr>
      <vt:lpstr>mc</vt:lpstr>
      <vt:lpstr>N_Co_bulk</vt:lpstr>
      <vt:lpstr>N_Co_cer</vt:lpstr>
      <vt:lpstr>OC_clamp</vt:lpstr>
      <vt:lpstr>phaseMargin</vt:lpstr>
      <vt:lpstr>'Std. R and C Values'!Print_Area</vt:lpstr>
      <vt:lpstr>q_2</vt:lpstr>
      <vt:lpstr>q_2_vimax</vt:lpstr>
      <vt:lpstr>Rc_ss</vt:lpstr>
      <vt:lpstr>Rcomp_std</vt:lpstr>
      <vt:lpstr>Rdc_ss</vt:lpstr>
      <vt:lpstr>Rdson_HS</vt:lpstr>
      <vt:lpstr>Rdson_LS</vt:lpstr>
      <vt:lpstr>Re</vt:lpstr>
      <vt:lpstr>Re_vimax</vt:lpstr>
      <vt:lpstr>Rfb_b</vt:lpstr>
      <vt:lpstr>Rfb_t</vt:lpstr>
      <vt:lpstr>Rhs_ss</vt:lpstr>
      <vt:lpstr>Rhs_std</vt:lpstr>
      <vt:lpstr>Ri</vt:lpstr>
      <vt:lpstr>Rls_ss</vt:lpstr>
      <vt:lpstr>Rls_std</vt:lpstr>
      <vt:lpstr>Ro</vt:lpstr>
      <vt:lpstr>Rpg</vt:lpstr>
      <vt:lpstr>Rpg_rec</vt:lpstr>
      <vt:lpstr>Rt</vt:lpstr>
      <vt:lpstr>Rt_std</vt:lpstr>
      <vt:lpstr>Se_ss</vt:lpstr>
      <vt:lpstr>Sf</vt:lpstr>
      <vt:lpstr>Sn</vt:lpstr>
      <vt:lpstr>sn_vimax</vt:lpstr>
      <vt:lpstr>toff_min</vt:lpstr>
      <vt:lpstr>Tol_L</vt:lpstr>
      <vt:lpstr>ton_min_max</vt:lpstr>
      <vt:lpstr>tss</vt:lpstr>
      <vt:lpstr>tss_target</vt:lpstr>
      <vt:lpstr>Vi_ripple_target</vt:lpstr>
      <vt:lpstr>Vi_ss</vt:lpstr>
      <vt:lpstr>Vin_max</vt:lpstr>
      <vt:lpstr>Vin_min</vt:lpstr>
      <vt:lpstr>Vin_nom</vt:lpstr>
      <vt:lpstr>Vo_ss</vt:lpstr>
      <vt:lpstr>Vout</vt:lpstr>
      <vt:lpstr>Vref</vt:lpstr>
      <vt:lpstr>Vstart_target</vt:lpstr>
      <vt:lpstr>Vstop_target</vt:lpstr>
      <vt:lpstr>w_2</vt:lpstr>
      <vt:lpstr>wp</vt:lpstr>
      <vt:lpstr>Zbulk_fco</vt:lpstr>
      <vt:lpstr>Zbulk_fsw</vt:lpstr>
      <vt:lpstr>Zcer_fco</vt:lpstr>
      <vt:lpstr>Zcer_fsw</vt:lpstr>
      <vt:lpstr>Zco_cer</vt:lpstr>
      <vt:lpstr>Zco_fco_total</vt:lpstr>
      <vt:lpstr>Zcout_fsw</vt:lpstr>
      <vt:lpstr>Zout_fco</vt:lpstr>
    </vt:vector>
  </TitlesOfParts>
  <Company>Texas Instruments Incorporated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Anthony Fagnani</dc:creator>
  <cp:lastModifiedBy>Lai, Kevin</cp:lastModifiedBy>
  <cp:lastPrinted>2015-12-02T21:47:30Z</cp:lastPrinted>
  <dcterms:created xsi:type="dcterms:W3CDTF">2015-06-04T00:22:15Z</dcterms:created>
  <dcterms:modified xsi:type="dcterms:W3CDTF">2020-11-02T18:52:28Z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0x01010089849348C3AB334CB852776262B7D24F</vt:lpwstr>
  </property>
</Properties>
</file>