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a773352\OneDrive - Atos\Desktop\"/>
    </mc:Choice>
  </mc:AlternateContent>
  <xr:revisionPtr revIDLastSave="11" documentId="8_{40938A05-D538-4AF7-98F9-3471F6C5FC07}" xr6:coauthVersionLast="45" xr6:coauthVersionMax="45" xr10:uidLastSave="{1EE00324-4032-467B-84DB-E9B3F33F0935}"/>
  <workbookProtection workbookPassword="DDA0" lockStructure="1"/>
  <bookViews>
    <workbookView xWindow="-120" yWindow="-120" windowWidth="20730" windowHeight="11160" tabRatio="773" activeTab="1" xr2:uid="{00000000-000D-0000-FFFF-FFFF00000000}"/>
  </bookViews>
  <sheets>
    <sheet name="Instructions" sheetId="15" r:id="rId1"/>
    <sheet name="Design Calculator" sheetId="1" r:id="rId2"/>
    <sheet name="Device Parmaters" sheetId="6" state="hidden" r:id="rId3"/>
    <sheet name="Equations" sheetId="3" state="hidden" r:id="rId4"/>
    <sheet name="Start_up" sheetId="13" state="hidden" r:id="rId5"/>
    <sheet name="SOA" sheetId="7" state="hidden" r:id="rId6"/>
    <sheet name="dv_dt_recommendations" sheetId="14" state="hidden" r:id="rId7"/>
  </sheets>
  <externalReferences>
    <externalReference r:id="rId8"/>
    <externalReference r:id="rId9"/>
  </externalReferences>
  <definedNames>
    <definedName name="CLMAX">Equations!$F$26</definedName>
    <definedName name="CLMAX_Threshold">Equations!$E$17</definedName>
    <definedName name="CLMIN">Equations!$F$24</definedName>
    <definedName name="CLMIN_Threshold">Equations!$E$15</definedName>
    <definedName name="CLNOM">Equations!$F$25</definedName>
    <definedName name="CLNOM_Threshold">Equations!$E$16</definedName>
    <definedName name="COUTMAX">'Design Calculator'!$F$31</definedName>
    <definedName name="CTIMER">'Design Calculator'!#REF!</definedName>
    <definedName name="FETPDISS">'Design Calculator'!$F$62</definedName>
    <definedName name="I_Cout_ss">Equations!$F$66</definedName>
    <definedName name="ILIM" localSheetId="5">[1]ILIM_SOA_considerations!$C$25</definedName>
    <definedName name="ILIM">[2]ILIM_SOA_considerations!$C$25</definedName>
    <definedName name="Ilim_min" localSheetId="5">[1]ILIM_SOA_considerations!$C$61</definedName>
    <definedName name="Ilim_min">[2]ILIM_SOA_considerations!$C$61</definedName>
    <definedName name="IOUTMAX">'Design Calculator'!$F$30</definedName>
    <definedName name="MaxFETPW">'Design Calculator'!#REF!</definedName>
    <definedName name="NUMFETS">'Design Calculator'!$F$54</definedName>
    <definedName name="PLIM" localSheetId="5">[1]ILIM_SOA_considerations!$C$40</definedName>
    <definedName name="PLIM">[2]ILIM_SOA_considerations!$C$40</definedName>
    <definedName name="PLIMMAX">'Design Calculator'!#REF!</definedName>
    <definedName name="PLIMMIN">'Design Calculator'!#REF!</definedName>
    <definedName name="PLIMNOM">'Design Calculator'!#REF!</definedName>
    <definedName name="_xlnm.Print_Area" localSheetId="1">'Design Calculator'!$A$1:$M$207</definedName>
    <definedName name="RDIV1">'Design Calculator'!$F$43</definedName>
    <definedName name="RDIV2">'Design Calculator'!$F$44</definedName>
    <definedName name="RDSON">'Design Calculator'!$AN$55</definedName>
    <definedName name="RPWR">'Design Calculator'!$F$67</definedName>
    <definedName name="Rrflt" localSheetId="5">[1]ILIM_SOA_considerations!$C$46</definedName>
    <definedName name="Rrflt">[2]ILIM_SOA_considerations!$C$46</definedName>
    <definedName name="Rs">'Design Calculator'!$F$40</definedName>
    <definedName name="RsEFF">Equations!$F$23</definedName>
    <definedName name="Rsense" localSheetId="5">[1]ILIM_SOA_considerations!$C$30</definedName>
    <definedName name="Rsense">[2]ILIM_SOA_considerations!$C$30</definedName>
    <definedName name="RsMAX">'Design Calculator'!$F$38</definedName>
    <definedName name="SOA_av" localSheetId="5">[1]ILIM_SOA_considerations!$C$52</definedName>
    <definedName name="SOA_av">[2]ILIM_SOA_considerations!$C$52</definedName>
    <definedName name="solver_adj" localSheetId="5" hidden="1">SOA!#REF!</definedName>
    <definedName name="solver_cvg" localSheetId="5" hidden="1">0.0001</definedName>
    <definedName name="solver_drv" localSheetId="5" hidden="1">1</definedName>
    <definedName name="solver_eng" localSheetId="5" hidden="1">1</definedName>
    <definedName name="solver_est" localSheetId="5" hidden="1">1</definedName>
    <definedName name="solver_itr" localSheetId="5" hidden="1">2147483647</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1</definedName>
    <definedName name="solver_nod" localSheetId="5" hidden="1">2147483647</definedName>
    <definedName name="solver_num" localSheetId="5" hidden="1">0</definedName>
    <definedName name="solver_nwt" localSheetId="5" hidden="1">1</definedName>
    <definedName name="solver_opt" localSheetId="5" hidden="1">SOA!#REF!</definedName>
    <definedName name="solver_pre" localSheetId="5" hidden="1">0.000001</definedName>
    <definedName name="solver_rbv" localSheetId="5" hidden="1">1</definedName>
    <definedName name="solver_rlx" localSheetId="5" hidden="1">2</definedName>
    <definedName name="solver_rsd" localSheetId="5" hidden="1">0</definedName>
    <definedName name="solver_scl" localSheetId="5" hidden="1">1</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3</definedName>
    <definedName name="solver_val" localSheetId="5" hidden="1">0</definedName>
    <definedName name="solver_ver" localSheetId="5" hidden="1">3</definedName>
    <definedName name="ss_rate">Equations!$F$62</definedName>
    <definedName name="T_cap_charge" localSheetId="5">[1]ILIM_SOA_considerations!$C$45</definedName>
    <definedName name="T_cap_charge">[2]ILIM_SOA_considerations!$C$45</definedName>
    <definedName name="T_margin" localSheetId="5">[1]ILIM_SOA_considerations!$C$9</definedName>
    <definedName name="T_margin">[2]ILIM_SOA_considerations!$C$9</definedName>
    <definedName name="T_total" localSheetId="5">[1]ILIM_SOA_considerations!$C$47</definedName>
    <definedName name="T_total">[2]ILIM_SOA_considerations!$C$47</definedName>
    <definedName name="TAMB">'Design Calculator'!$F$32</definedName>
    <definedName name="Tfault">'Design Calculator'!$F$78</definedName>
    <definedName name="Tfaultmax">'Design Calculator'!#REF!</definedName>
    <definedName name="ThetaJA">'Design Calculator'!$F$53</definedName>
    <definedName name="TINSERT">'Design Calculator'!$F$93</definedName>
    <definedName name="TINSERTMAX">Equations!$F$109</definedName>
    <definedName name="TINSERTMIN">Equations!$F$107</definedName>
    <definedName name="TJ">'Design Calculator'!$F$63</definedName>
    <definedName name="TJMAX">'Design Calculator'!$AN$56</definedName>
    <definedName name="Tsd" localSheetId="5">[1]ILIM_SOA_considerations!$C$67</definedName>
    <definedName name="Tsd">[2]ILIM_SOA_considerations!$C$67</definedName>
    <definedName name="TSTARTMAX">Equations!$F$96</definedName>
    <definedName name="TSTARTMIN">Equations!$F$94</definedName>
    <definedName name="TSTARTNOM">Equations!$F$95</definedName>
    <definedName name="V_sns_cl_max" localSheetId="5">[1]ILIM_SOA_considerations!$C$15</definedName>
    <definedName name="V_sns_cl_max">[2]ILIM_SOA_considerations!$C$15</definedName>
    <definedName name="Vbus" localSheetId="5">[1]ILIM_SOA_considerations!$C$23</definedName>
    <definedName name="Vbus">[2]ILIM_SOA_considerations!$C$23</definedName>
    <definedName name="VINMAX">'Design Calculator'!$F$29</definedName>
    <definedName name="VINMIN">'Design Calculator'!$F$27</definedName>
    <definedName name="VINNOM">'Design Calculator'!$F$28</definedName>
    <definedName name="yesno">'Design Calculator'!$AQ$16:$AQ$17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1" i="1" l="1"/>
  <c r="F134" i="1" l="1"/>
  <c r="F133" i="1"/>
  <c r="F128" i="1"/>
  <c r="AN56" i="1" l="1"/>
  <c r="AN57" i="1"/>
  <c r="AN58" i="1"/>
  <c r="AN59" i="1"/>
  <c r="AN60" i="1"/>
  <c r="AN61" i="1"/>
  <c r="AN55" i="1"/>
  <c r="F63" i="1" s="1"/>
  <c r="F145" i="1" l="1"/>
  <c r="E29" i="14"/>
  <c r="E32" i="14" s="1"/>
  <c r="E27" i="14"/>
  <c r="E26" i="14"/>
  <c r="E25" i="14"/>
  <c r="E21" i="14"/>
  <c r="H24" i="7"/>
  <c r="H25" i="7" s="1"/>
  <c r="H9" i="7"/>
  <c r="C9" i="7"/>
  <c r="E35" i="14" l="1"/>
  <c r="E19" i="14"/>
  <c r="E59" i="14"/>
  <c r="F35" i="14"/>
  <c r="E37" i="14"/>
  <c r="E36" i="14"/>
  <c r="F136" i="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 i="13"/>
  <c r="B12" i="13"/>
  <c r="B10" i="13"/>
  <c r="B4" i="7"/>
  <c r="C4" i="7"/>
  <c r="D4" i="7"/>
  <c r="E4" i="7"/>
  <c r="F4" i="7"/>
  <c r="C34" i="7" l="1"/>
  <c r="C33" i="7" s="1"/>
  <c r="J24" i="14" s="1"/>
  <c r="E34" i="7"/>
  <c r="L25" i="14" s="1"/>
  <c r="F34" i="7"/>
  <c r="M25" i="14" s="1"/>
  <c r="D34" i="7"/>
  <c r="H27" i="7"/>
  <c r="E40" i="14"/>
  <c r="E39" i="14"/>
  <c r="F37" i="14"/>
  <c r="F36" i="14"/>
  <c r="G35" i="14"/>
  <c r="E41" i="14"/>
  <c r="E42" i="14" s="1"/>
  <c r="F62" i="3"/>
  <c r="F63" i="3" s="1"/>
  <c r="J25" i="14" l="1"/>
  <c r="E33" i="7"/>
  <c r="L24" i="14" s="1"/>
  <c r="D33" i="7"/>
  <c r="K24" i="14" s="1"/>
  <c r="K25" i="14"/>
  <c r="F33" i="7"/>
  <c r="M24" i="14" s="1"/>
  <c r="H35" i="14"/>
  <c r="G37" i="14"/>
  <c r="G36" i="14"/>
  <c r="E44" i="14"/>
  <c r="F40" i="14"/>
  <c r="F39" i="14"/>
  <c r="F41" i="14"/>
  <c r="F42" i="14" s="1"/>
  <c r="F78" i="3"/>
  <c r="F79" i="3" s="1"/>
  <c r="F76" i="3"/>
  <c r="F2" i="13"/>
  <c r="F44" i="14" l="1"/>
  <c r="G40" i="14"/>
  <c r="G39" i="14"/>
  <c r="G41" i="14"/>
  <c r="G42" i="14" s="1"/>
  <c r="H37" i="14"/>
  <c r="H36" i="14"/>
  <c r="I35" i="14"/>
  <c r="J35" i="14" l="1"/>
  <c r="I37" i="14"/>
  <c r="I36" i="14"/>
  <c r="G44" i="14"/>
  <c r="H39" i="14"/>
  <c r="H40" i="14"/>
  <c r="H41" i="14"/>
  <c r="H42" i="14" s="1"/>
  <c r="D26" i="6"/>
  <c r="H44" i="14" l="1"/>
  <c r="I40" i="14"/>
  <c r="I39" i="14"/>
  <c r="I41" i="14"/>
  <c r="I42" i="14" s="1"/>
  <c r="J37" i="14"/>
  <c r="J36" i="14"/>
  <c r="K35" i="14"/>
  <c r="F91" i="1"/>
  <c r="F77" i="3"/>
  <c r="F89" i="1" s="1"/>
  <c r="I44" i="14" l="1"/>
  <c r="L35" i="14"/>
  <c r="K36" i="14"/>
  <c r="K37" i="14"/>
  <c r="J40" i="14"/>
  <c r="J39" i="14"/>
  <c r="J41" i="14"/>
  <c r="J42" i="14" s="1"/>
  <c r="F64" i="3"/>
  <c r="R2" i="13"/>
  <c r="Q2" i="13"/>
  <c r="A114" i="13"/>
  <c r="A113" i="13"/>
  <c r="A112" i="13"/>
  <c r="H2" i="13"/>
  <c r="K40" i="14" l="1"/>
  <c r="K39" i="14"/>
  <c r="K41" i="14"/>
  <c r="K42" i="14" s="1"/>
  <c r="J44" i="14"/>
  <c r="L37" i="14"/>
  <c r="L36" i="14"/>
  <c r="M35" i="14"/>
  <c r="F54" i="3"/>
  <c r="O212" i="3"/>
  <c r="E216" i="3"/>
  <c r="E214" i="3"/>
  <c r="F41" i="3"/>
  <c r="F57" i="3"/>
  <c r="F108" i="3" s="1"/>
  <c r="N35" i="14" l="1"/>
  <c r="M36" i="14"/>
  <c r="M37" i="14"/>
  <c r="L40" i="14"/>
  <c r="L39" i="14"/>
  <c r="L41" i="14"/>
  <c r="L42" i="14" s="1"/>
  <c r="K44" i="14"/>
  <c r="F58" i="3"/>
  <c r="F78" i="1" s="1"/>
  <c r="F93" i="1"/>
  <c r="F109" i="3"/>
  <c r="F107" i="3"/>
  <c r="F84" i="1"/>
  <c r="D2" i="13"/>
  <c r="J2" i="13"/>
  <c r="G2" i="13"/>
  <c r="N17" i="6"/>
  <c r="F39" i="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Y22" i="13"/>
  <c r="Y15" i="13"/>
  <c r="Y18" i="13" s="1"/>
  <c r="N18" i="6"/>
  <c r="L18" i="6"/>
  <c r="M18" i="6" s="1"/>
  <c r="L17" i="6"/>
  <c r="M17" i="6" s="1"/>
  <c r="Q17" i="6" l="1"/>
  <c r="C8" i="7"/>
  <c r="C10" i="7" s="1"/>
  <c r="C12" i="7" s="1"/>
  <c r="C13" i="7" s="1"/>
  <c r="C15" i="7" s="1"/>
  <c r="K133" i="1"/>
  <c r="M40" i="14"/>
  <c r="M39" i="14"/>
  <c r="M41" i="14"/>
  <c r="M42" i="14" s="1"/>
  <c r="L44" i="14"/>
  <c r="N37" i="14"/>
  <c r="N36" i="14"/>
  <c r="O35" i="14"/>
  <c r="F65" i="3"/>
  <c r="F86" i="1" s="1"/>
  <c r="C114" i="13"/>
  <c r="C113" i="13"/>
  <c r="C112" i="13"/>
  <c r="C80" i="13"/>
  <c r="C62" i="13"/>
  <c r="C111" i="13"/>
  <c r="C75" i="13"/>
  <c r="C43" i="13"/>
  <c r="C95" i="13"/>
  <c r="C91" i="13"/>
  <c r="C102" i="13"/>
  <c r="C76" i="13"/>
  <c r="C72" i="13"/>
  <c r="C15" i="13"/>
  <c r="C11" i="13"/>
  <c r="C101" i="13"/>
  <c r="C100" i="13"/>
  <c r="C98" i="13"/>
  <c r="C90" i="13"/>
  <c r="C79" i="13"/>
  <c r="C74" i="13"/>
  <c r="C58" i="13"/>
  <c r="C54" i="13"/>
  <c r="C49" i="13"/>
  <c r="C47" i="13"/>
  <c r="C39" i="13"/>
  <c r="C32" i="13"/>
  <c r="C23" i="13"/>
  <c r="C19" i="13"/>
  <c r="C110" i="13"/>
  <c r="C109" i="13"/>
  <c r="C107" i="13"/>
  <c r="C99" i="13"/>
  <c r="C96" i="13"/>
  <c r="C84" i="13"/>
  <c r="C82" i="13"/>
  <c r="C69" i="13"/>
  <c r="C67" i="13"/>
  <c r="C65" i="13"/>
  <c r="C63" i="13"/>
  <c r="C59" i="13"/>
  <c r="C36" i="13"/>
  <c r="C20" i="13"/>
  <c r="C105" i="13"/>
  <c r="C103" i="13"/>
  <c r="C92" i="13"/>
  <c r="C88" i="13"/>
  <c r="C87" i="13"/>
  <c r="C83" i="13"/>
  <c r="C71" i="13"/>
  <c r="C68" i="13"/>
  <c r="C66" i="13"/>
  <c r="C57" i="13"/>
  <c r="C55" i="13"/>
  <c r="C51" i="13"/>
  <c r="C46" i="13"/>
  <c r="C44" i="13"/>
  <c r="C40" i="13"/>
  <c r="C35" i="13"/>
  <c r="C31" i="13"/>
  <c r="C27" i="13"/>
  <c r="C50" i="13"/>
  <c r="C28" i="13"/>
  <c r="C24" i="13"/>
  <c r="C16" i="13"/>
  <c r="C12" i="13"/>
  <c r="C108" i="13"/>
  <c r="C94" i="13"/>
  <c r="C77" i="13"/>
  <c r="C106" i="13"/>
  <c r="C93" i="13"/>
  <c r="C86" i="13"/>
  <c r="C104" i="13"/>
  <c r="C85" i="13"/>
  <c r="C78" i="13"/>
  <c r="C97" i="13"/>
  <c r="C89" i="13"/>
  <c r="C81" i="13"/>
  <c r="C73" i="13"/>
  <c r="C61" i="13"/>
  <c r="C53" i="13"/>
  <c r="C70" i="13"/>
  <c r="C60" i="13"/>
  <c r="C52" i="13"/>
  <c r="C64" i="13"/>
  <c r="C56" i="13"/>
  <c r="C48" i="13"/>
  <c r="C45" i="13"/>
  <c r="C42" i="13"/>
  <c r="C41" i="13"/>
  <c r="C38" i="13"/>
  <c r="C37" i="13"/>
  <c r="C34" i="13"/>
  <c r="C33" i="13"/>
  <c r="C30" i="13"/>
  <c r="C29" i="13"/>
  <c r="C26" i="13"/>
  <c r="C25" i="13"/>
  <c r="C22" i="13"/>
  <c r="C21" i="13"/>
  <c r="C18" i="13"/>
  <c r="C17" i="13"/>
  <c r="C14" i="13"/>
  <c r="C13" i="13"/>
  <c r="Y24" i="13"/>
  <c r="C10" i="13"/>
  <c r="AN43" i="1"/>
  <c r="C11" i="7" l="1"/>
  <c r="C14" i="7" s="1"/>
  <c r="C19" i="7" s="1"/>
  <c r="C18" i="7" s="1"/>
  <c r="C20" i="7" s="1"/>
  <c r="C22" i="7" s="1"/>
  <c r="P35" i="14"/>
  <c r="O37" i="14"/>
  <c r="O36" i="14"/>
  <c r="N40" i="14"/>
  <c r="N39" i="14"/>
  <c r="N41" i="14"/>
  <c r="N42" i="14" s="1"/>
  <c r="M44" i="14"/>
  <c r="F66" i="3"/>
  <c r="F67" i="3"/>
  <c r="E23" i="14" s="1"/>
  <c r="F124" i="1"/>
  <c r="F144" i="1"/>
  <c r="N44" i="14" l="1"/>
  <c r="O40" i="14"/>
  <c r="O39" i="14"/>
  <c r="O41" i="14"/>
  <c r="O42" i="14" s="1"/>
  <c r="P37" i="14"/>
  <c r="P36" i="14"/>
  <c r="Q35" i="14"/>
  <c r="F118" i="3"/>
  <c r="F117" i="3"/>
  <c r="K141" i="1" s="1"/>
  <c r="F116" i="3"/>
  <c r="F115" i="3"/>
  <c r="F113" i="3"/>
  <c r="F114" i="3"/>
  <c r="K139" i="1" l="1"/>
  <c r="F122" i="1"/>
  <c r="R35" i="14"/>
  <c r="Q37" i="14"/>
  <c r="Q36" i="14"/>
  <c r="P39" i="14"/>
  <c r="P40" i="14"/>
  <c r="P41" i="14"/>
  <c r="P42" i="14" s="1"/>
  <c r="O44" i="14"/>
  <c r="F123" i="1"/>
  <c r="F118" i="1"/>
  <c r="F119" i="1" s="1"/>
  <c r="J112" i="3"/>
  <c r="I110" i="3"/>
  <c r="I112" i="3"/>
  <c r="H112" i="3"/>
  <c r="J110" i="3"/>
  <c r="H110" i="3"/>
  <c r="J111" i="3"/>
  <c r="I111" i="3"/>
  <c r="H111" i="3"/>
  <c r="F110" i="3" l="1"/>
  <c r="Q39" i="14"/>
  <c r="Q40" i="14"/>
  <c r="Q41" i="14"/>
  <c r="Q42" i="14" s="1"/>
  <c r="P44" i="14"/>
  <c r="R37" i="14"/>
  <c r="R36" i="14"/>
  <c r="S35" i="14"/>
  <c r="F112" i="3"/>
  <c r="F111" i="3"/>
  <c r="F143" i="1"/>
  <c r="F142" i="1"/>
  <c r="T35" i="14" l="1"/>
  <c r="S36" i="14"/>
  <c r="S37" i="14"/>
  <c r="R40" i="14"/>
  <c r="R39" i="14"/>
  <c r="R41" i="14"/>
  <c r="R42" i="14" s="1"/>
  <c r="Q44" i="14"/>
  <c r="AO53" i="1"/>
  <c r="S40" i="14" l="1"/>
  <c r="S39" i="14"/>
  <c r="S41" i="14"/>
  <c r="S42" i="14" s="1"/>
  <c r="R44" i="14"/>
  <c r="T37" i="14"/>
  <c r="T36" i="14"/>
  <c r="U35" i="14"/>
  <c r="S44" i="14" l="1"/>
  <c r="V35" i="14"/>
  <c r="U36" i="14"/>
  <c r="U37" i="14"/>
  <c r="T40" i="14"/>
  <c r="T39" i="14"/>
  <c r="T41" i="14"/>
  <c r="T42" i="14" s="1"/>
  <c r="F127" i="1"/>
  <c r="U40" i="14" l="1"/>
  <c r="U39" i="14"/>
  <c r="U41" i="14"/>
  <c r="U42" i="14" s="1"/>
  <c r="T44" i="14"/>
  <c r="V37" i="14"/>
  <c r="V36" i="14"/>
  <c r="W35" i="14"/>
  <c r="E17" i="3"/>
  <c r="E16" i="3"/>
  <c r="E15" i="3"/>
  <c r="F20" i="3" s="1"/>
  <c r="F38" i="1" s="1"/>
  <c r="F21" i="3" l="1"/>
  <c r="F41" i="1" s="1"/>
  <c r="F126" i="1"/>
  <c r="F125" i="1"/>
  <c r="X35" i="14"/>
  <c r="W37" i="14"/>
  <c r="W36" i="14"/>
  <c r="V40" i="14"/>
  <c r="V39" i="14"/>
  <c r="V41" i="14"/>
  <c r="V42" i="14" s="1"/>
  <c r="U44" i="14"/>
  <c r="F22" i="3" l="1"/>
  <c r="V44" i="14"/>
  <c r="W40" i="14"/>
  <c r="W39" i="14"/>
  <c r="W41" i="14"/>
  <c r="W42" i="14" s="1"/>
  <c r="X37" i="14"/>
  <c r="X36" i="14"/>
  <c r="F23" i="3"/>
  <c r="E215" i="3" l="1"/>
  <c r="F42" i="3"/>
  <c r="W44" i="14"/>
  <c r="X39" i="14"/>
  <c r="X40" i="14"/>
  <c r="X41" i="14"/>
  <c r="X42" i="14" s="1"/>
  <c r="F38" i="3"/>
  <c r="F64" i="1" s="1"/>
  <c r="F40" i="3"/>
  <c r="F66" i="1" s="1"/>
  <c r="I2" i="13"/>
  <c r="F25" i="3"/>
  <c r="F47" i="1" s="1"/>
  <c r="F45" i="1"/>
  <c r="F26" i="3"/>
  <c r="F24" i="3"/>
  <c r="F42" i="1"/>
  <c r="X44" i="14" l="1"/>
  <c r="C25" i="7"/>
  <c r="F180" i="3"/>
  <c r="F46" i="1"/>
  <c r="F47" i="3"/>
  <c r="F185" i="3" s="1"/>
  <c r="F201" i="3" s="1"/>
  <c r="F68" i="1"/>
  <c r="K128" i="1"/>
  <c r="K130" i="1" s="1"/>
  <c r="C2" i="13"/>
  <c r="E114" i="13" s="1"/>
  <c r="F48" i="1"/>
  <c r="F27" i="3"/>
  <c r="F49" i="1" s="1"/>
  <c r="AN53" i="1"/>
  <c r="B2" i="13" l="1"/>
  <c r="K129" i="1"/>
  <c r="C26" i="7"/>
  <c r="F209" i="3"/>
  <c r="B209" i="3" s="1"/>
  <c r="F208" i="3"/>
  <c r="E208" i="3" s="1"/>
  <c r="F48" i="3"/>
  <c r="F186" i="3" s="1"/>
  <c r="F194" i="3"/>
  <c r="E194" i="3" s="1"/>
  <c r="F207" i="3"/>
  <c r="E207" i="3" s="1"/>
  <c r="F203" i="3"/>
  <c r="E203" i="3" s="1"/>
  <c r="F197" i="3"/>
  <c r="G197" i="3" s="1"/>
  <c r="F206" i="3"/>
  <c r="E206" i="3" s="1"/>
  <c r="F210" i="3"/>
  <c r="G210" i="3" s="1"/>
  <c r="F204" i="3"/>
  <c r="B204" i="3" s="1"/>
  <c r="F199" i="3"/>
  <c r="E199" i="3" s="1"/>
  <c r="F202" i="3"/>
  <c r="B202" i="3" s="1"/>
  <c r="F205" i="3"/>
  <c r="E205" i="3" s="1"/>
  <c r="F196" i="3"/>
  <c r="B196" i="3" s="1"/>
  <c r="F46" i="3"/>
  <c r="F184" i="3" s="1"/>
  <c r="F200" i="3"/>
  <c r="B200" i="3" s="1"/>
  <c r="F195" i="3"/>
  <c r="G195" i="3" s="1"/>
  <c r="F198" i="3"/>
  <c r="B198" i="3" s="1"/>
  <c r="M114" i="13"/>
  <c r="E112" i="13"/>
  <c r="E111" i="13"/>
  <c r="E113" i="13"/>
  <c r="B201" i="3"/>
  <c r="G201" i="3"/>
  <c r="E201" i="3"/>
  <c r="D10" i="13" l="1"/>
  <c r="E10" i="13" s="1"/>
  <c r="D14" i="13"/>
  <c r="E14" i="13" s="1"/>
  <c r="D18" i="13"/>
  <c r="E18" i="13" s="1"/>
  <c r="D22" i="13"/>
  <c r="E22" i="13" s="1"/>
  <c r="D26" i="13"/>
  <c r="E26" i="13" s="1"/>
  <c r="D30" i="13"/>
  <c r="E30" i="13" s="1"/>
  <c r="D34" i="13"/>
  <c r="E34" i="13" s="1"/>
  <c r="D38" i="13"/>
  <c r="E38" i="13" s="1"/>
  <c r="D42" i="13"/>
  <c r="E42" i="13" s="1"/>
  <c r="D46" i="13"/>
  <c r="E46" i="13" s="1"/>
  <c r="D50" i="13"/>
  <c r="E50" i="13" s="1"/>
  <c r="D54" i="13"/>
  <c r="E54" i="13" s="1"/>
  <c r="D58" i="13"/>
  <c r="E58" i="13" s="1"/>
  <c r="D62" i="13"/>
  <c r="E62" i="13" s="1"/>
  <c r="D66" i="13"/>
  <c r="E66" i="13" s="1"/>
  <c r="D70" i="13"/>
  <c r="E70" i="13" s="1"/>
  <c r="D74" i="13"/>
  <c r="E74" i="13" s="1"/>
  <c r="D78" i="13"/>
  <c r="E78" i="13" s="1"/>
  <c r="D82" i="13"/>
  <c r="E82" i="13" s="1"/>
  <c r="D86" i="13"/>
  <c r="E86" i="13" s="1"/>
  <c r="D90" i="13"/>
  <c r="D94" i="13"/>
  <c r="E94" i="13" s="1"/>
  <c r="D98" i="13"/>
  <c r="E98" i="13" s="1"/>
  <c r="D102" i="13"/>
  <c r="E102" i="13" s="1"/>
  <c r="D106" i="13"/>
  <c r="D110" i="13"/>
  <c r="E110" i="13" s="1"/>
  <c r="D114" i="13"/>
  <c r="D11" i="13"/>
  <c r="E11" i="13" s="1"/>
  <c r="D15" i="13"/>
  <c r="D19" i="13"/>
  <c r="E19" i="13" s="1"/>
  <c r="D23" i="13"/>
  <c r="E23" i="13" s="1"/>
  <c r="M23" i="13" s="1"/>
  <c r="D27" i="13"/>
  <c r="E27" i="13" s="1"/>
  <c r="D31" i="13"/>
  <c r="D35" i="13"/>
  <c r="E35" i="13" s="1"/>
  <c r="D39" i="13"/>
  <c r="E39" i="13" s="1"/>
  <c r="D43" i="13"/>
  <c r="E43" i="13" s="1"/>
  <c r="D47" i="13"/>
  <c r="D51" i="13"/>
  <c r="E51" i="13" s="1"/>
  <c r="D55" i="13"/>
  <c r="E55" i="13" s="1"/>
  <c r="D59" i="13"/>
  <c r="E59" i="13" s="1"/>
  <c r="D63" i="13"/>
  <c r="E63" i="13" s="1"/>
  <c r="D67" i="13"/>
  <c r="E67" i="13" s="1"/>
  <c r="D71" i="13"/>
  <c r="E71" i="13" s="1"/>
  <c r="D75" i="13"/>
  <c r="E75" i="13" s="1"/>
  <c r="D79" i="13"/>
  <c r="D83" i="13"/>
  <c r="E83" i="13" s="1"/>
  <c r="D87" i="13"/>
  <c r="E87" i="13" s="1"/>
  <c r="D91" i="13"/>
  <c r="D95" i="13"/>
  <c r="E95" i="13" s="1"/>
  <c r="D99" i="13"/>
  <c r="E99" i="13" s="1"/>
  <c r="D103" i="13"/>
  <c r="E103" i="13" s="1"/>
  <c r="D107" i="13"/>
  <c r="E107" i="13" s="1"/>
  <c r="D111" i="13"/>
  <c r="D12" i="13"/>
  <c r="E12" i="13" s="1"/>
  <c r="D16" i="13"/>
  <c r="E16" i="13" s="1"/>
  <c r="D20" i="13"/>
  <c r="E20" i="13" s="1"/>
  <c r="D24" i="13"/>
  <c r="D28" i="13"/>
  <c r="E28" i="13" s="1"/>
  <c r="D32" i="13"/>
  <c r="E32" i="13" s="1"/>
  <c r="D36" i="13"/>
  <c r="E36" i="13" s="1"/>
  <c r="D40" i="13"/>
  <c r="D44" i="13"/>
  <c r="E44" i="13" s="1"/>
  <c r="D48" i="13"/>
  <c r="E48" i="13" s="1"/>
  <c r="D52" i="13"/>
  <c r="E52" i="13" s="1"/>
  <c r="D56" i="13"/>
  <c r="E56" i="13" s="1"/>
  <c r="D60" i="13"/>
  <c r="E60" i="13" s="1"/>
  <c r="D64" i="13"/>
  <c r="E64" i="13" s="1"/>
  <c r="D68" i="13"/>
  <c r="E68" i="13" s="1"/>
  <c r="D72" i="13"/>
  <c r="E72" i="13" s="1"/>
  <c r="D76" i="13"/>
  <c r="E76" i="13" s="1"/>
  <c r="D80" i="13"/>
  <c r="E80" i="13" s="1"/>
  <c r="D84" i="13"/>
  <c r="E84" i="13" s="1"/>
  <c r="D88" i="13"/>
  <c r="E88" i="13" s="1"/>
  <c r="D92" i="13"/>
  <c r="E92" i="13" s="1"/>
  <c r="D96" i="13"/>
  <c r="E96" i="13" s="1"/>
  <c r="D100" i="13"/>
  <c r="E100" i="13" s="1"/>
  <c r="D104" i="13"/>
  <c r="E104" i="13" s="1"/>
  <c r="D108" i="13"/>
  <c r="E108" i="13" s="1"/>
  <c r="D112" i="13"/>
  <c r="D13" i="13"/>
  <c r="E13" i="13" s="1"/>
  <c r="D17" i="13"/>
  <c r="E17" i="13" s="1"/>
  <c r="D21" i="13"/>
  <c r="E21" i="13" s="1"/>
  <c r="D25" i="13"/>
  <c r="E25" i="13" s="1"/>
  <c r="D29" i="13"/>
  <c r="E29" i="13" s="1"/>
  <c r="D33" i="13"/>
  <c r="E33" i="13" s="1"/>
  <c r="D37" i="13"/>
  <c r="D53" i="13"/>
  <c r="E53" i="13" s="1"/>
  <c r="D69" i="13"/>
  <c r="E69" i="13" s="1"/>
  <c r="D85" i="13"/>
  <c r="E85" i="13" s="1"/>
  <c r="D101" i="13"/>
  <c r="E101" i="13" s="1"/>
  <c r="D41" i="13"/>
  <c r="E41" i="13" s="1"/>
  <c r="D57" i="13"/>
  <c r="E57" i="13" s="1"/>
  <c r="D73" i="13"/>
  <c r="E73" i="13" s="1"/>
  <c r="D89" i="13"/>
  <c r="E89" i="13" s="1"/>
  <c r="D105" i="13"/>
  <c r="E105" i="13" s="1"/>
  <c r="D61" i="13"/>
  <c r="E61" i="13" s="1"/>
  <c r="D77" i="13"/>
  <c r="E77" i="13" s="1"/>
  <c r="D93" i="13"/>
  <c r="E93" i="13" s="1"/>
  <c r="D109" i="13"/>
  <c r="E109" i="13" s="1"/>
  <c r="D65" i="13"/>
  <c r="E65" i="13" s="1"/>
  <c r="D81" i="13"/>
  <c r="E81" i="13" s="1"/>
  <c r="D97" i="13"/>
  <c r="E97" i="13" s="1"/>
  <c r="D45" i="13"/>
  <c r="E45" i="13" s="1"/>
  <c r="D49" i="13"/>
  <c r="E49" i="13" s="1"/>
  <c r="D113" i="13"/>
  <c r="E37" i="13"/>
  <c r="M37" i="13" s="1"/>
  <c r="E106" i="13"/>
  <c r="E91" i="13"/>
  <c r="E79" i="13"/>
  <c r="E31" i="13"/>
  <c r="E40" i="13"/>
  <c r="E90" i="13"/>
  <c r="E15" i="13"/>
  <c r="M15" i="13" s="1"/>
  <c r="E24" i="13"/>
  <c r="E47" i="13"/>
  <c r="M47" i="13" s="1"/>
  <c r="F59" i="3"/>
  <c r="C40" i="7"/>
  <c r="C39" i="7"/>
  <c r="C41" i="7"/>
  <c r="X194" i="3"/>
  <c r="F80" i="3"/>
  <c r="F81" i="3" s="1"/>
  <c r="F92" i="1" s="1"/>
  <c r="B210" i="3"/>
  <c r="B199" i="3"/>
  <c r="E197" i="3"/>
  <c r="E209" i="3"/>
  <c r="G209" i="3"/>
  <c r="B208" i="3"/>
  <c r="B206" i="3"/>
  <c r="G194" i="3"/>
  <c r="B194" i="3"/>
  <c r="G208" i="3"/>
  <c r="B207" i="3"/>
  <c r="B197" i="3"/>
  <c r="G207" i="3"/>
  <c r="E204" i="3"/>
  <c r="G196" i="3"/>
  <c r="G198" i="3"/>
  <c r="G203" i="3"/>
  <c r="G204" i="3"/>
  <c r="G206" i="3"/>
  <c r="B203" i="3"/>
  <c r="E196" i="3"/>
  <c r="E198" i="3"/>
  <c r="E210" i="3"/>
  <c r="B205" i="3"/>
  <c r="B195" i="3"/>
  <c r="E202" i="3"/>
  <c r="G200" i="3"/>
  <c r="G199" i="3"/>
  <c r="G205" i="3"/>
  <c r="G202" i="3"/>
  <c r="E195" i="3"/>
  <c r="E200" i="3"/>
  <c r="M112" i="13"/>
  <c r="M113" i="13"/>
  <c r="M111" i="13"/>
  <c r="M51" i="13" l="1"/>
  <c r="M35" i="13"/>
  <c r="M79" i="13"/>
  <c r="M99" i="13"/>
  <c r="M34" i="13"/>
  <c r="M18" i="13"/>
  <c r="M105" i="13"/>
  <c r="M17" i="13"/>
  <c r="M53" i="13"/>
  <c r="M55" i="13"/>
  <c r="M61" i="13"/>
  <c r="M90" i="13"/>
  <c r="M16" i="13"/>
  <c r="M52" i="13"/>
  <c r="M106" i="13"/>
  <c r="M66" i="13"/>
  <c r="M33" i="13"/>
  <c r="M59" i="13"/>
  <c r="M69" i="13"/>
  <c r="M100" i="13"/>
  <c r="M56" i="13"/>
  <c r="M72" i="13"/>
  <c r="M45" i="13"/>
  <c r="M71" i="13"/>
  <c r="M26" i="13"/>
  <c r="M68" i="13"/>
  <c r="M31" i="13"/>
  <c r="M74" i="13"/>
  <c r="M46" i="13"/>
  <c r="M11" i="13"/>
  <c r="M38" i="13"/>
  <c r="M36" i="13"/>
  <c r="M73" i="13"/>
  <c r="M20" i="13"/>
  <c r="M93" i="13"/>
  <c r="M27" i="13"/>
  <c r="M78" i="13"/>
  <c r="M41" i="13"/>
  <c r="M13" i="13"/>
  <c r="M96" i="13"/>
  <c r="M77" i="13"/>
  <c r="M60" i="13"/>
  <c r="M30" i="13"/>
  <c r="M95" i="13"/>
  <c r="M67" i="13"/>
  <c r="M50" i="13"/>
  <c r="M65" i="13"/>
  <c r="M25" i="13"/>
  <c r="M94" i="13"/>
  <c r="M21" i="13"/>
  <c r="M63" i="13"/>
  <c r="M80" i="13"/>
  <c r="M40" i="13"/>
  <c r="M91" i="13"/>
  <c r="M19" i="13"/>
  <c r="M89" i="13"/>
  <c r="M58" i="13"/>
  <c r="M76" i="13"/>
  <c r="M57" i="13"/>
  <c r="M49" i="13"/>
  <c r="M44" i="13"/>
  <c r="M22" i="13"/>
  <c r="M85" i="13"/>
  <c r="M108" i="13"/>
  <c r="M107" i="13"/>
  <c r="M88" i="13"/>
  <c r="M104" i="13"/>
  <c r="M42" i="13"/>
  <c r="M64" i="13"/>
  <c r="M84" i="13"/>
  <c r="M92" i="13"/>
  <c r="M102" i="13"/>
  <c r="M98" i="13"/>
  <c r="M12" i="13"/>
  <c r="M48" i="13"/>
  <c r="M70" i="13"/>
  <c r="M32" i="13"/>
  <c r="M62" i="13"/>
  <c r="M103" i="13"/>
  <c r="M28" i="13"/>
  <c r="M39" i="13"/>
  <c r="M24" i="13"/>
  <c r="M86" i="13"/>
  <c r="M110" i="13"/>
  <c r="M101" i="13"/>
  <c r="M10" i="13"/>
  <c r="M97" i="13"/>
  <c r="M75" i="13"/>
  <c r="M82" i="13"/>
  <c r="M81" i="13"/>
  <c r="M43" i="13"/>
  <c r="M87" i="13"/>
  <c r="M83" i="13"/>
  <c r="M54" i="13"/>
  <c r="M109" i="13"/>
  <c r="M29" i="13"/>
  <c r="M14" i="13"/>
  <c r="F36" i="3"/>
  <c r="F35" i="3"/>
  <c r="F34" i="3"/>
  <c r="F33" i="3"/>
  <c r="N4" i="13" l="1"/>
  <c r="G71" i="1" l="1"/>
  <c r="F153" i="3" l="1"/>
  <c r="F152" i="3"/>
  <c r="O217" i="3"/>
  <c r="H35" i="3" l="1"/>
  <c r="H33" i="3"/>
  <c r="H36" i="3"/>
  <c r="H34" i="3"/>
  <c r="F154" i="3"/>
  <c r="O216" i="3"/>
  <c r="O213" i="3"/>
  <c r="O215" i="3"/>
  <c r="O214" i="3"/>
  <c r="F178" i="3"/>
  <c r="U213" i="3" s="1"/>
  <c r="F177" i="3"/>
  <c r="F176" i="3"/>
  <c r="G144" i="3"/>
  <c r="F144" i="3"/>
  <c r="G143" i="3"/>
  <c r="F143" i="3"/>
  <c r="G142" i="3"/>
  <c r="F142" i="3"/>
  <c r="G141" i="3"/>
  <c r="F141" i="3"/>
  <c r="G140" i="3"/>
  <c r="F140" i="3"/>
  <c r="G139" i="3"/>
  <c r="F139" i="3"/>
  <c r="G138" i="3"/>
  <c r="F138" i="3"/>
  <c r="G137" i="3"/>
  <c r="F137" i="3"/>
  <c r="G136" i="3"/>
  <c r="G135" i="3"/>
  <c r="F135" i="3"/>
  <c r="G134" i="3"/>
  <c r="F134" i="3"/>
  <c r="G133" i="3"/>
  <c r="F133" i="3"/>
  <c r="G131" i="3"/>
  <c r="G132" i="3" s="1"/>
  <c r="F103" i="1" s="1"/>
  <c r="G129" i="3"/>
  <c r="F129" i="3"/>
  <c r="K132" i="1"/>
  <c r="F182" i="3"/>
  <c r="F132" i="1"/>
  <c r="F135" i="1"/>
  <c r="F131" i="1"/>
  <c r="F130" i="1"/>
  <c r="F129" i="1"/>
  <c r="F94" i="1"/>
  <c r="K134" i="1" s="1"/>
  <c r="D112" i="1" l="1"/>
  <c r="G130" i="3"/>
  <c r="F100" i="1"/>
  <c r="F131" i="3"/>
  <c r="F102" i="1" s="1"/>
  <c r="E113" i="1"/>
  <c r="K138" i="1" s="1"/>
  <c r="E112" i="1"/>
  <c r="K137" i="1" s="1"/>
  <c r="E110" i="1"/>
  <c r="K135" i="1" s="1"/>
  <c r="E111" i="1"/>
  <c r="K136" i="1" s="1"/>
  <c r="D113" i="1"/>
  <c r="F113" i="1"/>
  <c r="F181" i="3"/>
  <c r="T211" i="3"/>
  <c r="T212" i="3"/>
  <c r="T213" i="3"/>
  <c r="S211" i="3"/>
  <c r="U211" i="3"/>
  <c r="S212" i="3"/>
  <c r="U212" i="3"/>
  <c r="S213" i="3"/>
  <c r="D110" i="1"/>
  <c r="D111" i="1"/>
  <c r="F110" i="1"/>
  <c r="F111" i="1"/>
  <c r="F112" i="1"/>
  <c r="F130" i="3" l="1"/>
  <c r="F101" i="1" s="1"/>
  <c r="K194" i="3"/>
  <c r="T194" i="3" s="1"/>
  <c r="K196" i="3"/>
  <c r="T196" i="3" s="1"/>
  <c r="K198" i="3"/>
  <c r="T198" i="3" s="1"/>
  <c r="K200" i="3"/>
  <c r="T200" i="3" s="1"/>
  <c r="K202" i="3"/>
  <c r="T202" i="3" s="1"/>
  <c r="K204" i="3"/>
  <c r="T204" i="3" s="1"/>
  <c r="K206" i="3"/>
  <c r="T206" i="3" s="1"/>
  <c r="K208" i="3"/>
  <c r="T208" i="3" s="1"/>
  <c r="K210" i="3"/>
  <c r="T210" i="3" s="1"/>
  <c r="K195" i="3"/>
  <c r="T195" i="3" s="1"/>
  <c r="K197" i="3"/>
  <c r="T197" i="3" s="1"/>
  <c r="K199" i="3"/>
  <c r="T199" i="3" s="1"/>
  <c r="K201" i="3"/>
  <c r="T201" i="3" s="1"/>
  <c r="K203" i="3"/>
  <c r="T203" i="3" s="1"/>
  <c r="K205" i="3"/>
  <c r="T205" i="3" s="1"/>
  <c r="K207" i="3"/>
  <c r="T207" i="3" s="1"/>
  <c r="K209" i="3"/>
  <c r="T209" i="3" s="1"/>
  <c r="L200" i="3" l="1"/>
  <c r="U200" i="3" s="1"/>
  <c r="L204" i="3"/>
  <c r="U204" i="3" s="1"/>
  <c r="L208" i="3"/>
  <c r="U208" i="3" s="1"/>
  <c r="L201" i="3"/>
  <c r="U201" i="3" s="1"/>
  <c r="L205" i="3"/>
  <c r="U205" i="3" s="1"/>
  <c r="L209" i="3"/>
  <c r="U209" i="3" s="1"/>
  <c r="L198" i="3"/>
  <c r="U198" i="3" s="1"/>
  <c r="L202" i="3"/>
  <c r="U202" i="3" s="1"/>
  <c r="L206" i="3"/>
  <c r="U206" i="3" s="1"/>
  <c r="L195" i="3"/>
  <c r="U195" i="3" s="1"/>
  <c r="L199" i="3"/>
  <c r="U199" i="3" s="1"/>
  <c r="J194" i="3"/>
  <c r="S194" i="3" s="1"/>
  <c r="J202" i="3"/>
  <c r="S202" i="3" s="1"/>
  <c r="J210" i="3"/>
  <c r="S210" i="3" s="1"/>
  <c r="J199" i="3"/>
  <c r="S199" i="3" s="1"/>
  <c r="J207" i="3"/>
  <c r="S207" i="3" s="1"/>
  <c r="J196" i="3"/>
  <c r="S196" i="3" s="1"/>
  <c r="J200" i="3"/>
  <c r="S200" i="3" s="1"/>
  <c r="J208" i="3"/>
  <c r="S208" i="3" s="1"/>
  <c r="J201" i="3"/>
  <c r="S201" i="3" s="1"/>
  <c r="J209" i="3"/>
  <c r="S209" i="3" s="1"/>
  <c r="J198" i="3"/>
  <c r="S198" i="3" s="1"/>
  <c r="L194" i="3"/>
  <c r="U194" i="3" s="1"/>
  <c r="L210" i="3"/>
  <c r="U210" i="3" s="1"/>
  <c r="J197" i="3"/>
  <c r="S197" i="3" s="1"/>
  <c r="L203" i="3"/>
  <c r="U203" i="3" s="1"/>
  <c r="L207" i="3"/>
  <c r="U207" i="3" s="1"/>
  <c r="L196" i="3"/>
  <c r="U196" i="3" s="1"/>
  <c r="L197" i="3"/>
  <c r="U197" i="3" s="1"/>
  <c r="J195" i="3"/>
  <c r="S195" i="3" s="1"/>
  <c r="J205" i="3"/>
  <c r="S205" i="3" s="1"/>
  <c r="J204" i="3"/>
  <c r="S204" i="3" s="1"/>
  <c r="J203" i="3"/>
  <c r="S203" i="3" s="1"/>
  <c r="J206" i="3"/>
  <c r="S206" i="3" s="1"/>
  <c r="F79" i="1" l="1"/>
  <c r="V210" i="3" l="1"/>
  <c r="V212" i="3"/>
  <c r="V206" i="3"/>
  <c r="V213" i="3"/>
  <c r="V199" i="3"/>
  <c r="V211" i="3"/>
  <c r="V204" i="3"/>
  <c r="V198" i="3"/>
  <c r="V205" i="3"/>
  <c r="V201" i="3"/>
  <c r="V195" i="3"/>
  <c r="V207" i="3"/>
  <c r="V209" i="3"/>
  <c r="V197" i="3"/>
  <c r="V200" i="3"/>
  <c r="V196" i="3"/>
  <c r="V208" i="3"/>
  <c r="V202" i="3"/>
  <c r="V194" i="3"/>
  <c r="V203" i="3"/>
  <c r="P67" i="13" l="1"/>
  <c r="Q81" i="13"/>
  <c r="P86" i="13"/>
  <c r="P46" i="13"/>
  <c r="Q16" i="13"/>
  <c r="P37" i="13"/>
  <c r="Q40" i="13"/>
  <c r="P12" i="13"/>
  <c r="P65" i="13"/>
  <c r="Q69" i="13"/>
  <c r="Q92" i="13"/>
  <c r="P32" i="13"/>
  <c r="P55" i="13"/>
  <c r="P82" i="13"/>
  <c r="Q37" i="13"/>
  <c r="Q13" i="13"/>
  <c r="P38" i="13"/>
  <c r="P41" i="13"/>
  <c r="P100" i="13"/>
  <c r="Q103" i="13"/>
  <c r="P77" i="13"/>
  <c r="Q53" i="13"/>
  <c r="Q26" i="13"/>
  <c r="Q60" i="13"/>
  <c r="Q111" i="13"/>
  <c r="P85" i="13"/>
  <c r="Q85" i="13"/>
  <c r="P27" i="13"/>
  <c r="Q68" i="13"/>
  <c r="Q93" i="13"/>
  <c r="P48" i="13"/>
  <c r="P113" i="13"/>
  <c r="Q28" i="13"/>
  <c r="P112" i="13"/>
  <c r="P71" i="13"/>
  <c r="P11" i="13"/>
  <c r="P91" i="13"/>
  <c r="Q55" i="13"/>
  <c r="P57" i="13"/>
  <c r="Q107" i="13"/>
  <c r="P107" i="13"/>
  <c r="Q50" i="13"/>
  <c r="Q42" i="13"/>
  <c r="Q70" i="13"/>
  <c r="Q31" i="13"/>
  <c r="P79" i="13"/>
  <c r="Q99" i="13"/>
  <c r="P87" i="13"/>
  <c r="P110" i="13"/>
  <c r="Q32" i="13"/>
  <c r="P20" i="13"/>
  <c r="P72" i="13"/>
  <c r="P81" i="13"/>
  <c r="Q17" i="13"/>
  <c r="Q66" i="13"/>
  <c r="P54" i="13"/>
  <c r="P31" i="13"/>
  <c r="P44" i="13"/>
  <c r="Q20" i="13"/>
  <c r="P25" i="13"/>
  <c r="P64" i="13"/>
  <c r="Q97" i="13"/>
  <c r="Q96" i="13"/>
  <c r="Q36" i="13"/>
  <c r="Q88" i="13"/>
  <c r="Q86" i="13"/>
  <c r="Q84" i="13"/>
  <c r="P90" i="13"/>
  <c r="P61" i="13"/>
  <c r="P24" i="13"/>
  <c r="Q113" i="13"/>
  <c r="Q80" i="13"/>
  <c r="Q72" i="13"/>
  <c r="Q63" i="13"/>
  <c r="P13" i="13"/>
  <c r="Q35" i="13"/>
  <c r="P99" i="13"/>
  <c r="P33" i="13"/>
  <c r="Q45" i="13"/>
  <c r="Q14" i="13"/>
  <c r="P42" i="13"/>
  <c r="P40" i="13"/>
  <c r="Q82" i="13"/>
  <c r="P98" i="13"/>
  <c r="P95" i="13"/>
  <c r="Q38" i="13"/>
  <c r="P80" i="13"/>
  <c r="P111" i="13"/>
  <c r="P43" i="13"/>
  <c r="P63" i="13"/>
  <c r="P47" i="13"/>
  <c r="Q24" i="13"/>
  <c r="Q29" i="13"/>
  <c r="Q73" i="13"/>
  <c r="P76" i="13"/>
  <c r="P34" i="13"/>
  <c r="Q34" i="13"/>
  <c r="P66" i="13"/>
  <c r="P58" i="13"/>
  <c r="Q74" i="13"/>
  <c r="P93" i="13"/>
  <c r="Q71" i="13"/>
  <c r="Q109" i="13"/>
  <c r="P56" i="13"/>
  <c r="Q105" i="13"/>
  <c r="Q104" i="13"/>
  <c r="P60" i="13"/>
  <c r="Q18" i="13"/>
  <c r="P84" i="13"/>
  <c r="Q41" i="13"/>
  <c r="P62" i="13"/>
  <c r="Q52" i="13"/>
  <c r="P104" i="13"/>
  <c r="P94" i="13"/>
  <c r="P30" i="13"/>
  <c r="Q95" i="13"/>
  <c r="P16" i="13"/>
  <c r="Q98" i="13"/>
  <c r="P22" i="13"/>
  <c r="Q94" i="13"/>
  <c r="P50" i="13"/>
  <c r="Q61" i="13"/>
  <c r="Q90" i="13"/>
  <c r="Q100" i="13"/>
  <c r="Q47" i="13"/>
  <c r="P51" i="13"/>
  <c r="Q76" i="13"/>
  <c r="Q25" i="13"/>
  <c r="Q12" i="13"/>
  <c r="Q65" i="13"/>
  <c r="P68" i="13"/>
  <c r="Q108" i="13"/>
  <c r="Q78" i="13"/>
  <c r="Q59" i="13"/>
  <c r="P17" i="13"/>
  <c r="P29" i="13"/>
  <c r="P74" i="13"/>
  <c r="Q75" i="13"/>
  <c r="Q46" i="13"/>
  <c r="Q101" i="13"/>
  <c r="P103" i="13"/>
  <c r="Q77" i="13"/>
  <c r="Q19" i="13"/>
  <c r="Q21" i="13"/>
  <c r="P92" i="13"/>
  <c r="P69" i="13"/>
  <c r="Q11" i="13"/>
  <c r="P70" i="13"/>
  <c r="Q23" i="13"/>
  <c r="P114" i="13"/>
  <c r="P83" i="13"/>
  <c r="Q79" i="13"/>
  <c r="P96" i="13"/>
  <c r="Q110" i="13"/>
  <c r="Q30" i="13"/>
  <c r="Q106" i="13"/>
  <c r="Q33" i="13"/>
  <c r="P59" i="13"/>
  <c r="Q87" i="13"/>
  <c r="Q89" i="13"/>
  <c r="Q67" i="13"/>
  <c r="Q57" i="13"/>
  <c r="Q51" i="13"/>
  <c r="Q54" i="13"/>
  <c r="P23" i="13"/>
  <c r="P14" i="13"/>
  <c r="Q15" i="13"/>
  <c r="Q114" i="13"/>
  <c r="Q102" i="13"/>
  <c r="P36" i="13"/>
  <c r="P88" i="13"/>
  <c r="P39" i="13"/>
  <c r="P89" i="13"/>
  <c r="Q83" i="13"/>
  <c r="P52" i="13"/>
  <c r="Q112" i="13"/>
  <c r="P28" i="13"/>
  <c r="P106" i="13"/>
  <c r="Q64" i="13"/>
  <c r="P105" i="13"/>
  <c r="Q48" i="13"/>
  <c r="P102" i="13"/>
  <c r="Q91" i="13"/>
  <c r="Q44" i="13"/>
  <c r="P19" i="13"/>
  <c r="P18" i="13"/>
  <c r="Q43" i="13"/>
  <c r="P49" i="13"/>
  <c r="P15" i="13"/>
  <c r="P75" i="13"/>
  <c r="Q27" i="13"/>
  <c r="P101" i="13"/>
  <c r="P35" i="13"/>
  <c r="Q62" i="13"/>
  <c r="P73" i="13"/>
  <c r="Q58" i="13"/>
  <c r="Q39" i="13"/>
  <c r="P78" i="13"/>
  <c r="P45" i="13"/>
  <c r="Q56" i="13"/>
  <c r="Q49" i="13"/>
  <c r="P108" i="13"/>
  <c r="P97" i="13"/>
  <c r="P26" i="13"/>
  <c r="Q22" i="13"/>
  <c r="P21" i="13"/>
  <c r="P109" i="13"/>
  <c r="P53" i="13"/>
  <c r="P10" i="13"/>
  <c r="F37" i="13"/>
  <c r="G37" i="13" s="1"/>
  <c r="F44" i="13"/>
  <c r="G44" i="13" s="1"/>
  <c r="H44" i="13" s="1"/>
  <c r="I44" i="13" s="1"/>
  <c r="F86" i="13"/>
  <c r="G86" i="13" s="1"/>
  <c r="O86" i="13" s="1"/>
  <c r="F51" i="13"/>
  <c r="G51" i="13" s="1"/>
  <c r="O51" i="13" s="1"/>
  <c r="F113" i="13"/>
  <c r="G113" i="13" s="1"/>
  <c r="O113" i="13" s="1"/>
  <c r="F112" i="13"/>
  <c r="G112" i="13" s="1"/>
  <c r="H112" i="13" s="1"/>
  <c r="I112" i="13" s="1"/>
  <c r="F78" i="13"/>
  <c r="G78" i="13" s="1"/>
  <c r="H78" i="13" s="1"/>
  <c r="I78" i="13" s="1"/>
  <c r="F93" i="13"/>
  <c r="G93" i="13" s="1"/>
  <c r="H93" i="13" s="1"/>
  <c r="I93" i="13" s="1"/>
  <c r="F30" i="13"/>
  <c r="G30" i="13" s="1"/>
  <c r="H30" i="13" s="1"/>
  <c r="I30" i="13" s="1"/>
  <c r="F81" i="13"/>
  <c r="G81" i="13" s="1"/>
  <c r="H81" i="13" s="1"/>
  <c r="I81" i="13" s="1"/>
  <c r="F91" i="13"/>
  <c r="G91" i="13" s="1"/>
  <c r="O91" i="13" s="1"/>
  <c r="F31" i="13"/>
  <c r="G31" i="13" s="1"/>
  <c r="O31" i="13" s="1"/>
  <c r="F12" i="13"/>
  <c r="G12" i="13" s="1"/>
  <c r="O12" i="13" s="1"/>
  <c r="F68" i="13"/>
  <c r="G68" i="13" s="1"/>
  <c r="O68" i="13" s="1"/>
  <c r="F26" i="13"/>
  <c r="G26" i="13" s="1"/>
  <c r="H26" i="13" s="1"/>
  <c r="I26" i="13" s="1"/>
  <c r="F25" i="13"/>
  <c r="G25" i="13" s="1"/>
  <c r="F24" i="13"/>
  <c r="G24" i="13" s="1"/>
  <c r="F40" i="13"/>
  <c r="G40" i="13" s="1"/>
  <c r="O40" i="13" s="1"/>
  <c r="F36" i="13"/>
  <c r="G36" i="13" s="1"/>
  <c r="F67" i="13"/>
  <c r="G67" i="13" s="1"/>
  <c r="F62" i="13"/>
  <c r="G62" i="13" s="1"/>
  <c r="O62" i="13" s="1"/>
  <c r="F73" i="13"/>
  <c r="G73" i="13" s="1"/>
  <c r="O73" i="13" s="1"/>
  <c r="F22" i="13"/>
  <c r="G22" i="13" s="1"/>
  <c r="O22" i="13" s="1"/>
  <c r="F60" i="13"/>
  <c r="G60" i="13" s="1"/>
  <c r="H60" i="13" s="1"/>
  <c r="I60" i="13" s="1"/>
  <c r="F46" i="13"/>
  <c r="G46" i="13" s="1"/>
  <c r="H46" i="13" s="1"/>
  <c r="I46" i="13" s="1"/>
  <c r="F101" i="13"/>
  <c r="G101" i="13" s="1"/>
  <c r="F43" i="13"/>
  <c r="G43" i="13" s="1"/>
  <c r="F82" i="13"/>
  <c r="G82" i="13" s="1"/>
  <c r="F111" i="13"/>
  <c r="G111" i="13" s="1"/>
  <c r="F69" i="13"/>
  <c r="G69" i="13" s="1"/>
  <c r="F95" i="13"/>
  <c r="G95" i="13" s="1"/>
  <c r="F21" i="13"/>
  <c r="G21" i="13" s="1"/>
  <c r="F66" i="13"/>
  <c r="G66" i="13" s="1"/>
  <c r="F49" i="13"/>
  <c r="G49" i="13" s="1"/>
  <c r="O49" i="13" s="1"/>
  <c r="F90" i="13"/>
  <c r="G90" i="13" s="1"/>
  <c r="F77" i="13"/>
  <c r="G77" i="13" s="1"/>
  <c r="F100" i="13"/>
  <c r="G100" i="13" s="1"/>
  <c r="F38" i="13"/>
  <c r="G38" i="13" s="1"/>
  <c r="H38" i="13" s="1"/>
  <c r="I38" i="13" s="1"/>
  <c r="F64" i="13"/>
  <c r="G64" i="13" s="1"/>
  <c r="F56" i="13"/>
  <c r="G56" i="13" s="1"/>
  <c r="H56" i="13" s="1"/>
  <c r="I56" i="13" s="1"/>
  <c r="F87" i="13"/>
  <c r="G87" i="13" s="1"/>
  <c r="O87" i="13" s="1"/>
  <c r="Q10" i="13"/>
  <c r="F110" i="13"/>
  <c r="G110" i="13" s="1"/>
  <c r="F28" i="13"/>
  <c r="G28" i="13" s="1"/>
  <c r="F92" i="13"/>
  <c r="G92" i="13" s="1"/>
  <c r="F105" i="13"/>
  <c r="G105" i="13" s="1"/>
  <c r="O105" i="13" s="1"/>
  <c r="F103" i="13"/>
  <c r="G103" i="13" s="1"/>
  <c r="O103" i="13" s="1"/>
  <c r="F71" i="13"/>
  <c r="G71" i="13" s="1"/>
  <c r="F57" i="13"/>
  <c r="G57" i="13" s="1"/>
  <c r="F50" i="13"/>
  <c r="G50" i="13" s="1"/>
  <c r="F98" i="13"/>
  <c r="G98" i="13" s="1"/>
  <c r="H98" i="13" s="1"/>
  <c r="I98" i="13" s="1"/>
  <c r="F70" i="13"/>
  <c r="G70" i="13" s="1"/>
  <c r="O70" i="13" s="1"/>
  <c r="F114" i="13"/>
  <c r="G114" i="13" s="1"/>
  <c r="F47" i="13"/>
  <c r="G47" i="13" s="1"/>
  <c r="H47" i="13" s="1"/>
  <c r="I47" i="13" s="1"/>
  <c r="F15" i="13"/>
  <c r="G15" i="13" s="1"/>
  <c r="O15" i="13" s="1"/>
  <c r="F23" i="13"/>
  <c r="G23" i="13" s="1"/>
  <c r="H23" i="13" s="1"/>
  <c r="I23" i="13" s="1"/>
  <c r="F108" i="13"/>
  <c r="G108" i="13" s="1"/>
  <c r="F94" i="13"/>
  <c r="G94" i="13" s="1"/>
  <c r="F107" i="13"/>
  <c r="G107" i="13" s="1"/>
  <c r="F32" i="13"/>
  <c r="G32" i="13" s="1"/>
  <c r="F104" i="13"/>
  <c r="G104" i="13" s="1"/>
  <c r="F29" i="13"/>
  <c r="G29" i="13" s="1"/>
  <c r="O29" i="13" s="1"/>
  <c r="F54" i="13"/>
  <c r="G54" i="13" s="1"/>
  <c r="H54" i="13" s="1"/>
  <c r="I54" i="13" s="1"/>
  <c r="F109" i="13"/>
  <c r="G109" i="13" s="1"/>
  <c r="F13" i="13"/>
  <c r="G13" i="13" s="1"/>
  <c r="F35" i="13"/>
  <c r="G35" i="13" s="1"/>
  <c r="H35" i="13" s="1"/>
  <c r="I35" i="13" s="1"/>
  <c r="F14" i="13"/>
  <c r="G14" i="13" s="1"/>
  <c r="O14" i="13" s="1"/>
  <c r="F65" i="13"/>
  <c r="G65" i="13" s="1"/>
  <c r="F55" i="13"/>
  <c r="G55" i="13" s="1"/>
  <c r="O55" i="13" s="1"/>
  <c r="F106" i="13"/>
  <c r="G106" i="13" s="1"/>
  <c r="O106" i="13" s="1"/>
  <c r="F19" i="13"/>
  <c r="G19" i="13" s="1"/>
  <c r="F58" i="13"/>
  <c r="G58" i="13" s="1"/>
  <c r="O58" i="13" s="1"/>
  <c r="F83" i="13"/>
  <c r="G83" i="13" s="1"/>
  <c r="O83" i="13" s="1"/>
  <c r="F63" i="13"/>
  <c r="G63" i="13" s="1"/>
  <c r="O63" i="13" s="1"/>
  <c r="F45" i="13"/>
  <c r="G45" i="13" s="1"/>
  <c r="F76" i="13"/>
  <c r="G76" i="13" s="1"/>
  <c r="H76" i="13" s="1"/>
  <c r="I76" i="13" s="1"/>
  <c r="F97" i="13"/>
  <c r="G97" i="13" s="1"/>
  <c r="F18" i="13"/>
  <c r="G18" i="13" s="1"/>
  <c r="O18" i="13" s="1"/>
  <c r="F74" i="13"/>
  <c r="G74" i="13" s="1"/>
  <c r="H74" i="13" s="1"/>
  <c r="I74" i="13" s="1"/>
  <c r="F80" i="13"/>
  <c r="G80" i="13" s="1"/>
  <c r="F41" i="13"/>
  <c r="G41" i="13" s="1"/>
  <c r="O41" i="13" s="1"/>
  <c r="F27" i="13"/>
  <c r="G27" i="13" s="1"/>
  <c r="F61" i="13"/>
  <c r="G61" i="13" s="1"/>
  <c r="F42" i="13"/>
  <c r="G42" i="13" s="1"/>
  <c r="O42" i="13" s="1"/>
  <c r="F53" i="13"/>
  <c r="G53" i="13" s="1"/>
  <c r="H53" i="13" s="1"/>
  <c r="I53" i="13" s="1"/>
  <c r="F102" i="13"/>
  <c r="G102" i="13" s="1"/>
  <c r="F48" i="13"/>
  <c r="G48" i="13" s="1"/>
  <c r="O48" i="13" s="1"/>
  <c r="F88" i="13"/>
  <c r="G88" i="13" s="1"/>
  <c r="H88" i="13" s="1"/>
  <c r="I88" i="13" s="1"/>
  <c r="F33" i="13"/>
  <c r="G33" i="13" s="1"/>
  <c r="F20" i="13"/>
  <c r="G20" i="13" s="1"/>
  <c r="F89" i="13"/>
  <c r="G89" i="13" s="1"/>
  <c r="F96" i="13"/>
  <c r="G96" i="13" s="1"/>
  <c r="O96" i="13" s="1"/>
  <c r="F85" i="13"/>
  <c r="G85" i="13" s="1"/>
  <c r="F39" i="13"/>
  <c r="G39" i="13" s="1"/>
  <c r="F99" i="13"/>
  <c r="G99" i="13" s="1"/>
  <c r="F11" i="13"/>
  <c r="G11" i="13" s="1"/>
  <c r="O11" i="13" s="1"/>
  <c r="F34" i="13"/>
  <c r="G34" i="13" s="1"/>
  <c r="H34" i="13" s="1"/>
  <c r="I34" i="13" s="1"/>
  <c r="F59" i="13"/>
  <c r="G59" i="13" s="1"/>
  <c r="F72" i="13"/>
  <c r="G72" i="13" s="1"/>
  <c r="F16" i="13"/>
  <c r="G16" i="13" s="1"/>
  <c r="O16" i="13" s="1"/>
  <c r="F79" i="13"/>
  <c r="G79" i="13" s="1"/>
  <c r="F52" i="13"/>
  <c r="G52" i="13" s="1"/>
  <c r="F75" i="13"/>
  <c r="G75" i="13" s="1"/>
  <c r="F17" i="13"/>
  <c r="G17" i="13" s="1"/>
  <c r="F84" i="13"/>
  <c r="G84" i="13" s="1"/>
  <c r="F10" i="13"/>
  <c r="G10" i="13" s="1"/>
  <c r="O10" i="13" s="1"/>
  <c r="N54" i="13" l="1"/>
  <c r="L38" i="13"/>
  <c r="L44" i="13"/>
  <c r="L74" i="13"/>
  <c r="N47" i="13"/>
  <c r="H42" i="13"/>
  <c r="I42" i="13" s="1"/>
  <c r="O114" i="13"/>
  <c r="H114" i="13"/>
  <c r="H11" i="13"/>
  <c r="I11" i="13" s="1"/>
  <c r="L34" i="13"/>
  <c r="H10" i="13"/>
  <c r="H62" i="13"/>
  <c r="I62" i="13" s="1"/>
  <c r="O38" i="13"/>
  <c r="H63" i="13"/>
  <c r="I63" i="13" s="1"/>
  <c r="H55" i="13"/>
  <c r="I55" i="13" s="1"/>
  <c r="H49" i="13"/>
  <c r="I49" i="13" s="1"/>
  <c r="H68" i="13"/>
  <c r="I68" i="13" s="1"/>
  <c r="H89" i="13"/>
  <c r="I89" i="13" s="1"/>
  <c r="O89" i="13"/>
  <c r="N93" i="13"/>
  <c r="L93" i="13"/>
  <c r="O17" i="13"/>
  <c r="H17" i="13"/>
  <c r="I17" i="13" s="1"/>
  <c r="O39" i="13"/>
  <c r="H39" i="13"/>
  <c r="I39" i="13" s="1"/>
  <c r="O20" i="13"/>
  <c r="H20" i="13"/>
  <c r="I20" i="13" s="1"/>
  <c r="H108" i="13"/>
  <c r="I108" i="13" s="1"/>
  <c r="O108" i="13"/>
  <c r="L81" i="13"/>
  <c r="O37" i="13"/>
  <c r="H37" i="13"/>
  <c r="I37" i="13" s="1"/>
  <c r="H85" i="13"/>
  <c r="I85" i="13" s="1"/>
  <c r="O85" i="13"/>
  <c r="O33" i="13"/>
  <c r="H33" i="13"/>
  <c r="O13" i="13"/>
  <c r="H13" i="13"/>
  <c r="I13" i="13" s="1"/>
  <c r="O90" i="13"/>
  <c r="H90" i="13"/>
  <c r="I90" i="13" s="1"/>
  <c r="O21" i="13"/>
  <c r="H21" i="13"/>
  <c r="I21" i="13" s="1"/>
  <c r="O27" i="13"/>
  <c r="H27" i="13"/>
  <c r="I27" i="13" s="1"/>
  <c r="O109" i="13"/>
  <c r="H109" i="13"/>
  <c r="I109" i="13" s="1"/>
  <c r="H106" i="13"/>
  <c r="I106" i="13" s="1"/>
  <c r="O81" i="13"/>
  <c r="L46" i="13"/>
  <c r="O74" i="13"/>
  <c r="H40" i="13"/>
  <c r="I40" i="13" s="1"/>
  <c r="H31" i="13"/>
  <c r="I31" i="13" s="1"/>
  <c r="H113" i="13"/>
  <c r="H91" i="13"/>
  <c r="I91" i="13" s="1"/>
  <c r="H16" i="13"/>
  <c r="I16" i="13" s="1"/>
  <c r="O34" i="13"/>
  <c r="H96" i="13"/>
  <c r="I96" i="13" s="1"/>
  <c r="H83" i="13"/>
  <c r="I83" i="13" s="1"/>
  <c r="H29" i="13"/>
  <c r="I29" i="13" s="1"/>
  <c r="H18" i="13"/>
  <c r="I18" i="13" s="1"/>
  <c r="O46" i="13"/>
  <c r="H22" i="13"/>
  <c r="I22" i="13" s="1"/>
  <c r="H12" i="13"/>
  <c r="I12" i="13" s="1"/>
  <c r="O44" i="13"/>
  <c r="O80" i="13"/>
  <c r="H80" i="13"/>
  <c r="L76" i="13"/>
  <c r="H100" i="13"/>
  <c r="I100" i="13" s="1"/>
  <c r="O100" i="13"/>
  <c r="O84" i="13"/>
  <c r="H84" i="13"/>
  <c r="I84" i="13" s="1"/>
  <c r="H45" i="13"/>
  <c r="O45" i="13"/>
  <c r="O19" i="13"/>
  <c r="H19" i="13"/>
  <c r="I19" i="13" s="1"/>
  <c r="O65" i="13"/>
  <c r="H65" i="13"/>
  <c r="I65" i="13" s="1"/>
  <c r="O64" i="13"/>
  <c r="H64" i="13"/>
  <c r="I64" i="13" s="1"/>
  <c r="O102" i="13"/>
  <c r="H102" i="13"/>
  <c r="I102" i="13" s="1"/>
  <c r="L98" i="13"/>
  <c r="L23" i="13"/>
  <c r="O66" i="13"/>
  <c r="H66" i="13"/>
  <c r="I66" i="13" s="1"/>
  <c r="O104" i="13"/>
  <c r="H104" i="13"/>
  <c r="I104" i="13" s="1"/>
  <c r="L53" i="13"/>
  <c r="H107" i="13"/>
  <c r="I107" i="13" s="1"/>
  <c r="O107" i="13"/>
  <c r="O76" i="13"/>
  <c r="L56" i="13"/>
  <c r="O82" i="13"/>
  <c r="H82" i="13"/>
  <c r="I82" i="13" s="1"/>
  <c r="O25" i="13"/>
  <c r="H25" i="13"/>
  <c r="I25" i="13" s="1"/>
  <c r="H87" i="13"/>
  <c r="L112" i="13"/>
  <c r="N112" i="13"/>
  <c r="O112" i="13"/>
  <c r="O79" i="13"/>
  <c r="H79" i="13"/>
  <c r="I79" i="13" s="1"/>
  <c r="H32" i="13"/>
  <c r="I32" i="13" s="1"/>
  <c r="O32" i="13"/>
  <c r="H58" i="13"/>
  <c r="I58" i="13" s="1"/>
  <c r="L47" i="13"/>
  <c r="H71" i="13"/>
  <c r="I71" i="13" s="1"/>
  <c r="O71" i="13"/>
  <c r="O98" i="13"/>
  <c r="O54" i="13"/>
  <c r="N38" i="13"/>
  <c r="Q5" i="13"/>
  <c r="O61" i="13"/>
  <c r="H61" i="13"/>
  <c r="I61" i="13" s="1"/>
  <c r="N35" i="13"/>
  <c r="L35" i="13"/>
  <c r="H94" i="13"/>
  <c r="I94" i="13" s="1"/>
  <c r="O94" i="13"/>
  <c r="Q6" i="13"/>
  <c r="O77" i="13"/>
  <c r="H77" i="13"/>
  <c r="O95" i="13"/>
  <c r="H95" i="13"/>
  <c r="I95" i="13" s="1"/>
  <c r="O111" i="13"/>
  <c r="H111" i="13"/>
  <c r="I111" i="13" s="1"/>
  <c r="O43" i="13"/>
  <c r="H43" i="13"/>
  <c r="O36" i="13"/>
  <c r="H36" i="13"/>
  <c r="I36" i="13" s="1"/>
  <c r="O24" i="13"/>
  <c r="H24" i="13"/>
  <c r="I24" i="13" s="1"/>
  <c r="N26" i="13"/>
  <c r="L26" i="13"/>
  <c r="O26" i="13"/>
  <c r="O56" i="13"/>
  <c r="O59" i="13"/>
  <c r="H59" i="13"/>
  <c r="I59" i="13" s="1"/>
  <c r="O57" i="13"/>
  <c r="H57" i="13"/>
  <c r="I57" i="13" s="1"/>
  <c r="O110" i="13"/>
  <c r="H110" i="13"/>
  <c r="I110" i="13" s="1"/>
  <c r="H69" i="13"/>
  <c r="I69" i="13" s="1"/>
  <c r="O69" i="13"/>
  <c r="O67" i="13"/>
  <c r="H67" i="13"/>
  <c r="I67" i="13" s="1"/>
  <c r="L30" i="13"/>
  <c r="H73" i="13"/>
  <c r="L54" i="13"/>
  <c r="O23" i="13"/>
  <c r="O88" i="13"/>
  <c r="O75" i="13"/>
  <c r="H75" i="13"/>
  <c r="O97" i="13"/>
  <c r="H97" i="13"/>
  <c r="O50" i="13"/>
  <c r="H50" i="13"/>
  <c r="I50" i="13" s="1"/>
  <c r="O92" i="13"/>
  <c r="H92" i="13"/>
  <c r="I92" i="13" s="1"/>
  <c r="N60" i="13"/>
  <c r="L60" i="13"/>
  <c r="O47" i="13"/>
  <c r="O99" i="13"/>
  <c r="H99" i="13"/>
  <c r="I99" i="13" s="1"/>
  <c r="O52" i="13"/>
  <c r="H52" i="13"/>
  <c r="O72" i="13"/>
  <c r="H72" i="13"/>
  <c r="I72" i="13" s="1"/>
  <c r="H48" i="13"/>
  <c r="I48" i="13" s="1"/>
  <c r="H41" i="13"/>
  <c r="I41" i="13" s="1"/>
  <c r="H14" i="13"/>
  <c r="I14" i="13" s="1"/>
  <c r="H15" i="13"/>
  <c r="I15" i="13" s="1"/>
  <c r="H70" i="13"/>
  <c r="I70" i="13" s="1"/>
  <c r="H103" i="13"/>
  <c r="I103" i="13" s="1"/>
  <c r="H105" i="13"/>
  <c r="I105" i="13" s="1"/>
  <c r="O28" i="13"/>
  <c r="H28" i="13"/>
  <c r="I28" i="13" s="1"/>
  <c r="O60" i="13"/>
  <c r="H86" i="13"/>
  <c r="I86" i="13" s="1"/>
  <c r="O53" i="13"/>
  <c r="O30" i="13"/>
  <c r="L88" i="13"/>
  <c r="O35" i="13"/>
  <c r="H101" i="13"/>
  <c r="I101" i="13" s="1"/>
  <c r="O101" i="13"/>
  <c r="L78" i="13"/>
  <c r="H51" i="13"/>
  <c r="I51" i="13" s="1"/>
  <c r="O78" i="13"/>
  <c r="O93" i="13"/>
  <c r="N98" i="13" l="1"/>
  <c r="I97" i="13"/>
  <c r="N97" i="13" s="1"/>
  <c r="N81" i="13"/>
  <c r="I80" i="13"/>
  <c r="N80" i="13" s="1"/>
  <c r="N53" i="13"/>
  <c r="I52" i="13"/>
  <c r="N52" i="13" s="1"/>
  <c r="N78" i="13"/>
  <c r="I77" i="13"/>
  <c r="N77" i="13" s="1"/>
  <c r="I113" i="13"/>
  <c r="N113" i="13" s="1"/>
  <c r="N76" i="13"/>
  <c r="I75" i="13"/>
  <c r="N75" i="13" s="1"/>
  <c r="N46" i="13"/>
  <c r="I45" i="13"/>
  <c r="N45" i="13" s="1"/>
  <c r="N34" i="13"/>
  <c r="I33" i="13"/>
  <c r="N33" i="13" s="1"/>
  <c r="I114" i="13"/>
  <c r="N114" i="13" s="1"/>
  <c r="N74" i="13"/>
  <c r="I73" i="13"/>
  <c r="N73" i="13" s="1"/>
  <c r="N44" i="13"/>
  <c r="I43" i="13"/>
  <c r="N43" i="13" s="1"/>
  <c r="N88" i="13"/>
  <c r="I87" i="13"/>
  <c r="N87" i="13" s="1"/>
  <c r="N23" i="13"/>
  <c r="N83" i="13"/>
  <c r="N108" i="13"/>
  <c r="N109" i="13"/>
  <c r="L49" i="13"/>
  <c r="L62" i="13"/>
  <c r="N63" i="13"/>
  <c r="N11" i="13"/>
  <c r="N22" i="13"/>
  <c r="N13" i="13"/>
  <c r="N20" i="13"/>
  <c r="N21" i="13"/>
  <c r="N55" i="13"/>
  <c r="N56" i="13"/>
  <c r="L18" i="13"/>
  <c r="N19" i="13"/>
  <c r="L31" i="13"/>
  <c r="L63" i="13"/>
  <c r="L29" i="13"/>
  <c r="N30" i="13"/>
  <c r="L16" i="13"/>
  <c r="N17" i="13"/>
  <c r="N90" i="13"/>
  <c r="N39" i="13"/>
  <c r="N40" i="13"/>
  <c r="N68" i="13"/>
  <c r="N42" i="13"/>
  <c r="Q4" i="13"/>
  <c r="F69" i="3" s="1"/>
  <c r="L90" i="13"/>
  <c r="L42" i="13"/>
  <c r="N62" i="13"/>
  <c r="L68" i="13"/>
  <c r="N18" i="13"/>
  <c r="N31" i="13"/>
  <c r="L13" i="13"/>
  <c r="L55" i="13"/>
  <c r="N29" i="13"/>
  <c r="L114" i="13"/>
  <c r="L22" i="13"/>
  <c r="L108" i="13"/>
  <c r="L11" i="13"/>
  <c r="N49" i="13"/>
  <c r="L113" i="13"/>
  <c r="L10" i="13"/>
  <c r="I10" i="13"/>
  <c r="N10" i="13" s="1"/>
  <c r="L109" i="13"/>
  <c r="L17" i="13"/>
  <c r="N16" i="13"/>
  <c r="L40" i="13"/>
  <c r="L85" i="13"/>
  <c r="N85" i="13"/>
  <c r="L89" i="13"/>
  <c r="N89" i="13"/>
  <c r="L21" i="13"/>
  <c r="L83" i="13"/>
  <c r="L96" i="13"/>
  <c r="N96" i="13"/>
  <c r="N91" i="13"/>
  <c r="L91" i="13"/>
  <c r="L27" i="13"/>
  <c r="N27" i="13"/>
  <c r="L33" i="13"/>
  <c r="L37" i="13"/>
  <c r="N37" i="13"/>
  <c r="L20" i="13"/>
  <c r="L39" i="13"/>
  <c r="L12" i="13"/>
  <c r="N12" i="13"/>
  <c r="N106" i="13"/>
  <c r="L106" i="13"/>
  <c r="L70" i="13"/>
  <c r="N70" i="13"/>
  <c r="L73" i="13"/>
  <c r="L43" i="13"/>
  <c r="L95" i="13"/>
  <c r="N95" i="13"/>
  <c r="N58" i="13"/>
  <c r="L58" i="13"/>
  <c r="L101" i="13"/>
  <c r="N101" i="13"/>
  <c r="N15" i="13"/>
  <c r="L15" i="13"/>
  <c r="L97" i="13"/>
  <c r="L57" i="13"/>
  <c r="N57" i="13"/>
  <c r="L71" i="13"/>
  <c r="N71" i="13"/>
  <c r="L107" i="13"/>
  <c r="N107" i="13"/>
  <c r="N102" i="13"/>
  <c r="L102" i="13"/>
  <c r="N65" i="13"/>
  <c r="L65" i="13"/>
  <c r="L80" i="13"/>
  <c r="N105" i="13"/>
  <c r="L105" i="13"/>
  <c r="N32" i="13"/>
  <c r="L32" i="13"/>
  <c r="L87" i="13"/>
  <c r="L45" i="13"/>
  <c r="L100" i="13"/>
  <c r="N100" i="13"/>
  <c r="L28" i="13"/>
  <c r="N28" i="13"/>
  <c r="L41" i="13"/>
  <c r="N41" i="13"/>
  <c r="L52" i="13"/>
  <c r="L94" i="13"/>
  <c r="N94" i="13"/>
  <c r="N61" i="13"/>
  <c r="L61" i="13"/>
  <c r="N48" i="13"/>
  <c r="L48" i="13"/>
  <c r="L92" i="13"/>
  <c r="N92" i="13"/>
  <c r="L24" i="13"/>
  <c r="N24" i="13"/>
  <c r="N82" i="13"/>
  <c r="L82" i="13"/>
  <c r="N51" i="13"/>
  <c r="L51" i="13"/>
  <c r="L72" i="13"/>
  <c r="N72" i="13"/>
  <c r="L99" i="13"/>
  <c r="N99" i="13"/>
  <c r="N69" i="13"/>
  <c r="L69" i="13"/>
  <c r="L111" i="13"/>
  <c r="N111" i="13"/>
  <c r="L77" i="13"/>
  <c r="L86" i="13"/>
  <c r="N86" i="13"/>
  <c r="L103" i="13"/>
  <c r="N103" i="13"/>
  <c r="L14" i="13"/>
  <c r="N14" i="13"/>
  <c r="L50" i="13"/>
  <c r="N50" i="13"/>
  <c r="L75" i="13"/>
  <c r="N67" i="13"/>
  <c r="L67" i="13"/>
  <c r="L110" i="13"/>
  <c r="N110" i="13"/>
  <c r="L59" i="13"/>
  <c r="N59" i="13"/>
  <c r="L36" i="13"/>
  <c r="N36" i="13"/>
  <c r="L79" i="13"/>
  <c r="N79" i="13"/>
  <c r="N25" i="13"/>
  <c r="L25" i="13"/>
  <c r="L104" i="13"/>
  <c r="N104" i="13"/>
  <c r="L66" i="13"/>
  <c r="N66" i="13"/>
  <c r="N64" i="13"/>
  <c r="L64" i="13"/>
  <c r="L19" i="13"/>
  <c r="N84" i="13"/>
  <c r="L84" i="13"/>
  <c r="N5" i="13" l="1"/>
  <c r="F68" i="3" s="1"/>
  <c r="E22" i="14" s="1"/>
  <c r="O2" i="13"/>
  <c r="F74" i="1" s="1"/>
  <c r="J10" i="13"/>
  <c r="E38" i="14" l="1"/>
  <c r="E45" i="14" s="1"/>
  <c r="F38" i="14"/>
  <c r="F45" i="14" s="1"/>
  <c r="G38" i="14"/>
  <c r="G45" i="14" s="1"/>
  <c r="H38" i="14"/>
  <c r="H45" i="14" s="1"/>
  <c r="I38" i="14"/>
  <c r="I45" i="14" s="1"/>
  <c r="J38" i="14"/>
  <c r="J45" i="14" s="1"/>
  <c r="K38" i="14"/>
  <c r="K45" i="14" s="1"/>
  <c r="L38" i="14"/>
  <c r="L45" i="14" s="1"/>
  <c r="M38" i="14"/>
  <c r="M45" i="14" s="1"/>
  <c r="N38" i="14"/>
  <c r="N45" i="14" s="1"/>
  <c r="O38" i="14"/>
  <c r="O45" i="14" s="1"/>
  <c r="P38" i="14"/>
  <c r="P45" i="14" s="1"/>
  <c r="Q38" i="14"/>
  <c r="Q45" i="14" s="1"/>
  <c r="R38" i="14"/>
  <c r="R45" i="14" s="1"/>
  <c r="S38" i="14"/>
  <c r="S45" i="14" s="1"/>
  <c r="T38" i="14"/>
  <c r="T45" i="14" s="1"/>
  <c r="U38" i="14"/>
  <c r="U45" i="14" s="1"/>
  <c r="V38" i="14"/>
  <c r="V45" i="14" s="1"/>
  <c r="W38" i="14"/>
  <c r="W45" i="14" s="1"/>
  <c r="X38" i="14"/>
  <c r="X45" i="14" s="1"/>
  <c r="F70" i="3"/>
  <c r="H8" i="7" s="1"/>
  <c r="J11" i="13"/>
  <c r="K10" i="13"/>
  <c r="H10" i="7" l="1"/>
  <c r="H12" i="7" s="1"/>
  <c r="H13" i="7" s="1"/>
  <c r="H15" i="7" s="1"/>
  <c r="V48" i="14"/>
  <c r="V47" i="14"/>
  <c r="R48" i="14"/>
  <c r="R47" i="14"/>
  <c r="N48" i="14"/>
  <c r="N47" i="14"/>
  <c r="J48" i="14"/>
  <c r="J47" i="14"/>
  <c r="F48" i="14"/>
  <c r="F47" i="14"/>
  <c r="U47" i="14"/>
  <c r="U48" i="14"/>
  <c r="Q48" i="14"/>
  <c r="Q47" i="14"/>
  <c r="M47" i="14"/>
  <c r="M48" i="14"/>
  <c r="I47" i="14"/>
  <c r="I48" i="14"/>
  <c r="E48" i="14"/>
  <c r="E47" i="14"/>
  <c r="X47" i="14"/>
  <c r="X48" i="14"/>
  <c r="T48" i="14"/>
  <c r="T47" i="14"/>
  <c r="P47" i="14"/>
  <c r="P48" i="14"/>
  <c r="L48" i="14"/>
  <c r="L47" i="14"/>
  <c r="H47" i="14"/>
  <c r="H48" i="14"/>
  <c r="W47" i="14"/>
  <c r="W48" i="14"/>
  <c r="S48" i="14"/>
  <c r="S47" i="14"/>
  <c r="O48" i="14"/>
  <c r="O47" i="14"/>
  <c r="K48" i="14"/>
  <c r="K47" i="14"/>
  <c r="G47" i="14"/>
  <c r="G48" i="14"/>
  <c r="J12" i="13"/>
  <c r="K11" i="13"/>
  <c r="H11" i="7" l="1"/>
  <c r="H14" i="7" s="1"/>
  <c r="H19" i="7" s="1"/>
  <c r="H18" i="7" s="1"/>
  <c r="H20" i="7" s="1"/>
  <c r="H22" i="7" s="1"/>
  <c r="G50" i="14"/>
  <c r="G51" i="14" s="1"/>
  <c r="G52" i="14" s="1"/>
  <c r="G54" i="14" s="1"/>
  <c r="W50" i="14"/>
  <c r="W51" i="14" s="1"/>
  <c r="W52" i="14" s="1"/>
  <c r="W54" i="14" s="1"/>
  <c r="M50" i="14"/>
  <c r="M51" i="14" s="1"/>
  <c r="M52" i="14" s="1"/>
  <c r="M54" i="14" s="1"/>
  <c r="U50" i="14"/>
  <c r="U51" i="14" s="1"/>
  <c r="U52" i="14" s="1"/>
  <c r="U54" i="14" s="1"/>
  <c r="K50" i="14"/>
  <c r="K51" i="14" s="1"/>
  <c r="K52" i="14" s="1"/>
  <c r="K54" i="14" s="1"/>
  <c r="S50" i="14"/>
  <c r="S51" i="14" s="1"/>
  <c r="S52" i="14" s="1"/>
  <c r="S54" i="14" s="1"/>
  <c r="H50" i="14"/>
  <c r="H51" i="14" s="1"/>
  <c r="H52" i="14" s="1"/>
  <c r="H54" i="14" s="1"/>
  <c r="Q50" i="14"/>
  <c r="Q51" i="14" s="1"/>
  <c r="Q52" i="14" s="1"/>
  <c r="Q54" i="14" s="1"/>
  <c r="J50" i="14"/>
  <c r="J51" i="14" s="1"/>
  <c r="J52" i="14" s="1"/>
  <c r="J54" i="14" s="1"/>
  <c r="R50" i="14"/>
  <c r="R51" i="14" s="1"/>
  <c r="R52" i="14" s="1"/>
  <c r="R54" i="14" s="1"/>
  <c r="P50" i="14"/>
  <c r="P51" i="14" s="1"/>
  <c r="P52" i="14" s="1"/>
  <c r="P54" i="14" s="1"/>
  <c r="X50" i="14"/>
  <c r="X51" i="14" s="1"/>
  <c r="X52" i="14" s="1"/>
  <c r="X54" i="14" s="1"/>
  <c r="I50" i="14"/>
  <c r="I51" i="14" s="1"/>
  <c r="I52" i="14" s="1"/>
  <c r="I54" i="14" s="1"/>
  <c r="O50" i="14"/>
  <c r="O51" i="14" s="1"/>
  <c r="O52" i="14" s="1"/>
  <c r="O54" i="14" s="1"/>
  <c r="L50" i="14"/>
  <c r="L51" i="14" s="1"/>
  <c r="L52" i="14" s="1"/>
  <c r="L54" i="14" s="1"/>
  <c r="T50" i="14"/>
  <c r="T51" i="14" s="1"/>
  <c r="T52" i="14" s="1"/>
  <c r="T54" i="14" s="1"/>
  <c r="E50" i="14"/>
  <c r="E51" i="14" s="1"/>
  <c r="E52" i="14" s="1"/>
  <c r="E54" i="14" s="1"/>
  <c r="E55" i="14" s="1"/>
  <c r="E58" i="14" s="1"/>
  <c r="F50" i="14"/>
  <c r="F51" i="14" s="1"/>
  <c r="F52" i="14" s="1"/>
  <c r="F54" i="14" s="1"/>
  <c r="N50" i="14"/>
  <c r="N51" i="14" s="1"/>
  <c r="N52" i="14" s="1"/>
  <c r="N54" i="14" s="1"/>
  <c r="V50" i="14"/>
  <c r="V51" i="14" s="1"/>
  <c r="V52" i="14" s="1"/>
  <c r="V54" i="14" s="1"/>
  <c r="J13" i="13"/>
  <c r="K12" i="13"/>
  <c r="R56" i="14" l="1"/>
  <c r="R59" i="14" s="1"/>
  <c r="H28" i="7"/>
  <c r="F71" i="3" s="1"/>
  <c r="F72" i="3" s="1"/>
  <c r="H55" i="14"/>
  <c r="H58" i="14" s="1"/>
  <c r="S55" i="14"/>
  <c r="S58" i="14" s="1"/>
  <c r="V55" i="14"/>
  <c r="V58" i="14" s="1"/>
  <c r="Q55" i="14"/>
  <c r="Q58" i="14" s="1"/>
  <c r="R55" i="14"/>
  <c r="R58" i="14" s="1"/>
  <c r="S56" i="14"/>
  <c r="S59" i="14" s="1"/>
  <c r="Q56" i="14"/>
  <c r="Q59" i="14" s="1"/>
  <c r="J56" i="14"/>
  <c r="J59" i="14" s="1"/>
  <c r="K55" i="14"/>
  <c r="K58" i="14" s="1"/>
  <c r="G56" i="14"/>
  <c r="G59" i="14" s="1"/>
  <c r="K56" i="14"/>
  <c r="K59" i="14" s="1"/>
  <c r="M55" i="14"/>
  <c r="M58" i="14" s="1"/>
  <c r="O55" i="14"/>
  <c r="O58" i="14" s="1"/>
  <c r="U56" i="14"/>
  <c r="U59" i="14" s="1"/>
  <c r="F55" i="14"/>
  <c r="F58" i="14" s="1"/>
  <c r="F56" i="14"/>
  <c r="F59" i="14" s="1"/>
  <c r="H56" i="14"/>
  <c r="H59" i="14" s="1"/>
  <c r="I55" i="14"/>
  <c r="I58" i="14" s="1"/>
  <c r="W55" i="14"/>
  <c r="W58" i="14" s="1"/>
  <c r="G55" i="14"/>
  <c r="G58" i="14" s="1"/>
  <c r="T55" i="14"/>
  <c r="T58" i="14" s="1"/>
  <c r="T56" i="14"/>
  <c r="T59" i="14" s="1"/>
  <c r="W56" i="14"/>
  <c r="W59" i="14" s="1"/>
  <c r="X56" i="14"/>
  <c r="X59" i="14" s="1"/>
  <c r="X55" i="14"/>
  <c r="X58" i="14" s="1"/>
  <c r="J55" i="14"/>
  <c r="J58" i="14" s="1"/>
  <c r="V56" i="14"/>
  <c r="V59" i="14" s="1"/>
  <c r="N55" i="14"/>
  <c r="N58" i="14" s="1"/>
  <c r="N56" i="14"/>
  <c r="N59" i="14" s="1"/>
  <c r="L55" i="14"/>
  <c r="L58" i="14" s="1"/>
  <c r="L56" i="14"/>
  <c r="L59" i="14" s="1"/>
  <c r="O56" i="14"/>
  <c r="O59" i="14" s="1"/>
  <c r="P55" i="14"/>
  <c r="P58" i="14" s="1"/>
  <c r="P56" i="14"/>
  <c r="P59" i="14" s="1"/>
  <c r="I56" i="14"/>
  <c r="I59" i="14" s="1"/>
  <c r="U55" i="14"/>
  <c r="U58" i="14" s="1"/>
  <c r="M56" i="14"/>
  <c r="M59" i="14" s="1"/>
  <c r="J14" i="13"/>
  <c r="K13" i="13"/>
  <c r="F87" i="1" l="1"/>
  <c r="O207" i="3"/>
  <c r="O208" i="3" s="1"/>
  <c r="O198" i="3"/>
  <c r="O202" i="3"/>
  <c r="I29" i="14"/>
  <c r="J29" i="14" s="1"/>
  <c r="I28" i="14"/>
  <c r="J28" i="14" s="1"/>
  <c r="J15" i="13"/>
  <c r="K14" i="13"/>
  <c r="O201" i="3" l="1"/>
  <c r="O205" i="3"/>
  <c r="O199" i="3"/>
  <c r="O200" i="3"/>
  <c r="O204" i="3"/>
  <c r="O209" i="3"/>
  <c r="O210" i="3"/>
  <c r="O206" i="3"/>
  <c r="O203" i="3"/>
  <c r="O211" i="3"/>
  <c r="F81" i="1"/>
  <c r="F82" i="1"/>
  <c r="J16" i="13"/>
  <c r="K15" i="13"/>
  <c r="J17" i="13" l="1"/>
  <c r="K16" i="13"/>
  <c r="J18" i="13" l="1"/>
  <c r="K17" i="13"/>
  <c r="J19" i="13" l="1"/>
  <c r="K18" i="13"/>
  <c r="J20" i="13" l="1"/>
  <c r="K19" i="13"/>
  <c r="J21" i="13" l="1"/>
  <c r="K20" i="13"/>
  <c r="J22" i="13" l="1"/>
  <c r="K21" i="13"/>
  <c r="J23" i="13" l="1"/>
  <c r="K22" i="13"/>
  <c r="J24" i="13" l="1"/>
  <c r="K23" i="13"/>
  <c r="J25" i="13" l="1"/>
  <c r="K24" i="13"/>
  <c r="J26" i="13" l="1"/>
  <c r="K25" i="13"/>
  <c r="J27" i="13" l="1"/>
  <c r="K26" i="13"/>
  <c r="J28" i="13" l="1"/>
  <c r="K27" i="13"/>
  <c r="J29" i="13" l="1"/>
  <c r="K28" i="13"/>
  <c r="J30" i="13" l="1"/>
  <c r="K29" i="13"/>
  <c r="J31" i="13" l="1"/>
  <c r="K30" i="13"/>
  <c r="J32" i="13" l="1"/>
  <c r="K31" i="13"/>
  <c r="J33" i="13" l="1"/>
  <c r="K32" i="13"/>
  <c r="J34" i="13" l="1"/>
  <c r="K33" i="13"/>
  <c r="J35" i="13" l="1"/>
  <c r="K34" i="13"/>
  <c r="J36" i="13" l="1"/>
  <c r="K35" i="13"/>
  <c r="J37" i="13" l="1"/>
  <c r="K36" i="13"/>
  <c r="J38" i="13" l="1"/>
  <c r="K37" i="13"/>
  <c r="J39" i="13" l="1"/>
  <c r="K38" i="13"/>
  <c r="J40" i="13" l="1"/>
  <c r="K39" i="13"/>
  <c r="J41" i="13" l="1"/>
  <c r="K40" i="13"/>
  <c r="J42" i="13" l="1"/>
  <c r="K41" i="13"/>
  <c r="J43" i="13" l="1"/>
  <c r="K42" i="13"/>
  <c r="J44" i="13" l="1"/>
  <c r="K43" i="13"/>
  <c r="J45" i="13" l="1"/>
  <c r="K44" i="13"/>
  <c r="J46" i="13" l="1"/>
  <c r="K45" i="13"/>
  <c r="J47" i="13" l="1"/>
  <c r="K46" i="13"/>
  <c r="J48" i="13" l="1"/>
  <c r="K47" i="13"/>
  <c r="J49" i="13" l="1"/>
  <c r="K48" i="13"/>
  <c r="J50" i="13" l="1"/>
  <c r="K49" i="13"/>
  <c r="J51" i="13" l="1"/>
  <c r="K50" i="13"/>
  <c r="J52" i="13" l="1"/>
  <c r="K51" i="13"/>
  <c r="J53" i="13" l="1"/>
  <c r="K52" i="13"/>
  <c r="J54" i="13" l="1"/>
  <c r="K53" i="13"/>
  <c r="J55" i="13" l="1"/>
  <c r="K54" i="13"/>
  <c r="J56" i="13" l="1"/>
  <c r="K55" i="13"/>
  <c r="J57" i="13" l="1"/>
  <c r="K56" i="13"/>
  <c r="J58" i="13" l="1"/>
  <c r="K57" i="13"/>
  <c r="J59" i="13" l="1"/>
  <c r="K58" i="13"/>
  <c r="J60" i="13" l="1"/>
  <c r="K59" i="13"/>
  <c r="J61" i="13" l="1"/>
  <c r="K60" i="13"/>
  <c r="J62" i="13" l="1"/>
  <c r="K61" i="13"/>
  <c r="J63" i="13" l="1"/>
  <c r="K62" i="13"/>
  <c r="J64" i="13" l="1"/>
  <c r="K63" i="13"/>
  <c r="J65" i="13" l="1"/>
  <c r="K64" i="13"/>
  <c r="J66" i="13" l="1"/>
  <c r="K65" i="13"/>
  <c r="J67" i="13" l="1"/>
  <c r="K66" i="13"/>
  <c r="J68" i="13" l="1"/>
  <c r="K67" i="13"/>
  <c r="J69" i="13" l="1"/>
  <c r="K68" i="13"/>
  <c r="J70" i="13" l="1"/>
  <c r="K69" i="13"/>
  <c r="J71" i="13" l="1"/>
  <c r="K70" i="13"/>
  <c r="J72" i="13" l="1"/>
  <c r="K71" i="13"/>
  <c r="J73" i="13" l="1"/>
  <c r="K72" i="13"/>
  <c r="J74" i="13" l="1"/>
  <c r="K73" i="13"/>
  <c r="J75" i="13" l="1"/>
  <c r="K74" i="13"/>
  <c r="J76" i="13" l="1"/>
  <c r="K75" i="13"/>
  <c r="J77" i="13" l="1"/>
  <c r="K76" i="13"/>
  <c r="J78" i="13" l="1"/>
  <c r="K77" i="13"/>
  <c r="J79" i="13" l="1"/>
  <c r="K78" i="13"/>
  <c r="J80" i="13" l="1"/>
  <c r="K79" i="13"/>
  <c r="J81" i="13" l="1"/>
  <c r="K80" i="13"/>
  <c r="J82" i="13" l="1"/>
  <c r="K81" i="13"/>
  <c r="J83" i="13" l="1"/>
  <c r="K82" i="13"/>
  <c r="J84" i="13" l="1"/>
  <c r="K83" i="13"/>
  <c r="J85" i="13" l="1"/>
  <c r="K84" i="13"/>
  <c r="J86" i="13" l="1"/>
  <c r="K85" i="13"/>
  <c r="J87" i="13" l="1"/>
  <c r="K86" i="13"/>
  <c r="J88" i="13" l="1"/>
  <c r="K87" i="13"/>
  <c r="J89" i="13" l="1"/>
  <c r="K88" i="13"/>
  <c r="J90" i="13" l="1"/>
  <c r="K89" i="13"/>
  <c r="J91" i="13" l="1"/>
  <c r="K90" i="13"/>
  <c r="J92" i="13" l="1"/>
  <c r="K91" i="13"/>
  <c r="J93" i="13" l="1"/>
  <c r="K92" i="13"/>
  <c r="J94" i="13" l="1"/>
  <c r="K93" i="13"/>
  <c r="J95" i="13" l="1"/>
  <c r="K94" i="13"/>
  <c r="J96" i="13" l="1"/>
  <c r="K95" i="13"/>
  <c r="J97" i="13" l="1"/>
  <c r="K96" i="13"/>
  <c r="J98" i="13" l="1"/>
  <c r="K97" i="13"/>
  <c r="J99" i="13" l="1"/>
  <c r="K98" i="13"/>
  <c r="J100" i="13" l="1"/>
  <c r="K99" i="13"/>
  <c r="J101" i="13" l="1"/>
  <c r="K100" i="13"/>
  <c r="J102" i="13" l="1"/>
  <c r="K101" i="13"/>
  <c r="J103" i="13" l="1"/>
  <c r="K102" i="13"/>
  <c r="J104" i="13" l="1"/>
  <c r="K103" i="13"/>
  <c r="J105" i="13" l="1"/>
  <c r="K104" i="13"/>
  <c r="J106" i="13" l="1"/>
  <c r="K105" i="13"/>
  <c r="J107" i="13" l="1"/>
  <c r="K106" i="13"/>
  <c r="J108" i="13" l="1"/>
  <c r="K107" i="13"/>
  <c r="J109" i="13" l="1"/>
  <c r="K108" i="13"/>
  <c r="J110" i="13" l="1"/>
  <c r="K109" i="13"/>
  <c r="J111" i="13" l="1"/>
  <c r="K110" i="13"/>
  <c r="J112" i="13" l="1"/>
  <c r="K111" i="13"/>
  <c r="J113" i="13" l="1"/>
  <c r="K112" i="13"/>
  <c r="J114" i="13" l="1"/>
  <c r="K113" i="13"/>
  <c r="M2" i="13" l="1"/>
  <c r="K131" i="1" s="1"/>
  <c r="K114" i="13"/>
  <c r="K115" i="13" s="1"/>
  <c r="F73" i="1" l="1"/>
  <c r="F53" i="3"/>
  <c r="F55" i="3" s="1"/>
  <c r="F75" i="1" l="1"/>
  <c r="F56" i="3"/>
  <c r="F7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dmorgan</author>
    <author>bdemsc</author>
    <author>a0272042</author>
    <author>Alex Triano</author>
    <author>TI User</author>
  </authors>
  <commentList>
    <comment ref="F27" authorId="0" shapeId="0" xr:uid="{00000000-0006-0000-0100-000001000000}">
      <text>
        <r>
          <rPr>
            <b/>
            <sz val="8"/>
            <color indexed="81"/>
            <rFont val="Tahoma"/>
            <family val="2"/>
          </rPr>
          <t>The minimum system voltage must be no less than 2.9V.</t>
        </r>
      </text>
    </comment>
    <comment ref="F29" authorId="0" shapeId="0" xr:uid="{00000000-0006-0000-0100-000002000000}">
      <text>
        <r>
          <rPr>
            <b/>
            <sz val="8"/>
            <color indexed="81"/>
            <rFont val="Tahoma"/>
            <family val="2"/>
          </rPr>
          <t>The maximum system voltage must be no greater than 17V.</t>
        </r>
      </text>
    </comment>
    <comment ref="F31" authorId="0" shapeId="0" xr:uid="{00000000-0006-0000-0100-000003000000}">
      <text>
        <r>
          <rPr>
            <b/>
            <sz val="8"/>
            <color indexed="81"/>
            <rFont val="Tahoma"/>
            <family val="2"/>
          </rPr>
          <t xml:space="preserve">This is the capacitance at Vout. This should not be zero. A minimum of 10 </t>
        </r>
        <r>
          <rPr>
            <b/>
            <sz val="8"/>
            <color indexed="81"/>
            <rFont val="Arial"/>
            <family val="2"/>
          </rPr>
          <t>μ</t>
        </r>
        <r>
          <rPr>
            <b/>
            <sz val="8"/>
            <color indexed="81"/>
            <rFont val="Tahoma"/>
            <family val="2"/>
          </rPr>
          <t>F is recommended.</t>
        </r>
      </text>
    </comment>
    <comment ref="F37" authorId="1" shapeId="0" xr:uid="{00000000-0006-0000-0100-000004000000}">
      <text>
        <r>
          <rPr>
            <b/>
            <sz val="8"/>
            <color indexed="81"/>
            <rFont val="Tahoma"/>
            <family val="2"/>
          </rPr>
          <t>Select either 25mV or 46mV current limit.
25mV will result in less power loss in the Rs resistor.</t>
        </r>
      </text>
    </comment>
    <comment ref="F39" authorId="2" shapeId="0" xr:uid="{00000000-0006-0000-0100-000005000000}">
      <text>
        <r>
          <rPr>
            <b/>
            <sz val="9"/>
            <color indexed="81"/>
            <rFont val="Tahoma"/>
            <family val="2"/>
          </rPr>
          <t xml:space="preserve">Using an External Resistor allows the user to fine tune the current limit for a given standard resistor. 
It will add error to the power limit, current limit, and telemetry (1% resistors) and should be avoided if possible. </t>
        </r>
        <r>
          <rPr>
            <sz val="9"/>
            <color indexed="81"/>
            <rFont val="Tahoma"/>
            <family val="2"/>
          </rPr>
          <t xml:space="preserve">
</t>
        </r>
      </text>
    </comment>
    <comment ref="F40" authorId="0" shapeId="0" xr:uid="{00000000-0006-0000-0100-000006000000}">
      <text>
        <r>
          <rPr>
            <b/>
            <sz val="8"/>
            <color indexed="81"/>
            <rFont val="Tahoma"/>
            <family val="2"/>
          </rPr>
          <t xml:space="preserve">When using an external resistor divider, Rs must be larger than the targeted Rs,eff.  Pick the next larger available Rs.  
When not using an external resistor divider, pick the next smallest available sense resistor. </t>
        </r>
      </text>
    </comment>
    <comment ref="F41" authorId="2" shapeId="0" xr:uid="{00000000-0006-0000-0100-000007000000}">
      <text>
        <r>
          <rPr>
            <b/>
            <sz val="9"/>
            <color indexed="81"/>
            <rFont val="Tahoma"/>
            <family val="2"/>
          </rPr>
          <t xml:space="preserve">Cell turns Red if 
When using an external resistor divider, Rs must be larger than the targeted Rs,eff.  Pick the next larger available Rs.  
</t>
        </r>
        <r>
          <rPr>
            <sz val="9"/>
            <color indexed="81"/>
            <rFont val="Tahoma"/>
            <family val="2"/>
          </rPr>
          <t xml:space="preserve">
</t>
        </r>
      </text>
    </comment>
    <comment ref="F46" authorId="2" shapeId="0" xr:uid="{00000000-0006-0000-0100-000008000000}">
      <text>
        <r>
          <rPr>
            <b/>
            <sz val="9"/>
            <color indexed="81"/>
            <rFont val="Tahoma"/>
            <family val="2"/>
          </rPr>
          <t xml:space="preserve">Ensure that the minimum current limit is above maximum load. </t>
        </r>
      </text>
    </comment>
    <comment ref="F47" authorId="2" shapeId="0" xr:uid="{00000000-0006-0000-0100-000009000000}">
      <text>
        <r>
          <rPr>
            <b/>
            <sz val="9"/>
            <color indexed="81"/>
            <rFont val="Tahoma"/>
            <family val="2"/>
          </rPr>
          <t xml:space="preserve">Ensure that the minimum current limit is above maximum load. </t>
        </r>
        <r>
          <rPr>
            <sz val="9"/>
            <color indexed="81"/>
            <rFont val="Tahoma"/>
            <family val="2"/>
          </rPr>
          <t xml:space="preserve">
</t>
        </r>
      </text>
    </comment>
    <comment ref="F48" authorId="2" shapeId="0" xr:uid="{00000000-0006-0000-0100-00000A000000}">
      <text>
        <r>
          <rPr>
            <b/>
            <sz val="9"/>
            <color indexed="81"/>
            <rFont val="Tahoma"/>
            <family val="2"/>
          </rPr>
          <t xml:space="preserve">Ensure that the minimum current limit is above maximum load. </t>
        </r>
        <r>
          <rPr>
            <sz val="9"/>
            <color indexed="81"/>
            <rFont val="Tahoma"/>
            <family val="2"/>
          </rPr>
          <t xml:space="preserve">
</t>
        </r>
      </text>
    </comment>
    <comment ref="F49" authorId="0" shapeId="0" xr:uid="{00000000-0006-0000-0100-00000B000000}">
      <text>
        <r>
          <rPr>
            <b/>
            <sz val="8"/>
            <color indexed="81"/>
            <rFont val="Tahoma"/>
            <family val="2"/>
          </rPr>
          <t>The power dissipation is calculated using the maximum normal load current.
Ensure the selected resistor is rated for this power dissipation.</t>
        </r>
      </text>
    </comment>
    <comment ref="F53" authorId="3" shapeId="0" xr:uid="{00000000-0006-0000-0100-00000C000000}">
      <text>
        <r>
          <rPr>
            <b/>
            <sz val="9"/>
            <color indexed="81"/>
            <rFont val="Tahoma"/>
            <family val="2"/>
          </rPr>
          <t xml:space="preserve">Note that this parameter is heavily dependent on the board layout and amount of copper connected to the Drain of the FET. 
The TI EVM is ~30C / W number and is a good starting point. It's recommended to measure this value again once the boards are built and plugging this back into the calculator. 
</t>
        </r>
      </text>
    </comment>
    <comment ref="F55" authorId="2" shapeId="0" xr:uid="{00000000-0006-0000-0100-00000D000000}">
      <text>
        <r>
          <rPr>
            <b/>
            <sz val="9"/>
            <color indexed="81"/>
            <rFont val="Tahoma"/>
            <family val="2"/>
          </rPr>
          <t>This number may need to be adjusted iteratively based on the result of cell C44.</t>
        </r>
        <r>
          <rPr>
            <sz val="9"/>
            <color indexed="81"/>
            <rFont val="Tahoma"/>
            <family val="2"/>
          </rPr>
          <t xml:space="preserve">
</t>
        </r>
      </text>
    </comment>
    <comment ref="F63" authorId="2" shapeId="0" xr:uid="{00000000-0006-0000-0100-00000E000000}">
      <text>
        <r>
          <rPr>
            <sz val="9"/>
            <color indexed="81"/>
            <rFont val="Tahoma"/>
            <family val="2"/>
          </rPr>
          <t xml:space="preserve">If FET temperature is too high, increase the # of FETs, reduce the load, or reduce the RθJA by adding more heat sinking to MOSFETs. 
</t>
        </r>
      </text>
    </comment>
    <comment ref="F65" authorId="2" shapeId="0" xr:uid="{00000000-0006-0000-0100-00000F000000}">
      <text>
        <r>
          <rPr>
            <sz val="9"/>
            <color indexed="81"/>
            <rFont val="Tahoma"/>
            <family val="2"/>
          </rPr>
          <t xml:space="preserve">Usually this can be set to PLIM,MIN.  If a load is present during start-up a higher Plim, may be preferred. </t>
        </r>
        <r>
          <rPr>
            <b/>
            <sz val="9"/>
            <color indexed="81"/>
            <rFont val="Tahoma"/>
            <family val="2"/>
          </rPr>
          <t xml:space="preserve">
</t>
        </r>
      </text>
    </comment>
    <comment ref="F68" authorId="2" shapeId="0" xr:uid="{00000000-0006-0000-0100-000010000000}">
      <text>
        <r>
          <rPr>
            <sz val="9"/>
            <color indexed="81"/>
            <rFont val="Tahoma"/>
            <family val="2"/>
          </rPr>
          <t xml:space="preserve">Cell turns Red if the actual power limit is below Minimum Power Limit (cell F46)
</t>
        </r>
      </text>
    </comment>
    <comment ref="I68" authorId="4" shapeId="0" xr:uid="{00000000-0006-0000-0100-000011000000}">
      <text>
        <r>
          <rPr>
            <sz val="8"/>
            <color indexed="81"/>
            <rFont val="Tahoma"/>
            <family val="2"/>
          </rPr>
          <t xml:space="preserve">3 Parameters:
Step 1: Max Ambrient Operating Temperature 
Step 3: Estimated MOSFET RQJA
Step 3: FET Power Dissipation at full load 
**This includes air flow
</t>
        </r>
      </text>
    </comment>
    <comment ref="F70" authorId="1" shapeId="0" xr:uid="{00000000-0006-0000-0100-000012000000}">
      <text>
        <r>
          <rPr>
            <b/>
            <sz val="8"/>
            <color indexed="81"/>
            <rFont val="Tahoma"/>
            <family val="2"/>
          </rPr>
          <t>Select if the load will draw current during start-up. 
For no Load, choose constant current and set to zero</t>
        </r>
      </text>
    </comment>
    <comment ref="F72" authorId="1" shapeId="0" xr:uid="{00000000-0006-0000-0100-000013000000}">
      <text>
        <r>
          <rPr>
            <b/>
            <sz val="8"/>
            <color indexed="81"/>
            <rFont val="Tahoma"/>
            <family val="2"/>
          </rPr>
          <t>Yes or No.  Default is No.  However, DV/DT control can be useful in high current applications or applications were COUT is large.
If SOA margin is poor with a PLIM start-up, switching to a soft start can alleviate this problem.</t>
        </r>
      </text>
    </comment>
    <comment ref="F74" authorId="2" shapeId="0" xr:uid="{00000000-0006-0000-0100-000014000000}">
      <text>
        <r>
          <rPr>
            <b/>
            <sz val="9"/>
            <color indexed="81"/>
            <rFont val="Tahoma"/>
            <family val="2"/>
          </rPr>
          <t xml:space="preserve">If IFET - ILOAD margin is too low, there may be start-up issues due to variation in power limit or load profile.  A margin &gt; 25% is recommended. 
If margin is &lt; 25%, the power limit should be increased or the load should be kept completely OFF during start-up. </t>
        </r>
        <r>
          <rPr>
            <sz val="9"/>
            <color indexed="81"/>
            <rFont val="Tahoma"/>
            <family val="2"/>
          </rPr>
          <t xml:space="preserve">
</t>
        </r>
      </text>
    </comment>
    <comment ref="F75" authorId="0" shapeId="0" xr:uid="{00000000-0006-0000-0100-000015000000}">
      <text>
        <r>
          <rPr>
            <b/>
            <sz val="8"/>
            <color indexed="81"/>
            <rFont val="Tahoma"/>
            <family val="2"/>
          </rPr>
          <t xml:space="preserve">TO ensure start-up the faul time out must be longer than the start-up time. It is recommended to choose a fault timer that is larger than the typical start-time to account for variations in Plim, timer current, and timer capacitance. </t>
        </r>
      </text>
    </comment>
    <comment ref="F77" authorId="2" shapeId="0" xr:uid="{00000000-0006-0000-0100-000016000000}">
      <text>
        <r>
          <rPr>
            <b/>
            <sz val="9"/>
            <color indexed="81"/>
            <rFont val="Tahoma"/>
            <family val="2"/>
          </rPr>
          <t>Pick closest capacitor that is larger than the Target capacitance</t>
        </r>
        <r>
          <rPr>
            <sz val="9"/>
            <color indexed="81"/>
            <rFont val="Tahoma"/>
            <family val="2"/>
          </rPr>
          <t xml:space="preserve">
</t>
        </r>
      </text>
    </comment>
    <comment ref="F79" authorId="2" shapeId="0" xr:uid="{00000000-0006-0000-0100-000017000000}">
      <text>
        <r>
          <rPr>
            <sz val="9"/>
            <color indexed="81"/>
            <rFont val="Tahoma"/>
            <family val="2"/>
          </rPr>
          <t>A ratio over 1.1 is required and over 1.3 is preferred.  This will account for variation in Power limit and timer
If the margin is poor with a PLIM based start-up,  reduce timer, reduce power limit, use more FETs in parallel or switch to soft start (cell F55)</t>
        </r>
      </text>
    </comment>
    <comment ref="F80" authorId="1" shapeId="0" xr:uid="{00000000-0006-0000-0100-000018000000}">
      <text>
        <r>
          <rPr>
            <b/>
            <sz val="8"/>
            <color indexed="81"/>
            <rFont val="Tahoma"/>
            <family val="2"/>
          </rPr>
          <t xml:space="preserve">This is used to determine the maximum FET case temperature before start-up. 
A "yes" here means that a user may run a board at full current, then unplug the board and plug it back in. In that the FET is hot before hot-plug. 
If this is a "no".  FET temperature just equals the ambient temperature. </t>
        </r>
      </text>
    </comment>
    <comment ref="F81" authorId="2" shapeId="0" xr:uid="{00000000-0006-0000-0100-000019000000}">
      <text>
        <r>
          <rPr>
            <b/>
            <sz val="9"/>
            <color indexed="81"/>
            <rFont val="Tahoma"/>
            <family val="2"/>
          </rPr>
          <t xml:space="preserve">If these cells are red, there is no suitable slew rate for keeping FET whithin SOA. 
Reduce load at start-up or pick FET with better SOA. </t>
        </r>
      </text>
    </comment>
    <comment ref="F82" authorId="2" shapeId="0" xr:uid="{00000000-0006-0000-0100-00001A000000}">
      <text>
        <r>
          <rPr>
            <b/>
            <sz val="9"/>
            <color indexed="81"/>
            <rFont val="Tahoma"/>
            <family val="2"/>
          </rPr>
          <t xml:space="preserve">If these cells are red, there is no suitable slew rate for keeping FET whithin SOA. 
Reduce load at start-up or pick FET with better SOA. </t>
        </r>
        <r>
          <rPr>
            <sz val="9"/>
            <color indexed="81"/>
            <rFont val="Tahoma"/>
            <family val="2"/>
          </rPr>
          <t xml:space="preserve">
</t>
        </r>
      </text>
    </comment>
    <comment ref="F83" authorId="2" shapeId="0" xr:uid="{00000000-0006-0000-0100-00001B000000}">
      <text>
        <r>
          <rPr>
            <b/>
            <sz val="9"/>
            <color indexed="81"/>
            <rFont val="Tahoma"/>
            <family val="2"/>
          </rPr>
          <t>Ensure that this is lower than max ss slew rate in the cell above</t>
        </r>
        <r>
          <rPr>
            <sz val="9"/>
            <color indexed="81"/>
            <rFont val="Tahoma"/>
            <family val="2"/>
          </rPr>
          <t xml:space="preserve">
</t>
        </r>
      </text>
    </comment>
    <comment ref="F86" authorId="2" shapeId="0" xr:uid="{00000000-0006-0000-0100-00001C000000}">
      <text>
        <r>
          <rPr>
            <b/>
            <sz val="9"/>
            <color indexed="81"/>
            <rFont val="Tahoma"/>
            <family val="2"/>
          </rPr>
          <t>Ensure that this is lower than max ss slew rate.</t>
        </r>
      </text>
    </comment>
    <comment ref="F87" authorId="2" shapeId="0" xr:uid="{00000000-0006-0000-0100-00001D000000}">
      <text>
        <r>
          <rPr>
            <sz val="9"/>
            <color indexed="81"/>
            <rFont val="Tahoma"/>
            <family val="2"/>
          </rPr>
          <t>A margin of &gt;1.1 is required and a margin of &gt;1.3 is recommended to accout for the variation in the gate current. 
Reduce dv/dt rate to reduce inrush current and increase SOA margin</t>
        </r>
      </text>
    </comment>
    <comment ref="F92" authorId="2" shapeId="0" xr:uid="{00000000-0006-0000-0100-00001E000000}">
      <text>
        <r>
          <rPr>
            <b/>
            <sz val="9"/>
            <color indexed="81"/>
            <rFont val="Tahoma"/>
            <family val="2"/>
          </rPr>
          <t xml:space="preserve">A margin of &gt;1.1 is required and a margin of &gt;1.3 is recommended to accout for the variation in the power limit and timer. 
Reduce Tfault to improve SOA margin. </t>
        </r>
        <r>
          <rPr>
            <sz val="9"/>
            <color indexed="81"/>
            <rFont val="Tahoma"/>
            <family val="2"/>
          </rPr>
          <t xml:space="preserve">
</t>
        </r>
      </text>
    </comment>
    <comment ref="F94" authorId="0" shapeId="0" xr:uid="{00000000-0006-0000-0100-00001F000000}">
      <text>
        <r>
          <rPr>
            <b/>
            <sz val="8"/>
            <color indexed="81"/>
            <rFont val="Tahoma"/>
            <family val="2"/>
          </rPr>
          <t>This calculation applies only when the RETRY option is selected.</t>
        </r>
      </text>
    </comment>
    <comment ref="F95" authorId="1" shapeId="0" xr:uid="{00000000-0006-0000-0100-000020000000}">
      <text>
        <r>
          <rPr>
            <b/>
            <sz val="8"/>
            <color indexed="81"/>
            <rFont val="Tahoma"/>
            <family val="2"/>
          </rPr>
          <t>See the schematics above to select the appropriate option for setting the input voltage UVLO and OVLO thresholds.</t>
        </r>
      </text>
    </comment>
    <comment ref="F96" authorId="0" shapeId="0" xr:uid="{00000000-0006-0000-0100-000021000000}">
      <text>
        <r>
          <rPr>
            <b/>
            <sz val="8"/>
            <color indexed="81"/>
            <rFont val="Tahoma"/>
            <family val="2"/>
          </rPr>
          <t>This threshold must be between 2.9V and 17V.</t>
        </r>
      </text>
    </comment>
    <comment ref="F97" authorId="0" shapeId="0" xr:uid="{00000000-0006-0000-0100-000022000000}">
      <text>
        <r>
          <rPr>
            <b/>
            <sz val="8"/>
            <color indexed="81"/>
            <rFont val="Tahoma"/>
            <family val="2"/>
          </rPr>
          <t>This threshold must be greater than 2.65V, and less than the upper UVLO threshold.</t>
        </r>
      </text>
    </comment>
    <comment ref="F98" authorId="0" shapeId="0" xr:uid="{00000000-0006-0000-0100-000023000000}">
      <text>
        <r>
          <rPr>
            <b/>
            <sz val="8"/>
            <color indexed="81"/>
            <rFont val="Tahoma"/>
            <family val="2"/>
          </rPr>
          <t>This threshold must be greater than the upper UVLO Threshold, and less than 17V.</t>
        </r>
      </text>
    </comment>
    <comment ref="F146" authorId="3" shapeId="0" xr:uid="{00000000-0006-0000-0100-000024000000}">
      <text>
        <r>
          <rPr>
            <sz val="9"/>
            <color indexed="81"/>
            <rFont val="Tahoma"/>
            <family val="2"/>
          </rPr>
          <t xml:space="preserve">TI recommended. Same as EVM
</t>
        </r>
      </text>
    </comment>
    <comment ref="F148" authorId="3" shapeId="0" xr:uid="{00000000-0006-0000-0100-000025000000}">
      <text>
        <r>
          <rPr>
            <sz val="9"/>
            <color indexed="81"/>
            <rFont val="Tahoma"/>
            <family val="2"/>
          </rPr>
          <t xml:space="preserve">TI recomends the SMDJxx TVS, which are used on the EVM. 
Pick the proper value based on the input voltage.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bdemsc</author>
  </authors>
  <commentList>
    <comment ref="C39" authorId="0" shapeId="0" xr:uid="{00000000-0006-0000-0500-000001000000}">
      <text>
        <r>
          <rPr>
            <b/>
            <sz val="8"/>
            <color indexed="81"/>
            <rFont val="Tahoma"/>
            <family val="2"/>
          </rPr>
          <t xml:space="preserve">Enter data from the MOSFET's SOA chart typically found in its datasheet.
</t>
        </r>
        <r>
          <rPr>
            <b/>
            <sz val="8"/>
            <color indexed="10"/>
            <rFont val="Tahoma"/>
            <family val="2"/>
          </rPr>
          <t>Consult the MOSFET vendor for SOA performance detail and appropriate derating criteria.</t>
        </r>
      </text>
    </comment>
    <comment ref="C40" authorId="0" shapeId="0" xr:uid="{00000000-0006-0000-0500-000002000000}">
      <text>
        <r>
          <rPr>
            <b/>
            <sz val="8"/>
            <color indexed="81"/>
            <rFont val="Tahoma"/>
            <family val="2"/>
          </rPr>
          <t xml:space="preserve">Enter data from the MOSFET's SOA chart typically found in its datasheet.
</t>
        </r>
        <r>
          <rPr>
            <b/>
            <sz val="8"/>
            <color indexed="10"/>
            <rFont val="Tahoma"/>
            <family val="2"/>
          </rPr>
          <t>Consult the MOSFET vendor for SOA performance detail and appropriate derating criteria.</t>
        </r>
      </text>
    </comment>
    <comment ref="C41" authorId="0" shapeId="0" xr:uid="{00000000-0006-0000-0500-000003000000}">
      <text>
        <r>
          <rPr>
            <b/>
            <sz val="8"/>
            <color indexed="81"/>
            <rFont val="Tahoma"/>
            <family val="2"/>
          </rPr>
          <t xml:space="preserve">Enter data from the MOSFET's SOA chart typically found in its datasheet.
</t>
        </r>
        <r>
          <rPr>
            <b/>
            <sz val="8"/>
            <color indexed="10"/>
            <rFont val="Tahoma"/>
            <family val="2"/>
          </rPr>
          <t>Consult the MOSFET vendor for SOA performance detail and appropriate derating criteria.</t>
        </r>
      </text>
    </comment>
  </commentList>
</comments>
</file>

<file path=xl/sharedStrings.xml><?xml version="1.0" encoding="utf-8"?>
<sst xmlns="http://schemas.openxmlformats.org/spreadsheetml/2006/main" count="770" uniqueCount="524">
  <si>
    <t>Max Rs =</t>
  </si>
  <si>
    <t>Min. Current limit =</t>
  </si>
  <si>
    <t>Typ. Current limit =</t>
  </si>
  <si>
    <t>Max. Current limit =</t>
  </si>
  <si>
    <t>Rs Power Diss. =</t>
  </si>
  <si>
    <t>Resulting Typical Power Limit =</t>
  </si>
  <si>
    <t>Resulting Minimum Power Limit =</t>
  </si>
  <si>
    <t>Resulting Maximum Power Limit =</t>
  </si>
  <si>
    <t>ms</t>
  </si>
  <si>
    <t>(V)</t>
  </si>
  <si>
    <t>(A)</t>
  </si>
  <si>
    <t>Typ. Insertion time =</t>
  </si>
  <si>
    <t>Typ. Restart time =</t>
  </si>
  <si>
    <t>R1 =</t>
  </si>
  <si>
    <t>R2 =</t>
  </si>
  <si>
    <t>R3 =</t>
  </si>
  <si>
    <t>R4 =</t>
  </si>
  <si>
    <t xml:space="preserve">   24% tolerance used in this calculation.</t>
  </si>
  <si>
    <t xml:space="preserve">  10% margin added in this calculation</t>
  </si>
  <si>
    <r>
      <t>R</t>
    </r>
    <r>
      <rPr>
        <vertAlign val="subscript"/>
        <sz val="10"/>
        <rFont val="Arial"/>
        <family val="2"/>
      </rPr>
      <t>PWR</t>
    </r>
    <r>
      <rPr>
        <sz val="10"/>
        <rFont val="Arial"/>
        <family val="2"/>
      </rPr>
      <t xml:space="preserve"> =</t>
    </r>
  </si>
  <si>
    <r>
      <t>C</t>
    </r>
    <r>
      <rPr>
        <vertAlign val="subscript"/>
        <sz val="10"/>
        <rFont val="Arial"/>
        <family val="2"/>
      </rPr>
      <t>T</t>
    </r>
    <r>
      <rPr>
        <sz val="10"/>
        <rFont val="Arial"/>
        <family val="2"/>
      </rPr>
      <t xml:space="preserve"> =</t>
    </r>
  </si>
  <si>
    <t>Notes:</t>
  </si>
  <si>
    <t>Option A</t>
  </si>
  <si>
    <t>Option B</t>
  </si>
  <si>
    <t>Select Option A or Option B</t>
  </si>
  <si>
    <t>R2</t>
  </si>
  <si>
    <t>R3</t>
  </si>
  <si>
    <t>R4</t>
  </si>
  <si>
    <t>A</t>
  </si>
  <si>
    <t>B</t>
  </si>
  <si>
    <t>UVLO upper is F40</t>
  </si>
  <si>
    <t>UVLO lower is F41</t>
  </si>
  <si>
    <t>OVLO upper is F42</t>
  </si>
  <si>
    <t>OVLO lower is F43</t>
  </si>
  <si>
    <t xml:space="preserve">R3 = </t>
  </si>
  <si>
    <t xml:space="preserve">R2 = </t>
  </si>
  <si>
    <t xml:space="preserve">R1 = </t>
  </si>
  <si>
    <t xml:space="preserve">R4 = </t>
  </si>
  <si>
    <t>Minimum</t>
  </si>
  <si>
    <t>Typical</t>
  </si>
  <si>
    <t>Maximum</t>
  </si>
  <si>
    <t xml:space="preserve">Resulting upper UVLO Threshold (min) = </t>
  </si>
  <si>
    <t xml:space="preserve">Resulting upper UVLO Threshold (typ) = </t>
  </si>
  <si>
    <t xml:space="preserve">Resulting upper UVLO Threshold (max) = </t>
  </si>
  <si>
    <t xml:space="preserve">Resulting lower UVLO Threshold (min) = </t>
  </si>
  <si>
    <t xml:space="preserve">Resulting lower UVLO Threshold (typ) = </t>
  </si>
  <si>
    <t xml:space="preserve">Resulting lower UVLO Threshold (max) = </t>
  </si>
  <si>
    <t xml:space="preserve">Resulting upper OVLO Threshold (min) = </t>
  </si>
  <si>
    <t xml:space="preserve">Resulting upper OVLO Threshold (typ) = </t>
  </si>
  <si>
    <t xml:space="preserve">Resulting upper OVLO Threshold (max) = </t>
  </si>
  <si>
    <t xml:space="preserve">Resulting lower OVLO Threshold (min) = </t>
  </si>
  <si>
    <t xml:space="preserve">Resulting lower OVLO Threshold (typ) = </t>
  </si>
  <si>
    <t xml:space="preserve">Resulting lower OVLO Threshold (max) = </t>
  </si>
  <si>
    <t>R1 is F48</t>
  </si>
  <si>
    <t>R2 is F49</t>
  </si>
  <si>
    <t>R3 is F50</t>
  </si>
  <si>
    <t>R4 is F51</t>
  </si>
  <si>
    <t>Resulting Thresholds:</t>
  </si>
  <si>
    <r>
      <t>C</t>
    </r>
    <r>
      <rPr>
        <vertAlign val="subscript"/>
        <sz val="10"/>
        <rFont val="Arial"/>
        <family val="2"/>
      </rPr>
      <t>IN</t>
    </r>
    <r>
      <rPr>
        <sz val="10"/>
        <rFont val="Arial"/>
        <family val="2"/>
      </rPr>
      <t xml:space="preserve"> = </t>
    </r>
  </si>
  <si>
    <r>
      <t>R</t>
    </r>
    <r>
      <rPr>
        <vertAlign val="subscript"/>
        <sz val="10"/>
        <rFont val="Arial"/>
        <family val="2"/>
      </rPr>
      <t>PG</t>
    </r>
    <r>
      <rPr>
        <sz val="10"/>
        <rFont val="Arial"/>
        <family val="2"/>
      </rPr>
      <t xml:space="preserve"> =</t>
    </r>
  </si>
  <si>
    <r>
      <t>V</t>
    </r>
    <r>
      <rPr>
        <b/>
        <vertAlign val="subscript"/>
        <sz val="10"/>
        <rFont val="Arial"/>
        <family val="2"/>
      </rPr>
      <t>DS</t>
    </r>
  </si>
  <si>
    <t>GRAPH:</t>
  </si>
  <si>
    <t>Selected Rs =</t>
  </si>
  <si>
    <r>
      <t>Selected R</t>
    </r>
    <r>
      <rPr>
        <vertAlign val="subscript"/>
        <sz val="10"/>
        <rFont val="Arial"/>
        <family val="2"/>
      </rPr>
      <t>PWR</t>
    </r>
    <r>
      <rPr>
        <sz val="10"/>
        <rFont val="Arial"/>
        <family val="2"/>
      </rPr>
      <t xml:space="preserve"> =</t>
    </r>
  </si>
  <si>
    <t>Max System voltage =</t>
  </si>
  <si>
    <t>Current Lim (min) =</t>
  </si>
  <si>
    <t>Current Lim (typ) =</t>
  </si>
  <si>
    <t>Current Lim (max) =</t>
  </si>
  <si>
    <t>Power Limit (min) =</t>
  </si>
  <si>
    <t>Power Limit (typ) =</t>
  </si>
  <si>
    <t>Power Limit (max) =</t>
  </si>
  <si>
    <t>A) This table calculates the Ids current based</t>
  </si>
  <si>
    <t>B) This table corrrects the table at left so no</t>
  </si>
  <si>
    <t>on power limit only - no current limit info.</t>
  </si>
  <si>
    <t>current is greater than the current limit.</t>
  </si>
  <si>
    <t>Vds</t>
  </si>
  <si>
    <t>Min</t>
  </si>
  <si>
    <t>Typ</t>
  </si>
  <si>
    <t>Max</t>
  </si>
  <si>
    <t>SOA data points from</t>
  </si>
  <si>
    <t>the customer's SOA</t>
  </si>
  <si>
    <t>data he entered.</t>
  </si>
  <si>
    <t>User's</t>
  </si>
  <si>
    <t>Ids</t>
  </si>
  <si>
    <t>x = customer's entry</t>
  </si>
  <si>
    <t>x</t>
  </si>
  <si>
    <t>SOA</t>
  </si>
  <si>
    <t>C) This table creates the</t>
  </si>
  <si>
    <t>25 mV</t>
  </si>
  <si>
    <t>µF</t>
  </si>
  <si>
    <r>
      <t>k</t>
    </r>
    <r>
      <rPr>
        <sz val="10"/>
        <rFont val="Symbol"/>
        <family val="1"/>
        <charset val="2"/>
      </rPr>
      <t>W</t>
    </r>
  </si>
  <si>
    <r>
      <t>m</t>
    </r>
    <r>
      <rPr>
        <sz val="10"/>
        <rFont val="Symbol"/>
        <family val="1"/>
        <charset val="2"/>
      </rPr>
      <t>W</t>
    </r>
  </si>
  <si>
    <t>V</t>
  </si>
  <si>
    <t>W</t>
  </si>
  <si>
    <t>D) This table changes ID values to zero for Vds&gt;Vin(max)</t>
  </si>
  <si>
    <t>and adds the SOA curve. This data is plotted.</t>
  </si>
  <si>
    <r>
      <t>1. Although not mandatory, C</t>
    </r>
    <r>
      <rPr>
        <vertAlign val="subscript"/>
        <sz val="10"/>
        <rFont val="Arial"/>
        <family val="2"/>
      </rPr>
      <t>IN</t>
    </r>
    <r>
      <rPr>
        <sz val="10"/>
        <rFont val="Arial"/>
        <family val="2"/>
      </rPr>
      <t xml:space="preserve"> provides transient suppression at the VIN pin</t>
    </r>
  </si>
  <si>
    <t>Resulting Typical Restart Time</t>
  </si>
  <si>
    <t>Desired Upper UVLO Threshold</t>
  </si>
  <si>
    <t>Desired Lower UVLO Threshold</t>
  </si>
  <si>
    <t>Desired Lower OVLO Threshold</t>
  </si>
  <si>
    <t xml:space="preserve">Resulting Upper UVLO Threshold = </t>
  </si>
  <si>
    <t xml:space="preserve">Resulting Lower UVLO Threshold = </t>
  </si>
  <si>
    <t xml:space="preserve">Resulting Upper OVLO Threshold = </t>
  </si>
  <si>
    <t xml:space="preserve">Resulting Lower OVLO Threshold = </t>
  </si>
  <si>
    <t>Resulting Minimum Current Limit</t>
  </si>
  <si>
    <t>Resulting Typical Current Limit</t>
  </si>
  <si>
    <t>Resulting Maximum Current Limit</t>
  </si>
  <si>
    <t>Desired Upper OVLO Threshold</t>
  </si>
  <si>
    <t>Calculated Values are shown in White Cells</t>
  </si>
  <si>
    <t>www.ti.com/hotswap</t>
  </si>
  <si>
    <t xml:space="preserve">Enter the Resistance for R1 </t>
  </si>
  <si>
    <t xml:space="preserve">Enter the Resistance for R2 </t>
  </si>
  <si>
    <t xml:space="preserve">Enter the Resistance for R3 </t>
  </si>
  <si>
    <t xml:space="preserve">Enter the Resistance for R4 </t>
  </si>
  <si>
    <r>
      <t>Enter the Resistance for R</t>
    </r>
    <r>
      <rPr>
        <vertAlign val="subscript"/>
        <sz val="10"/>
        <rFont val="Arial"/>
        <family val="2"/>
      </rPr>
      <t>S</t>
    </r>
  </si>
  <si>
    <r>
      <t>R</t>
    </r>
    <r>
      <rPr>
        <vertAlign val="subscript"/>
        <sz val="10"/>
        <rFont val="Arial"/>
        <family val="2"/>
      </rPr>
      <t>FB2</t>
    </r>
  </si>
  <si>
    <r>
      <t>R</t>
    </r>
    <r>
      <rPr>
        <vertAlign val="subscript"/>
        <sz val="10"/>
        <rFont val="Arial"/>
        <family val="2"/>
      </rPr>
      <t>FB1</t>
    </r>
    <r>
      <rPr>
        <sz val="10"/>
        <rFont val="Arial"/>
        <family val="2"/>
      </rPr>
      <t xml:space="preserve"> =</t>
    </r>
  </si>
  <si>
    <r>
      <t>R</t>
    </r>
    <r>
      <rPr>
        <vertAlign val="subscript"/>
        <sz val="10"/>
        <rFont val="Arial"/>
        <family val="2"/>
      </rPr>
      <t>FB2</t>
    </r>
    <r>
      <rPr>
        <sz val="10"/>
        <rFont val="Arial"/>
        <family val="2"/>
      </rPr>
      <t xml:space="preserve"> =</t>
    </r>
  </si>
  <si>
    <t>2. A TVS clamp from VIN to GND is absolutely mandatory to clamp the voltage overshoot upon MOSFET turn-off, e.g. during circuit breaker</t>
  </si>
  <si>
    <r>
      <rPr>
        <sz val="11"/>
        <color theme="1"/>
        <rFont val="Arial"/>
        <family val="2"/>
      </rPr>
      <t>R</t>
    </r>
    <r>
      <rPr>
        <vertAlign val="subscript"/>
        <sz val="11"/>
        <color theme="1"/>
        <rFont val="Arial"/>
        <family val="2"/>
      </rPr>
      <t>S</t>
    </r>
    <r>
      <rPr>
        <sz val="11"/>
        <color theme="1"/>
        <rFont val="Arial"/>
        <family val="2"/>
      </rPr>
      <t xml:space="preserve"> =</t>
    </r>
  </si>
  <si>
    <r>
      <t>Minimum Input Operating Voltage: V</t>
    </r>
    <r>
      <rPr>
        <vertAlign val="subscript"/>
        <sz val="10"/>
        <rFont val="Arial"/>
        <family val="2"/>
      </rPr>
      <t>IN(MIN)</t>
    </r>
  </si>
  <si>
    <r>
      <t>Maximum Input Operating Voltage: V</t>
    </r>
    <r>
      <rPr>
        <vertAlign val="subscript"/>
        <sz val="10"/>
        <rFont val="Arial"/>
        <family val="2"/>
      </rPr>
      <t>IN(MAX)</t>
    </r>
  </si>
  <si>
    <r>
      <t>Maximum Power Dissipation in R</t>
    </r>
    <r>
      <rPr>
        <vertAlign val="subscript"/>
        <sz val="10"/>
        <rFont val="Arial"/>
        <family val="2"/>
      </rPr>
      <t>S</t>
    </r>
  </si>
  <si>
    <r>
      <t>I</t>
    </r>
    <r>
      <rPr>
        <b/>
        <vertAlign val="subscript"/>
        <sz val="10"/>
        <rFont val="Arial"/>
        <family val="2"/>
      </rPr>
      <t>D</t>
    </r>
  </si>
  <si>
    <r>
      <t>Enter the Resistance for R</t>
    </r>
    <r>
      <rPr>
        <vertAlign val="subscript"/>
        <sz val="10"/>
        <rFont val="Arial"/>
        <family val="2"/>
      </rPr>
      <t>PG</t>
    </r>
  </si>
  <si>
    <t>Desired PGD Rising Threshold</t>
  </si>
  <si>
    <t>Desired PGD Hysteresis</t>
  </si>
  <si>
    <t>Ramp time for output voltage</t>
  </si>
  <si>
    <t>Nominal output voltage</t>
  </si>
  <si>
    <t>Required soft-start capacitance</t>
  </si>
  <si>
    <t>nF</t>
  </si>
  <si>
    <r>
      <t>Nominal Input Operating Voltage: V</t>
    </r>
    <r>
      <rPr>
        <vertAlign val="subscript"/>
        <sz val="10"/>
        <rFont val="Arial"/>
        <family val="2"/>
      </rPr>
      <t>IN(NOM)</t>
    </r>
  </si>
  <si>
    <r>
      <t>Maximum Ambient Operating Temperature: T</t>
    </r>
    <r>
      <rPr>
        <vertAlign val="subscript"/>
        <sz val="10"/>
        <rFont val="Arial"/>
        <family val="2"/>
      </rPr>
      <t>MAX</t>
    </r>
  </si>
  <si>
    <r>
      <t>Maximum Load Current: I</t>
    </r>
    <r>
      <rPr>
        <vertAlign val="subscript"/>
        <sz val="10"/>
        <rFont val="Arial"/>
        <family val="2"/>
      </rPr>
      <t>OUT(MAX)</t>
    </r>
  </si>
  <si>
    <t>Step 3: MOSFET Selection</t>
  </si>
  <si>
    <t>Number of MosFETs</t>
  </si>
  <si>
    <t>#</t>
  </si>
  <si>
    <r>
      <rPr>
        <vertAlign val="superscript"/>
        <sz val="10"/>
        <rFont val="Arial"/>
        <family val="2"/>
      </rPr>
      <t>o</t>
    </r>
    <r>
      <rPr>
        <sz val="10"/>
        <rFont val="Arial"/>
        <family val="2"/>
      </rPr>
      <t>C</t>
    </r>
  </si>
  <si>
    <r>
      <rPr>
        <vertAlign val="superscript"/>
        <sz val="10"/>
        <rFont val="Arial"/>
        <family val="2"/>
      </rPr>
      <t>o</t>
    </r>
    <r>
      <rPr>
        <sz val="10"/>
        <rFont val="Arial"/>
        <family val="2"/>
      </rPr>
      <t>C/W</t>
    </r>
  </si>
  <si>
    <t>Maximum FET Junction Temperature</t>
  </si>
  <si>
    <t>100ms SOA Current Maximum Input Voltage</t>
  </si>
  <si>
    <t>1ms SOA Current Maximum Input Voltage</t>
  </si>
  <si>
    <t>10ms SOA Current Maximum Input Voltage</t>
  </si>
  <si>
    <t>100ms or DC SOA Current at Maximum Input Voltage</t>
  </si>
  <si>
    <t>Current Limit</t>
  </si>
  <si>
    <t>Step 4: Startup</t>
  </si>
  <si>
    <t>Startup Load Type</t>
  </si>
  <si>
    <t>Startup Load Value</t>
  </si>
  <si>
    <t>Constant Current</t>
  </si>
  <si>
    <t>Resistive</t>
  </si>
  <si>
    <t>Vout</t>
  </si>
  <si>
    <t>ILOAD</t>
  </si>
  <si>
    <t xml:space="preserve">Start-up slop </t>
  </si>
  <si>
    <t>QG</t>
  </si>
  <si>
    <t>I_Src</t>
  </si>
  <si>
    <t>RMS</t>
  </si>
  <si>
    <t>PLIM</t>
  </si>
  <si>
    <t>combined</t>
  </si>
  <si>
    <t>I_timer</t>
  </si>
  <si>
    <t>C_timer</t>
  </si>
  <si>
    <t>Final</t>
  </si>
  <si>
    <t>Step 1: Operating Conditions</t>
  </si>
  <si>
    <t>Time</t>
  </si>
  <si>
    <t>Startup</t>
  </si>
  <si>
    <t>FET Selection</t>
  </si>
  <si>
    <t>Nominal</t>
  </si>
  <si>
    <t>Derated at TJ</t>
  </si>
  <si>
    <t>Operating Conditions</t>
  </si>
  <si>
    <t>Input Voltage</t>
  </si>
  <si>
    <t>Threshold Voltage CL = GND</t>
  </si>
  <si>
    <t>Threshold Voltage CL = VDD</t>
  </si>
  <si>
    <t>Sense input Current</t>
  </si>
  <si>
    <t>Units</t>
  </si>
  <si>
    <t>uA</t>
  </si>
  <si>
    <t>Circuit Breaker</t>
  </si>
  <si>
    <t>Timer</t>
  </si>
  <si>
    <t>Upper Threshold</t>
  </si>
  <si>
    <t>Insertion Time Current</t>
  </si>
  <si>
    <t>Fault detection current</t>
  </si>
  <si>
    <t>ICAP</t>
  </si>
  <si>
    <t>Junction Temperature</t>
  </si>
  <si>
    <t>VIN</t>
  </si>
  <si>
    <t>Power Limit</t>
  </si>
  <si>
    <t>mV</t>
  </si>
  <si>
    <t>Minimum Power Limit=</t>
  </si>
  <si>
    <t>Look Up</t>
  </si>
  <si>
    <t>1ms</t>
  </si>
  <si>
    <t>10ms</t>
  </si>
  <si>
    <t>100ms</t>
  </si>
  <si>
    <t>Final SOA</t>
  </si>
  <si>
    <t>time</t>
  </si>
  <si>
    <t>Voltage</t>
  </si>
  <si>
    <t>Lower time</t>
  </si>
  <si>
    <t>Higher timer</t>
  </si>
  <si>
    <t>I (lower time)</t>
  </si>
  <si>
    <t>I (higher time)</t>
  </si>
  <si>
    <t>a</t>
  </si>
  <si>
    <t>m</t>
  </si>
  <si>
    <t>Extr. I</t>
  </si>
  <si>
    <t>Assuming Power vs time is linear on a log-log plot</t>
  </si>
  <si>
    <r>
      <rPr>
        <vertAlign val="superscript"/>
        <sz val="10"/>
        <rFont val="Arial"/>
        <family val="2"/>
      </rPr>
      <t>o</t>
    </r>
    <r>
      <rPr>
        <sz val="10"/>
        <rFont val="Arial"/>
        <family val="2"/>
      </rPr>
      <t>C</t>
    </r>
  </si>
  <si>
    <t>Interpolated Power=</t>
  </si>
  <si>
    <t xml:space="preserve">Max Power with Temp Derating = </t>
  </si>
  <si>
    <t>Load Turn-On Threshold</t>
  </si>
  <si>
    <t>a = iSOA1/tSOA1^m</t>
  </si>
  <si>
    <t>m = log(iSOA1/iSOA2)/log(tSOA1/tSOA2)</t>
  </si>
  <si>
    <t>I = a * t^m</t>
  </si>
  <si>
    <t>Derating factor =</t>
  </si>
  <si>
    <t>No</t>
  </si>
  <si>
    <t>Use External Soft-Start Control</t>
  </si>
  <si>
    <t>Yes</t>
  </si>
  <si>
    <t>Gate</t>
  </si>
  <si>
    <t>Resulting Typical Insertion Delay Time</t>
  </si>
  <si>
    <r>
      <t>Use External Resistor Divider to Reduce Effecitve R</t>
    </r>
    <r>
      <rPr>
        <vertAlign val="subscript"/>
        <sz val="10"/>
        <rFont val="Arial"/>
        <family val="2"/>
      </rPr>
      <t>S</t>
    </r>
  </si>
  <si>
    <t>V/S</t>
  </si>
  <si>
    <t>Gate Sourcing Current</t>
  </si>
  <si>
    <t>Recommended Value for RCL1</t>
  </si>
  <si>
    <t>Recommended Value for RCL2</t>
  </si>
  <si>
    <t>Enter value for RCL1</t>
  </si>
  <si>
    <t>Enter value for RCL2</t>
  </si>
  <si>
    <t>CLMAX =</t>
  </si>
  <si>
    <t xml:space="preserve">CLNOM = </t>
  </si>
  <si>
    <t>CLMIN =</t>
  </si>
  <si>
    <t>If any of the above cells is red, see the  Instrunctions Worksheet</t>
  </si>
  <si>
    <t>RCL1 Recommended  =</t>
  </si>
  <si>
    <t>RCL2 Recommmended =</t>
  </si>
  <si>
    <t>Effective Rs =</t>
  </si>
  <si>
    <t>Step 5: UVLO, OVLO &amp; PGD Thresholds</t>
  </si>
  <si>
    <r>
      <t>C</t>
    </r>
    <r>
      <rPr>
        <vertAlign val="subscript"/>
        <sz val="10"/>
        <rFont val="Arial"/>
        <family val="2"/>
      </rPr>
      <t>VDD</t>
    </r>
    <r>
      <rPr>
        <sz val="10"/>
        <rFont val="Arial"/>
        <family val="2"/>
      </rPr>
      <t xml:space="preserve"> =</t>
    </r>
  </si>
  <si>
    <r>
      <t>C</t>
    </r>
    <r>
      <rPr>
        <vertAlign val="subscript"/>
        <sz val="10"/>
        <rFont val="Arial"/>
        <family val="2"/>
      </rPr>
      <t>VREF</t>
    </r>
    <r>
      <rPr>
        <sz val="10"/>
        <rFont val="Arial"/>
        <family val="2"/>
      </rPr>
      <t xml:space="preserve"> =</t>
    </r>
  </si>
  <si>
    <r>
      <t>R</t>
    </r>
    <r>
      <rPr>
        <vertAlign val="subscript"/>
        <sz val="11"/>
        <color theme="1"/>
        <rFont val="Arial"/>
        <family val="2"/>
      </rPr>
      <t>CL1</t>
    </r>
    <r>
      <rPr>
        <sz val="11"/>
        <color theme="1"/>
        <rFont val="Arial"/>
        <family val="2"/>
      </rPr>
      <t xml:space="preserve"> =</t>
    </r>
  </si>
  <si>
    <r>
      <t>R</t>
    </r>
    <r>
      <rPr>
        <vertAlign val="subscript"/>
        <sz val="11"/>
        <color theme="1"/>
        <rFont val="Arial"/>
        <family val="2"/>
      </rPr>
      <t>CL2</t>
    </r>
    <r>
      <rPr>
        <sz val="11"/>
        <color theme="1"/>
        <rFont val="Arial"/>
        <family val="2"/>
      </rPr>
      <t xml:space="preserve"> =</t>
    </r>
  </si>
  <si>
    <t>Design Summary</t>
  </si>
  <si>
    <t>Current limit</t>
  </si>
  <si>
    <t>Startup Time</t>
  </si>
  <si>
    <t>Insertion Delay</t>
  </si>
  <si>
    <t>Fault Timeout</t>
  </si>
  <si>
    <t>Restart Time During Fault</t>
  </si>
  <si>
    <t>Upper UVLO Threshold</t>
  </si>
  <si>
    <t>Lower OVLO Threshold</t>
  </si>
  <si>
    <t>Lower UVLO Threshold</t>
  </si>
  <si>
    <t>Upper OVLO Threshold</t>
  </si>
  <si>
    <t>PGD Hystersis</t>
  </si>
  <si>
    <t>Circuit Breaker Current</t>
  </si>
  <si>
    <t>PGD Threshold</t>
  </si>
  <si>
    <t>100us</t>
  </si>
  <si>
    <t>Step 2: Current Limit and Circuit Breaker</t>
  </si>
  <si>
    <t>Circuit Breaker to Current Limit Raitio</t>
  </si>
  <si>
    <r>
      <t>Enter Resistance for: R</t>
    </r>
    <r>
      <rPr>
        <vertAlign val="subscript"/>
        <sz val="10"/>
        <rFont val="Arial"/>
        <family val="2"/>
      </rPr>
      <t>FB1</t>
    </r>
  </si>
  <si>
    <t>3.6 x Current Limit</t>
  </si>
  <si>
    <t>1.8 x Current Limit</t>
  </si>
  <si>
    <t>1.8 x Threshold</t>
  </si>
  <si>
    <t>1.8x CB:CL Ratio</t>
  </si>
  <si>
    <t>3.6 x Threshold</t>
  </si>
  <si>
    <t>3.6x CB:CL Ratio</t>
  </si>
  <si>
    <r>
      <t>Maximum Output Load Capacitance: C</t>
    </r>
    <r>
      <rPr>
        <vertAlign val="subscript"/>
        <sz val="10"/>
        <rFont val="Arial"/>
        <family val="2"/>
      </rPr>
      <t>LOAD</t>
    </r>
  </si>
  <si>
    <t>Connect CB Pin to</t>
  </si>
  <si>
    <t>Connect CL Pin to</t>
  </si>
  <si>
    <t>Nominal PGD Rising Threhold</t>
  </si>
  <si>
    <t>Nominal PGD Hysteresis</t>
  </si>
  <si>
    <t>Connect /Retry to</t>
  </si>
  <si>
    <t>Min Insertion time =</t>
  </si>
  <si>
    <t>Max Insertion time =</t>
  </si>
  <si>
    <t xml:space="preserve">Min Restart time = </t>
  </si>
  <si>
    <t>Timer Pin</t>
  </si>
  <si>
    <t>Lower Threshold (Restart)</t>
  </si>
  <si>
    <t>End of Cycle</t>
  </si>
  <si>
    <t>Re-enable threshold</t>
  </si>
  <si>
    <t>Insertion time current</t>
  </si>
  <si>
    <t>Sink current, end of insertion</t>
  </si>
  <si>
    <t>Fault sink current</t>
  </si>
  <si>
    <t>Fault Response</t>
  </si>
  <si>
    <t>Retry</t>
  </si>
  <si>
    <t>Latch Off</t>
  </si>
  <si>
    <t>Power Good</t>
  </si>
  <si>
    <t>PGVOL</t>
  </si>
  <si>
    <t>mA sinking</t>
  </si>
  <si>
    <t>FB Pin</t>
  </si>
  <si>
    <t>FB Threshold</t>
  </si>
  <si>
    <t>FB Hysteresis Current</t>
  </si>
  <si>
    <t>Max PG Threshold =</t>
  </si>
  <si>
    <t>Nom PG Threshold =</t>
  </si>
  <si>
    <t>Min PG Threshold =</t>
  </si>
  <si>
    <t>Max Restart time =</t>
  </si>
  <si>
    <t>Min PG Hysteresis =</t>
  </si>
  <si>
    <t>Nom PG Hysteresis =</t>
  </si>
  <si>
    <t>Max PG Hysteresis =</t>
  </si>
  <si>
    <t>3. Componet tolerances not accounted for in Min/Max Calculations.</t>
  </si>
  <si>
    <t>Recommended Resistance for:  R1</t>
  </si>
  <si>
    <r>
      <t>Recommended Resistance for:  R</t>
    </r>
    <r>
      <rPr>
        <vertAlign val="subscript"/>
        <sz val="10"/>
        <rFont val="Arial"/>
        <family val="2"/>
      </rPr>
      <t>FB1</t>
    </r>
  </si>
  <si>
    <r>
      <t>Estimated MOSFET R</t>
    </r>
    <r>
      <rPr>
        <sz val="10"/>
        <rFont val="Symbol"/>
        <family val="1"/>
        <charset val="2"/>
      </rPr>
      <t>Q</t>
    </r>
    <r>
      <rPr>
        <vertAlign val="subscript"/>
        <sz val="10"/>
        <rFont val="Arial"/>
        <family val="2"/>
      </rPr>
      <t>JA</t>
    </r>
  </si>
  <si>
    <t>Values Used</t>
  </si>
  <si>
    <t xml:space="preserve"> </t>
  </si>
  <si>
    <t>Current Limit Range (CL)</t>
  </si>
  <si>
    <r>
      <t>Effective Sense Resistance (R</t>
    </r>
    <r>
      <rPr>
        <vertAlign val="subscript"/>
        <sz val="10"/>
        <rFont val="Arial"/>
        <family val="2"/>
      </rPr>
      <t>S,EFF</t>
    </r>
    <r>
      <rPr>
        <sz val="10"/>
        <rFont val="Arial"/>
        <family val="2"/>
      </rPr>
      <t>)</t>
    </r>
  </si>
  <si>
    <t>Maximum Recommended Value for Effective Sense Resistance</t>
  </si>
  <si>
    <r>
      <t>Maximum steady state FET Junction Temperature (T</t>
    </r>
    <r>
      <rPr>
        <vertAlign val="subscript"/>
        <sz val="10"/>
        <rFont val="Arial"/>
        <family val="2"/>
      </rPr>
      <t>J,DC</t>
    </r>
    <r>
      <rPr>
        <sz val="10"/>
        <rFont val="Arial"/>
        <family val="2"/>
      </rPr>
      <t>)</t>
    </r>
  </si>
  <si>
    <r>
      <t>MOSFET On resistance @ T</t>
    </r>
    <r>
      <rPr>
        <vertAlign val="subscript"/>
        <sz val="10"/>
        <rFont val="Arial"/>
        <family val="2"/>
      </rPr>
      <t>J,DC</t>
    </r>
  </si>
  <si>
    <t>Systematic Offset</t>
  </si>
  <si>
    <t>Minimum Recommended Vsns</t>
  </si>
  <si>
    <t>&lt;= I am assuming this would have +/- 50% error at best</t>
  </si>
  <si>
    <t>A_coeff</t>
  </si>
  <si>
    <t>Vsns = Rpwr / (A*Vds) + Vos,syst</t>
  </si>
  <si>
    <t>Plim (Vds) = 1/Rs * [ Rpwr/A + Vds * Vos, syst]</t>
  </si>
  <si>
    <t xml:space="preserve">Example: </t>
  </si>
  <si>
    <t>Rpwr</t>
  </si>
  <si>
    <t>Plim</t>
  </si>
  <si>
    <t>Rsns (m-ohm)</t>
  </si>
  <si>
    <t>Vsns (mV)</t>
  </si>
  <si>
    <t>Rpwr =  A * [PLIM(Vds) * Rs - Vds*Vos,syst]</t>
  </si>
  <si>
    <t xml:space="preserve">Key Equations: </t>
  </si>
  <si>
    <t>How Plim varries vs Vds:</t>
  </si>
  <si>
    <t>Plim (Vds) = Plim (Vin,max) + (Vds - Vin,max)*Vos,syst/Rs</t>
  </si>
  <si>
    <t>Ex: Plim @ 13V = 100W, Rs = 0.5; Plim @ (Vds = 5V) = 100W - 7V * 1mV/0.5mili-ohm = 100W - 14W = 86W</t>
  </si>
  <si>
    <t>Target Power Limit</t>
  </si>
  <si>
    <r>
      <t>Calculated R</t>
    </r>
    <r>
      <rPr>
        <vertAlign val="subscript"/>
        <sz val="10"/>
        <rFont val="Arial"/>
        <family val="2"/>
      </rPr>
      <t>PWR</t>
    </r>
  </si>
  <si>
    <t>Target PLIM</t>
  </si>
  <si>
    <t>k-ohm</t>
  </si>
  <si>
    <r>
      <t>Actual R</t>
    </r>
    <r>
      <rPr>
        <vertAlign val="subscript"/>
        <sz val="10"/>
        <rFont val="Arial"/>
        <family val="2"/>
      </rPr>
      <t>PWR</t>
    </r>
  </si>
  <si>
    <t>Rpwr actual</t>
  </si>
  <si>
    <t>Final Plim</t>
  </si>
  <si>
    <t>Actual PLIM</t>
  </si>
  <si>
    <t>ILIM</t>
  </si>
  <si>
    <t>Load type</t>
  </si>
  <si>
    <t>Load Value</t>
  </si>
  <si>
    <t>Load start</t>
  </si>
  <si>
    <t>Rs</t>
  </si>
  <si>
    <t>Vos,syst</t>
  </si>
  <si>
    <r>
      <rPr>
        <b/>
        <u/>
        <sz val="10"/>
        <rFont val="Symbol"/>
        <family val="1"/>
        <charset val="2"/>
      </rPr>
      <t>D</t>
    </r>
    <r>
      <rPr>
        <b/>
        <u/>
        <sz val="10"/>
        <rFont val="Arial"/>
        <family val="2"/>
      </rPr>
      <t>t</t>
    </r>
  </si>
  <si>
    <t>IFET</t>
  </si>
  <si>
    <t>I_Fet-IL margin</t>
  </si>
  <si>
    <t>Start-time</t>
  </si>
  <si>
    <t>I_fet-I_L margin</t>
  </si>
  <si>
    <t>Slop for calculations</t>
  </si>
  <si>
    <t>Note: We get additional buffer, b/c this is designed for a Vinmax, while typically Vin = Vinnom</t>
  </si>
  <si>
    <t>&lt;= mean root square(T_start_error_Plim, timer_error, cap_error); T_start proportional to 1/Plim =&gt; T_start_error_plim = 1/(1-Plim_err) - 1 = 1/(1-0.4) - 1 = 0.66</t>
  </si>
  <si>
    <t>Computed Start - Up Slop</t>
  </si>
  <si>
    <t>Typical Start Time with Vinmax (Tstart)</t>
  </si>
  <si>
    <t>Target Fault Timer: Tstart + Margin</t>
  </si>
  <si>
    <t>Typical Start time</t>
  </si>
  <si>
    <t>Start-slop</t>
  </si>
  <si>
    <t>Target Fault Timer</t>
  </si>
  <si>
    <t>Target Timer capacitance</t>
  </si>
  <si>
    <t>Selected Timer capacitance</t>
  </si>
  <si>
    <t>IFET - ILOAD margin (lowest for Vout range)</t>
  </si>
  <si>
    <t xml:space="preserve">Selected Timer capacitance </t>
  </si>
  <si>
    <t>Final Fault Timer</t>
  </si>
  <si>
    <t>Note: I added an adjustment for the systematic offset</t>
  </si>
  <si>
    <t>Vos syst</t>
  </si>
  <si>
    <t>Rs (ohm)</t>
  </si>
  <si>
    <t>Vin, max</t>
  </si>
  <si>
    <t>Plim tolerance</t>
  </si>
  <si>
    <t>Temp Derated SOA</t>
  </si>
  <si>
    <t>Derated SOA / PLIM</t>
  </si>
  <si>
    <t>SOA / PLIM</t>
  </si>
  <si>
    <t>IFET_PLIM</t>
  </si>
  <si>
    <t>I_FET_SS</t>
  </si>
  <si>
    <t>SS</t>
  </si>
  <si>
    <t>FET Power dissapation at full load (per FET)</t>
  </si>
  <si>
    <t>With PLIM</t>
  </si>
  <si>
    <t>dv/dt rate</t>
  </si>
  <si>
    <t>V/ms</t>
  </si>
  <si>
    <t>I_Cout</t>
  </si>
  <si>
    <t>46 mV</t>
  </si>
  <si>
    <t>With SS</t>
  </si>
  <si>
    <t>To avoid timer running: Iload + Icap,ss &lt; IFET_PLIM / 2 =&gt; SS_RATE &lt; 1/Cout * (IFET_PLIM/2 - ILOAD)</t>
  </si>
  <si>
    <t>Max_SS_Rate</t>
  </si>
  <si>
    <t>FET_ENERGY</t>
  </si>
  <si>
    <t>J</t>
  </si>
  <si>
    <t>Max _allowed SS_rate</t>
  </si>
  <si>
    <t>Power (W)</t>
  </si>
  <si>
    <t>P_ fast_SS</t>
  </si>
  <si>
    <t>P_slow_SS</t>
  </si>
  <si>
    <t>I_g(hi/nom)</t>
  </si>
  <si>
    <t>I_g(low/nom)</t>
  </si>
  <si>
    <t>max_power_typ</t>
  </si>
  <si>
    <t>max_power_low</t>
  </si>
  <si>
    <t>max_power_high</t>
  </si>
  <si>
    <t>typical start time</t>
  </si>
  <si>
    <t>FET Energy dissipated at start-up (EFET)</t>
  </si>
  <si>
    <t>Peak Power dissipated  during start-up (PFET)</t>
  </si>
  <si>
    <t>Equivalent time at peak power - EFET/PFET (t_power)</t>
  </si>
  <si>
    <t>Available SOA for t_power at Vinmax</t>
  </si>
  <si>
    <t>SOA margin</t>
  </si>
  <si>
    <t>SOA Predictor - dv/dt start-up</t>
  </si>
  <si>
    <t>calculated SS capacitance</t>
  </si>
  <si>
    <t>actual SS capacitance</t>
  </si>
  <si>
    <t>actual dv/dt rate</t>
  </si>
  <si>
    <t>Target Fault Time</t>
  </si>
  <si>
    <t xml:space="preserve">Calculated Timer Capacitance </t>
  </si>
  <si>
    <t>Actual Timer Capacitance</t>
  </si>
  <si>
    <t>SOA margin during start-up</t>
  </si>
  <si>
    <t>Covering hot-short, start-into short for SS</t>
  </si>
  <si>
    <t>Available derated SOA for Tfault</t>
  </si>
  <si>
    <t>Actual Fault Time (Tfault)</t>
  </si>
  <si>
    <t>dv/dt rate on Vout</t>
  </si>
  <si>
    <t>actual dv/dt rate on Vout</t>
  </si>
  <si>
    <t>SOA Check - Based on Timer</t>
  </si>
  <si>
    <t>Final Fault Timer(Tfault)</t>
  </si>
  <si>
    <t>SOA margin during "hot-short" or "start-into short"</t>
  </si>
  <si>
    <t>timer_constant</t>
  </si>
  <si>
    <t>Enter Values in Green Shaded Cells</t>
  </si>
  <si>
    <t>1s/DC</t>
  </si>
  <si>
    <t>Can a "hot" board be hotplugged</t>
  </si>
  <si>
    <t>Temp for derating</t>
  </si>
  <si>
    <t>board hot?</t>
  </si>
  <si>
    <t>FET_Energy</t>
  </si>
  <si>
    <t>Tiime (ms)</t>
  </si>
  <si>
    <t>Recommended slew Rate (max)</t>
  </si>
  <si>
    <t>Recommended slew Rate (min)</t>
  </si>
  <si>
    <r>
      <t>100</t>
    </r>
    <r>
      <rPr>
        <sz val="10"/>
        <rFont val="Symbol"/>
        <family val="1"/>
        <charset val="2"/>
      </rPr>
      <t>m</t>
    </r>
    <r>
      <rPr>
        <sz val="10"/>
        <rFont val="Arial"/>
        <family val="2"/>
      </rPr>
      <t>s SOA Current (re-use 1ms data if unavailable) @ V</t>
    </r>
    <r>
      <rPr>
        <vertAlign val="subscript"/>
        <sz val="10"/>
        <rFont val="Arial"/>
        <family val="2"/>
      </rPr>
      <t>IN(MAX)</t>
    </r>
  </si>
  <si>
    <r>
      <t>1ms SOA Current @ V</t>
    </r>
    <r>
      <rPr>
        <vertAlign val="subscript"/>
        <sz val="10"/>
        <rFont val="Arial"/>
        <family val="2"/>
      </rPr>
      <t>IN(MAX)</t>
    </r>
  </si>
  <si>
    <r>
      <t>10ms SOA Current @ V</t>
    </r>
    <r>
      <rPr>
        <vertAlign val="subscript"/>
        <sz val="10"/>
        <rFont val="Arial"/>
        <family val="2"/>
      </rPr>
      <t>IN(MAX)</t>
    </r>
  </si>
  <si>
    <r>
      <t>100ms  Current at @ V</t>
    </r>
    <r>
      <rPr>
        <vertAlign val="subscript"/>
        <sz val="10"/>
        <rFont val="Arial"/>
        <family val="2"/>
      </rPr>
      <t>IN(MAX)</t>
    </r>
    <r>
      <rPr>
        <sz val="10"/>
        <rFont val="Arial"/>
        <family val="2"/>
      </rPr>
      <t xml:space="preserve"> (use DC if 100ms not available)</t>
    </r>
  </si>
  <si>
    <r>
      <t>1s or DC SOA Current at @ V</t>
    </r>
    <r>
      <rPr>
        <vertAlign val="subscript"/>
        <sz val="10"/>
        <rFont val="Arial"/>
        <family val="2"/>
      </rPr>
      <t>IN(MAX)</t>
    </r>
    <r>
      <rPr>
        <sz val="10"/>
        <rFont val="Arial"/>
        <family val="2"/>
      </rPr>
      <t xml:space="preserve"> (use DC if 1s not available)</t>
    </r>
  </si>
  <si>
    <t xml:space="preserve">Key Equations for SOA margin estimate: </t>
  </si>
  <si>
    <t>1) Get total Energy = 1/2 CV^2 + E_load (t_worksheet) * t_start / t_ worksheet</t>
  </si>
  <si>
    <t xml:space="preserve">     note:  t_worksheet is the start time from the start-up worksheet.  E_load = Total Energy @ Start-up - 1/2CV^2</t>
  </si>
  <si>
    <t>2) Get peak power:  4 Possible points with peak power</t>
  </si>
  <si>
    <t>Cap Energy (J)</t>
  </si>
  <si>
    <t>slew rate (V/ms)</t>
  </si>
  <si>
    <t>E_load (t_worksheet)  (J)</t>
  </si>
  <si>
    <t>t_worksheet (ms)</t>
  </si>
  <si>
    <t>t_start (ms)</t>
  </si>
  <si>
    <t>I_cap (A)</t>
  </si>
  <si>
    <t>Total FET Energy (J)</t>
  </si>
  <si>
    <t>Power (load on), (W)</t>
  </si>
  <si>
    <t>SOA margin target</t>
  </si>
  <si>
    <t>Power (Vout= 0) , (W)</t>
  </si>
  <si>
    <t xml:space="preserve">                </t>
  </si>
  <si>
    <t xml:space="preserve"> P = (I_cap + Vout/R ) * (Vin - Vout) = Icap * Vin - Icap * Vout +Vin * Vout / R - Vout^2 / R </t>
  </si>
  <si>
    <t>Vout (dP/dVout = 0) (V)</t>
  </si>
  <si>
    <t xml:space="preserve"> =&gt;  dP/dVout =  -Icap + Vin/R -2Vout /R ;  Zero when Vout = -R*I_cap / 2 + Vin / 2</t>
  </si>
  <si>
    <t xml:space="preserve">Power (@ Vout above, if applicable) </t>
  </si>
  <si>
    <t>max power (W)</t>
  </si>
  <si>
    <t>Equivalent time for SOA (ms)</t>
  </si>
  <si>
    <t>SOA Coefficients</t>
  </si>
  <si>
    <t>0.1 to 1 ms</t>
  </si>
  <si>
    <t>1 to 10ms</t>
  </si>
  <si>
    <t>10ms to 100 ms</t>
  </si>
  <si>
    <t>100 ms to 1s</t>
  </si>
  <si>
    <t>t1</t>
  </si>
  <si>
    <t>t2</t>
  </si>
  <si>
    <t>Available SOA (W)</t>
  </si>
  <si>
    <t>Derated for Temp</t>
  </si>
  <si>
    <t>Temp_start_up</t>
  </si>
  <si>
    <t>SOA Margin</t>
  </si>
  <si>
    <t>Copied Inputs</t>
  </si>
  <si>
    <t># of points</t>
  </si>
  <si>
    <t>mult per point</t>
  </si>
  <si>
    <t xml:space="preserve">Pass? </t>
  </si>
  <si>
    <t>first yes</t>
  </si>
  <si>
    <t>2nd yes</t>
  </si>
  <si>
    <t>N</t>
  </si>
  <si>
    <t>Mult 1</t>
  </si>
  <si>
    <t>mult2</t>
  </si>
  <si>
    <t xml:space="preserve">max slew rate </t>
  </si>
  <si>
    <t>min slew rate</t>
  </si>
  <si>
    <t>Initial</t>
  </si>
  <si>
    <t xml:space="preserve">Yellow and Red cells highlight pottential issues with the design. Red highlights items that are higher risk. </t>
  </si>
  <si>
    <r>
      <t>Actual Timer Capacitance (pick one smaller than C</t>
    </r>
    <r>
      <rPr>
        <vertAlign val="subscript"/>
        <sz val="10"/>
        <rFont val="Arial"/>
        <family val="2"/>
      </rPr>
      <t>T,CALC</t>
    </r>
    <r>
      <rPr>
        <sz val="10"/>
        <rFont val="Arial"/>
        <family val="2"/>
      </rPr>
      <t xml:space="preserve">) </t>
    </r>
  </si>
  <si>
    <t>Typical design procedure</t>
  </si>
  <si>
    <t>Typical applications require multiple passes through the design tool using MOSFET factors such as transient</t>
  </si>
  <si>
    <t>thermal response and safe operating area curves. Refer to the following application reports for more detail.</t>
  </si>
  <si>
    <t>The basic design process follows:</t>
  </si>
  <si>
    <t>1. Enter operating conditions.</t>
  </si>
  <si>
    <t>2. Select current limit parameters.</t>
  </si>
  <si>
    <t>3. Enter MOSTFET SOA characteristics &amp; power limit.</t>
  </si>
  <si>
    <t>4. Select start up conditions (load and/or soft start). Check whether FET is operating with reasonable margin, within the SOA curve.</t>
  </si>
  <si>
    <t xml:space="preserve">    If not, try changing start-up conditions (soft start values, timer values), add more FETs in parallel, or switch to FET with better SOA.</t>
  </si>
  <si>
    <t>5. Enter desired UVLO and OVLO values to get recommended resistor values.</t>
  </si>
  <si>
    <t>6. Done</t>
  </si>
  <si>
    <t>Notes</t>
  </si>
  <si>
    <t>1. This worksheet is designed for use with Microsoft Excel 5.0 or later.  Its use is intended to assist power supply designers in their</t>
  </si>
  <si>
    <t xml:space="preserve">routine, day-to-day calculations.  </t>
  </si>
  <si>
    <t>2. All worksheets have light green inputs cells, white calculated cells, yellow warning cells and red high-risk cells.</t>
  </si>
  <si>
    <t>3. Formulas and device constants used in the spreadsheet are locked to prohibit them from accidentally being overwritten or deleted.</t>
  </si>
  <si>
    <t>LM25066 Datasheet (See "Design-In Procedure")</t>
  </si>
  <si>
    <t>Note: TI recommends choosing a FET with SOA current specified for 100ms and/or 1s or DC. If choosing a FET without these parameters, this calculator will estimate the values via extrapolation, which leaves an inherent associated risk.</t>
  </si>
  <si>
    <t>Q1 FET Name</t>
  </si>
  <si>
    <t>Lower time (adjusted)</t>
  </si>
  <si>
    <t>Higher time</t>
  </si>
  <si>
    <t>Higher time (adjusted)</t>
  </si>
  <si>
    <t>Upper bound Slew Rate (4ms start-up) (V/ms)</t>
  </si>
  <si>
    <t>Min Slew Rate (400 ms start - up) (V/ms)</t>
  </si>
  <si>
    <t xml:space="preserve">      a) At Vin = 0 [mainly if there is no load or constant current load that starts at Vout = 0=</t>
  </si>
  <si>
    <t xml:space="preserve">      b) At Vin = Load start [ constant current=</t>
  </si>
  <si>
    <t xml:space="preserve">      c) When derivative of power = 0  [Peak, applies to resistive loads only=</t>
  </si>
  <si>
    <t>&lt;-- Cannot plot zero on a log graph. If slope ~=0, then use 1e-12 as value</t>
  </si>
  <si>
    <t>MMBT3904</t>
  </si>
  <si>
    <t>MOSFET's SOA</t>
  </si>
  <si>
    <r>
      <t xml:space="preserve">                       </t>
    </r>
    <r>
      <rPr>
        <sz val="22"/>
        <color theme="0"/>
        <rFont val="Arial"/>
        <family val="2"/>
      </rPr>
      <t>LM25066/I/A/IA PMBus Hot Swap Design Tool</t>
    </r>
  </si>
  <si>
    <t>Note: This is the typical dv/dt rate, but max value can be larger. This is because the gate source current can vary from 16uA to 28uA. Thus TI recommends keeping the overall SOA margin during start-up &gt;1.5 in order to compensate for this.</t>
  </si>
  <si>
    <t xml:space="preserve">TEXAS INSTRUMENTS TEXT FILE LICENSE
Copyright (c) 2014 Texas Instruments Incorporated
All rights reserved not granted herein.
Limited License.  
Texas Instruments Incorporated grants a world-wide, royalty-free, non-exclusive license under copyrights and patents it now or hereafter owns or controls to make, have made, use, import, offer to sell and sell ("Utilize") this software subject to the terms herein.  With respect to the foregoing patent license, such license is granted  solely to the extent that any such patent is necessary to Utilize the software alone.  The patent license shall not apply to any combinations which include this software, other than combinations with devices manufactured by or for TI (“TI Devices”).  No hardware patent is licensed hereunder.
Redistributions must preserve existing copyright notices and reproduce this license (including the above copyright notice and the disclaimer and (if applicable) source code license limitations below) in the documentation and/or other materials provided with the distribution
Redistribution and use in binary form, without modification, are permitted provided that the following conditions are met:
* No reverse engineering, decompilation, or disassembly of this software is permitted with respect to any software provided in binary form.
* any redistribution and use are licensed by TI for use only with TI Devices.
* Nothing shall obligate TI to provide you with source code for the software licensed and provided to you in object code.
If software source code is provided to you, modification and redistribution of the source code are permitted provided that the following conditions are met:
* any redistribution and use of the source code, including any resulting derivative works, are licensed by TI for use only with TI Devices.
* any redistribution and use of any object code compiled from the source code and any resulting derivative works, are licensed by TI for use only with TI Devices.
Neither the name of Texas Instruments Incorporated nor the names of its suppliers may be used to endorse or promote products derived from this software without specific prior written permission.
DISCLAIMER.
THIS SOFTWARE IS PROVIDED BY TI AND TI’S LICENSORS "AS IS" AND ANY EXPRESS OR IMPLIED WARRANTIES, INCLUDING, BUT NOT LIMITED TO, THE IMPLIED WARRANTIES OF MERCHANTABILITY AND FITNESS FOR A PARTICULAR PURPOSE ARE DISCLAIMED. IN NO EVENT SHALL TI AND TI’S LICENSORS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
</t>
  </si>
  <si>
    <t>5.0SMDJXXX</t>
  </si>
  <si>
    <r>
      <t>C</t>
    </r>
    <r>
      <rPr>
        <vertAlign val="subscript"/>
        <sz val="10"/>
        <rFont val="Arial"/>
        <family val="2"/>
      </rPr>
      <t>dv/dt</t>
    </r>
    <r>
      <rPr>
        <sz val="10"/>
        <rFont val="Arial"/>
        <family val="2"/>
      </rPr>
      <t xml:space="preserve"> =</t>
    </r>
  </si>
  <si>
    <t>1N4148W-7-F</t>
  </si>
  <si>
    <t>MMBT3906</t>
  </si>
  <si>
    <t>Robust Hot Swap Design</t>
  </si>
  <si>
    <t>© 2015</t>
  </si>
  <si>
    <r>
      <t>Minimum Power Limit to Ensure Vsns &gt; 4mV (P</t>
    </r>
    <r>
      <rPr>
        <vertAlign val="subscript"/>
        <sz val="10"/>
        <rFont val="Arial"/>
        <family val="2"/>
      </rPr>
      <t>LIM,MIN</t>
    </r>
    <r>
      <rPr>
        <sz val="10"/>
        <rFont val="Arial"/>
        <family val="2"/>
      </rPr>
      <t>)</t>
    </r>
  </si>
  <si>
    <t>D2 =</t>
  </si>
  <si>
    <t>SK153-TP</t>
  </si>
  <si>
    <t>Q1 =</t>
  </si>
  <si>
    <t>Q2 =</t>
  </si>
  <si>
    <t>Q3 =</t>
  </si>
  <si>
    <t>Z1 =</t>
  </si>
  <si>
    <t>D1, D3 =</t>
  </si>
  <si>
    <t>Step 0: Calculator Tutorials</t>
  </si>
  <si>
    <r>
      <rPr>
        <b/>
        <u/>
        <sz val="12"/>
        <color rgb="FFFF0000"/>
        <rFont val="Arial"/>
        <family val="2"/>
      </rPr>
      <t>Note</t>
    </r>
    <r>
      <rPr>
        <sz val="12"/>
        <color rgb="FFFF0000"/>
        <rFont val="Arial"/>
        <family val="2"/>
      </rPr>
      <t>: Before proceeding, please watch the video tutorials listed to ensure accurate results from this tool!</t>
    </r>
  </si>
  <si>
    <t>Steps 1 &amp; 2: Operating Conditions, Current Limit, &amp; Circuit Breaker (7:41)</t>
  </si>
  <si>
    <t>Step 3: MOSFET Selection (9:58)</t>
  </si>
  <si>
    <t>Step 4: Startup (10:32)</t>
  </si>
  <si>
    <t>Step 5: UVLO, OVLO &amp; PGD Thresholds (4:20)</t>
  </si>
  <si>
    <r>
      <rPr>
        <b/>
        <sz val="11"/>
        <rFont val="Arial"/>
        <family val="2"/>
      </rPr>
      <t>I understand and agree to watch the video tutorials if help is needed.</t>
    </r>
    <r>
      <rPr>
        <sz val="11"/>
        <rFont val="Arial"/>
        <family val="2"/>
      </rPr>
      <t xml:space="preserve"> </t>
    </r>
    <r>
      <rPr>
        <sz val="10"/>
        <rFont val="Arial"/>
        <family val="2"/>
      </rPr>
      <t>(Choose Yes to enable the calculator.)</t>
    </r>
  </si>
  <si>
    <t xml:space="preserve">Assure to follow the layout and application guidelines listed on the datasheet. </t>
  </si>
  <si>
    <r>
      <rPr>
        <sz val="10"/>
        <rFont val="Arial"/>
        <family val="2"/>
      </rPr>
      <t>*For additional questions not addressed in the videos, please post on</t>
    </r>
    <r>
      <rPr>
        <u/>
        <sz val="10"/>
        <color theme="10"/>
        <rFont val="Arial"/>
        <family val="2"/>
      </rPr>
      <t xml:space="preserve"> E2E.ti.com</t>
    </r>
  </si>
  <si>
    <t>LM25066 Datasheet</t>
  </si>
  <si>
    <t>Steps 1 &amp; 2: Operating Conditions, Current Limit, &amp; Circuit Breaker</t>
  </si>
  <si>
    <r>
      <rPr>
        <b/>
        <u/>
        <sz val="9"/>
        <color rgb="FFFF0000"/>
        <rFont val="Arial"/>
        <family val="2"/>
      </rPr>
      <t>Note:</t>
    </r>
    <r>
      <rPr>
        <b/>
        <sz val="9"/>
        <color rgb="FFFF0000"/>
        <rFont val="Arial"/>
        <family val="2"/>
      </rPr>
      <t xml:space="preserve"> Hover here to see the 3 values affecting this curve, consult a thermal expert if you are unsure! </t>
    </r>
  </si>
  <si>
    <t>LM25066/A/I/AI Design Tool- Rev. D</t>
  </si>
  <si>
    <t>SiRA00DP</t>
  </si>
  <si>
    <t>Select anything greater than 5.16K and less than 6K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</si>
</sst>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E+0"/>
    <numFmt numFmtId="167" formatCode="0.000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color indexed="81"/>
      <name val="Tahoma"/>
      <family val="2"/>
    </font>
    <font>
      <vertAlign val="subscript"/>
      <sz val="10"/>
      <name val="Arial"/>
      <family val="2"/>
    </font>
    <font>
      <sz val="10"/>
      <name val="Arial"/>
      <family val="2"/>
    </font>
    <font>
      <b/>
      <sz val="10"/>
      <color indexed="10"/>
      <name val="Arial"/>
      <family val="2"/>
    </font>
    <font>
      <sz val="10"/>
      <color indexed="55"/>
      <name val="Arial"/>
      <family val="2"/>
    </font>
    <font>
      <b/>
      <vertAlign val="subscript"/>
      <sz val="10"/>
      <name val="Arial"/>
      <family val="2"/>
    </font>
    <font>
      <sz val="10"/>
      <name val="Symbol"/>
      <family val="1"/>
      <charset val="2"/>
    </font>
    <font>
      <b/>
      <sz val="9"/>
      <color indexed="81"/>
      <name val="Tahoma"/>
      <family val="2"/>
    </font>
    <font>
      <sz val="9"/>
      <color indexed="81"/>
      <name val="Tahoma"/>
      <family val="2"/>
    </font>
    <font>
      <b/>
      <sz val="12"/>
      <color rgb="FFFF0000"/>
      <name val="Calibri"/>
      <family val="2"/>
    </font>
    <font>
      <u/>
      <sz val="10"/>
      <color theme="10"/>
      <name val="Arial"/>
      <family val="2"/>
    </font>
    <font>
      <u/>
      <sz val="10"/>
      <color theme="0"/>
      <name val="Arial"/>
      <family val="2"/>
    </font>
    <font>
      <sz val="10"/>
      <name val="Calibri"/>
      <family val="2"/>
    </font>
    <font>
      <sz val="24"/>
      <color theme="0"/>
      <name val="Arial"/>
      <family val="2"/>
    </font>
    <font>
      <sz val="26"/>
      <color theme="0"/>
      <name val="Arial"/>
      <family val="2"/>
    </font>
    <font>
      <sz val="10"/>
      <color theme="0"/>
      <name val="Calibri"/>
      <family val="2"/>
    </font>
    <font>
      <b/>
      <sz val="11"/>
      <color rgb="FF0000FF"/>
      <name val="Arial"/>
      <family val="2"/>
    </font>
    <font>
      <sz val="11"/>
      <color theme="1"/>
      <name val="Arial"/>
      <family val="2"/>
    </font>
    <font>
      <vertAlign val="subscript"/>
      <sz val="11"/>
      <color theme="1"/>
      <name val="Arial"/>
      <family val="2"/>
    </font>
    <font>
      <b/>
      <sz val="11"/>
      <name val="Arial"/>
      <family val="2"/>
    </font>
    <font>
      <b/>
      <sz val="8"/>
      <color indexed="10"/>
      <name val="Tahoma"/>
      <family val="2"/>
    </font>
    <font>
      <b/>
      <sz val="8"/>
      <color indexed="81"/>
      <name val="Arial"/>
      <family val="2"/>
    </font>
    <font>
      <vertAlign val="superscript"/>
      <sz val="10"/>
      <name val="Arial"/>
      <family val="2"/>
    </font>
    <font>
      <b/>
      <u/>
      <sz val="10"/>
      <name val="Arial"/>
      <family val="2"/>
    </font>
    <font>
      <u/>
      <sz val="10"/>
      <name val="Arial"/>
      <family val="2"/>
    </font>
    <font>
      <sz val="11"/>
      <color rgb="FF000000"/>
      <name val="Calibri"/>
      <family val="2"/>
      <scheme val="minor"/>
    </font>
    <font>
      <sz val="10"/>
      <color rgb="FFFF0000"/>
      <name val="Arial"/>
      <family val="2"/>
    </font>
    <font>
      <sz val="22"/>
      <color theme="0"/>
      <name val="Arial"/>
      <family val="2"/>
    </font>
    <font>
      <b/>
      <u/>
      <sz val="10"/>
      <name val="Symbol"/>
      <family val="1"/>
      <charset val="2"/>
    </font>
    <font>
      <b/>
      <sz val="24"/>
      <name val="Arial"/>
      <family val="2"/>
    </font>
    <font>
      <sz val="12"/>
      <name val="MS Sans Serif"/>
      <family val="2"/>
    </font>
    <font>
      <b/>
      <sz val="18"/>
      <name val="Arial"/>
      <family val="2"/>
    </font>
    <font>
      <b/>
      <i/>
      <sz val="16"/>
      <name val="Arial"/>
      <family val="2"/>
    </font>
    <font>
      <b/>
      <i/>
      <sz val="11"/>
      <name val="Arial"/>
      <family val="2"/>
    </font>
    <font>
      <b/>
      <i/>
      <sz val="10"/>
      <name val="Arial"/>
      <family val="2"/>
    </font>
    <font>
      <b/>
      <sz val="9"/>
      <color rgb="FFFF0000"/>
      <name val="Arial"/>
      <family val="2"/>
    </font>
    <font>
      <b/>
      <sz val="10"/>
      <color rgb="FFFF0000"/>
      <name val="Arial"/>
      <family val="2"/>
    </font>
    <font>
      <sz val="11"/>
      <color rgb="FF000000"/>
      <name val="Arial"/>
      <family val="2"/>
    </font>
    <font>
      <sz val="12"/>
      <color rgb="FF0000FF"/>
      <name val="Arial"/>
      <family val="2"/>
    </font>
    <font>
      <b/>
      <u/>
      <sz val="12"/>
      <color rgb="FFFF0000"/>
      <name val="Arial"/>
      <family val="2"/>
    </font>
    <font>
      <sz val="12"/>
      <color rgb="FFFF0000"/>
      <name val="Arial"/>
      <family val="2"/>
    </font>
    <font>
      <sz val="12"/>
      <name val="Arial"/>
      <family val="2"/>
    </font>
    <font>
      <u/>
      <sz val="12"/>
      <color theme="10"/>
      <name val="Arial"/>
      <family val="2"/>
    </font>
    <font>
      <sz val="11"/>
      <name val="Arial"/>
      <family val="2"/>
    </font>
    <font>
      <b/>
      <u/>
      <sz val="9"/>
      <color rgb="FFFF0000"/>
      <name val="Arial"/>
      <family val="2"/>
    </font>
    <font>
      <b/>
      <sz val="9"/>
      <name val="Arial"/>
      <family val="2"/>
    </font>
    <font>
      <sz val="8"/>
      <color indexed="81"/>
      <name val="Tahoma"/>
      <family val="2"/>
    </font>
  </fonts>
  <fills count="14">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4506668294322"/>
        <bgColor indexed="64"/>
      </patternFill>
    </fill>
    <fill>
      <patternFill patternType="solid">
        <fgColor theme="0" tint="-0.249977111117893"/>
        <bgColor indexed="64"/>
      </patternFill>
    </fill>
    <fill>
      <patternFill patternType="solid">
        <fgColor indexed="13"/>
        <bgColor indexed="64"/>
      </patternFill>
    </fill>
    <fill>
      <patternFill patternType="solid">
        <fgColor theme="7"/>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indexed="64"/>
      </left>
      <right/>
      <top/>
      <bottom/>
      <diagonal/>
    </border>
    <border>
      <left/>
      <right/>
      <top/>
      <bottom style="medium">
        <color auto="1"/>
      </bottom>
      <diagonal/>
    </border>
    <border>
      <left style="medium">
        <color indexed="64"/>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style="thin">
        <color indexed="64"/>
      </right>
      <top/>
      <bottom style="medium">
        <color auto="1"/>
      </bottom>
      <diagonal/>
    </border>
    <border>
      <left/>
      <right style="thin">
        <color indexed="64"/>
      </right>
      <top/>
      <bottom style="medium">
        <color auto="1"/>
      </bottom>
      <diagonal/>
    </border>
    <border>
      <left style="thin">
        <color indexed="64"/>
      </left>
      <right style="thin">
        <color indexed="64"/>
      </right>
      <top style="medium">
        <color auto="1"/>
      </top>
      <bottom/>
      <diagonal/>
    </border>
    <border>
      <left/>
      <right style="thin">
        <color auto="1"/>
      </right>
      <top style="medium">
        <color auto="1"/>
      </top>
      <bottom/>
      <diagonal/>
    </border>
    <border>
      <left style="thick">
        <color indexed="39"/>
      </left>
      <right/>
      <top style="thick">
        <color indexed="39"/>
      </top>
      <bottom/>
      <diagonal/>
    </border>
    <border>
      <left/>
      <right/>
      <top style="thick">
        <color indexed="39"/>
      </top>
      <bottom/>
      <diagonal/>
    </border>
    <border>
      <left/>
      <right style="thick">
        <color indexed="39"/>
      </right>
      <top style="thick">
        <color indexed="39"/>
      </top>
      <bottom/>
      <diagonal/>
    </border>
    <border>
      <left style="thick">
        <color indexed="39"/>
      </left>
      <right/>
      <top/>
      <bottom/>
      <diagonal/>
    </border>
    <border>
      <left/>
      <right style="thick">
        <color indexed="39"/>
      </right>
      <top/>
      <bottom/>
      <diagonal/>
    </border>
    <border>
      <left style="thick">
        <color indexed="39"/>
      </left>
      <right/>
      <top/>
      <bottom style="thick">
        <color indexed="39"/>
      </bottom>
      <diagonal/>
    </border>
    <border>
      <left/>
      <right/>
      <top/>
      <bottom style="thick">
        <color indexed="39"/>
      </bottom>
      <diagonal/>
    </border>
    <border>
      <left/>
      <right style="thick">
        <color indexed="39"/>
      </right>
      <top/>
      <bottom style="thick">
        <color indexed="39"/>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s>
  <cellStyleXfs count="16">
    <xf numFmtId="0" fontId="0" fillId="0" borderId="0"/>
    <xf numFmtId="0" fontId="17" fillId="0" borderId="0" applyNumberFormat="0" applyFill="0" applyBorder="0" applyAlignment="0" applyProtection="0">
      <alignment vertical="top"/>
      <protection locked="0"/>
    </xf>
    <xf numFmtId="0" fontId="4" fillId="0" borderId="0"/>
    <xf numFmtId="0" fontId="4" fillId="2" borderId="0">
      <alignment horizontal="center"/>
    </xf>
    <xf numFmtId="0" fontId="4" fillId="5" borderId="1">
      <alignment horizontal="center" vertical="center"/>
      <protection locked="0"/>
    </xf>
    <xf numFmtId="0" fontId="4" fillId="10" borderId="1">
      <alignment horizontal="center" vertical="center"/>
      <protection locked="0"/>
    </xf>
    <xf numFmtId="0" fontId="4" fillId="0" borderId="13"/>
    <xf numFmtId="0" fontId="4" fillId="10" borderId="1">
      <alignment horizontal="center" vertical="center"/>
      <protection locked="0"/>
    </xf>
    <xf numFmtId="0" fontId="4" fillId="10" borderId="1">
      <alignment horizontal="center" vertical="center"/>
      <protection locked="0"/>
    </xf>
    <xf numFmtId="0" fontId="4" fillId="10" borderId="1">
      <alignment horizontal="center" vertical="center"/>
      <protection locked="0"/>
    </xf>
    <xf numFmtId="0" fontId="3" fillId="0" borderId="0"/>
    <xf numFmtId="0" fontId="2" fillId="0" borderId="0"/>
    <xf numFmtId="0" fontId="1" fillId="0" borderId="0"/>
    <xf numFmtId="0" fontId="4" fillId="0" borderId="0"/>
    <xf numFmtId="0" fontId="1" fillId="0" borderId="0"/>
    <xf numFmtId="0" fontId="1" fillId="0" borderId="0"/>
  </cellStyleXfs>
  <cellXfs count="382">
    <xf numFmtId="0" fontId="0" fillId="0" borderId="0" xfId="0"/>
    <xf numFmtId="0" fontId="0" fillId="0" borderId="0" xfId="0" applyAlignment="1">
      <alignment horizontal="center"/>
    </xf>
    <xf numFmtId="0" fontId="0" fillId="0" borderId="0" xfId="0" applyAlignment="1">
      <alignment horizontal="right"/>
    </xf>
    <xf numFmtId="0" fontId="0" fillId="0" borderId="0" xfId="0" applyFill="1" applyBorder="1" applyAlignment="1">
      <alignment horizontal="right"/>
    </xf>
    <xf numFmtId="2" fontId="0" fillId="0" borderId="0" xfId="0" applyNumberFormat="1"/>
    <xf numFmtId="0" fontId="0" fillId="0" borderId="1" xfId="0" applyBorder="1" applyAlignment="1">
      <alignment horizontal="center"/>
    </xf>
    <xf numFmtId="164" fontId="0" fillId="0" borderId="0" xfId="0" applyNumberFormat="1" applyAlignment="1">
      <alignment horizontal="center"/>
    </xf>
    <xf numFmtId="10" fontId="0" fillId="0" borderId="0" xfId="0" applyNumberFormat="1"/>
    <xf numFmtId="0" fontId="0" fillId="0" borderId="2" xfId="0" applyBorder="1" applyAlignment="1">
      <alignment horizontal="center"/>
    </xf>
    <xf numFmtId="0" fontId="0" fillId="0" borderId="0" xfId="0" applyBorder="1"/>
    <xf numFmtId="0" fontId="0" fillId="0" borderId="3" xfId="0" applyBorder="1"/>
    <xf numFmtId="0" fontId="0" fillId="0" borderId="4" xfId="0" applyBorder="1"/>
    <xf numFmtId="0" fontId="0" fillId="0" borderId="5" xfId="0" applyFill="1" applyBorder="1" applyAlignment="1">
      <alignment horizontal="right"/>
    </xf>
    <xf numFmtId="0" fontId="0" fillId="0" borderId="6" xfId="0" applyBorder="1"/>
    <xf numFmtId="0" fontId="0" fillId="0" borderId="7" xfId="0" applyFill="1" applyBorder="1" applyAlignment="1">
      <alignment horizontal="right"/>
    </xf>
    <xf numFmtId="0" fontId="0" fillId="0" borderId="8" xfId="0" applyBorder="1"/>
    <xf numFmtId="0" fontId="0" fillId="0" borderId="9" xfId="0" applyBorder="1"/>
    <xf numFmtId="0" fontId="0" fillId="0" borderId="10" xfId="0" applyFill="1" applyBorder="1" applyAlignment="1">
      <alignment horizontal="right"/>
    </xf>
    <xf numFmtId="2" fontId="0" fillId="0" borderId="0" xfId="0" applyNumberFormat="1" applyAlignment="1">
      <alignment horizontal="center"/>
    </xf>
    <xf numFmtId="0" fontId="0" fillId="2" borderId="0" xfId="0" applyFill="1"/>
    <xf numFmtId="0" fontId="0" fillId="2" borderId="0" xfId="0" applyFill="1" applyAlignment="1">
      <alignment horizontal="center"/>
    </xf>
    <xf numFmtId="0" fontId="0" fillId="2" borderId="1" xfId="0" applyFill="1" applyBorder="1" applyAlignment="1">
      <alignment horizontal="center"/>
    </xf>
    <xf numFmtId="0" fontId="0" fillId="2" borderId="0" xfId="0" applyFill="1" applyBorder="1" applyAlignment="1">
      <alignment horizontal="right"/>
    </xf>
    <xf numFmtId="0" fontId="0" fillId="2" borderId="0" xfId="0" applyFill="1" applyBorder="1"/>
    <xf numFmtId="0" fontId="11" fillId="2" borderId="0" xfId="0" applyFont="1" applyFill="1" applyAlignment="1">
      <alignment horizontal="left"/>
    </xf>
    <xf numFmtId="14" fontId="11" fillId="2" borderId="0" xfId="0" applyNumberFormat="1" applyFont="1" applyFill="1" applyAlignment="1">
      <alignment horizontal="left"/>
    </xf>
    <xf numFmtId="0" fontId="0" fillId="0" borderId="1" xfId="0" applyFill="1" applyBorder="1" applyAlignment="1">
      <alignment horizontal="center"/>
    </xf>
    <xf numFmtId="0" fontId="5" fillId="0" borderId="0" xfId="0" applyFont="1"/>
    <xf numFmtId="2" fontId="0" fillId="0" borderId="1" xfId="0" applyNumberFormat="1" applyBorder="1" applyAlignment="1">
      <alignment horizontal="center"/>
    </xf>
    <xf numFmtId="0" fontId="0" fillId="0" borderId="11" xfId="0" applyBorder="1" applyAlignment="1">
      <alignment horizontal="center"/>
    </xf>
    <xf numFmtId="0" fontId="0" fillId="0" borderId="14" xfId="0" applyFill="1" applyBorder="1" applyAlignment="1">
      <alignment horizontal="center"/>
    </xf>
    <xf numFmtId="0" fontId="0" fillId="2" borderId="0" xfId="0" applyFill="1" applyProtection="1">
      <protection locked="0"/>
    </xf>
    <xf numFmtId="0" fontId="0" fillId="2" borderId="0" xfId="0" applyFill="1" applyProtection="1"/>
    <xf numFmtId="0" fontId="4" fillId="0" borderId="0" xfId="0" applyFont="1"/>
    <xf numFmtId="0" fontId="4" fillId="0" borderId="0" xfId="0" applyFont="1" applyAlignment="1">
      <alignment horizontal="right"/>
    </xf>
    <xf numFmtId="0" fontId="4" fillId="2" borderId="0" xfId="0" applyFont="1" applyFill="1" applyBorder="1" applyAlignment="1">
      <alignment horizontal="left"/>
    </xf>
    <xf numFmtId="0" fontId="0" fillId="3" borderId="0" xfId="0" applyFill="1"/>
    <xf numFmtId="0" fontId="4" fillId="2" borderId="0" xfId="0" applyFont="1" applyFill="1" applyBorder="1" applyAlignment="1">
      <alignment horizontal="right"/>
    </xf>
    <xf numFmtId="0" fontId="18" fillId="2" borderId="0" xfId="1" applyFont="1" applyFill="1" applyAlignment="1" applyProtection="1"/>
    <xf numFmtId="0" fontId="19" fillId="3" borderId="0" xfId="0" applyFont="1" applyFill="1" applyProtection="1"/>
    <xf numFmtId="0" fontId="22" fillId="3" borderId="0" xfId="0" applyFont="1" applyFill="1" applyBorder="1" applyProtection="1"/>
    <xf numFmtId="0" fontId="22" fillId="3" borderId="0" xfId="0" applyFont="1" applyFill="1" applyProtection="1"/>
    <xf numFmtId="0" fontId="21" fillId="3" borderId="24" xfId="0" applyFont="1" applyFill="1" applyBorder="1" applyAlignment="1" applyProtection="1">
      <alignment horizontal="center" vertical="center"/>
    </xf>
    <xf numFmtId="0" fontId="23" fillId="2" borderId="0" xfId="0" applyFont="1" applyFill="1"/>
    <xf numFmtId="0" fontId="26" fillId="2" borderId="0" xfId="0" applyFont="1" applyFill="1"/>
    <xf numFmtId="0" fontId="0" fillId="2" borderId="1" xfId="0" applyFill="1" applyBorder="1" applyAlignment="1">
      <alignment horizontal="center" vertical="center"/>
    </xf>
    <xf numFmtId="0" fontId="0" fillId="2" borderId="1" xfId="0" applyNumberFormat="1" applyFill="1" applyBorder="1" applyAlignment="1">
      <alignment horizontal="center" vertical="center"/>
    </xf>
    <xf numFmtId="0" fontId="0" fillId="2" borderId="11" xfId="0" applyNumberFormat="1" applyFill="1" applyBorder="1" applyAlignment="1">
      <alignment horizontal="center" vertical="center"/>
    </xf>
    <xf numFmtId="165" fontId="0" fillId="2" borderId="11" xfId="0" applyNumberFormat="1" applyFill="1" applyBorder="1" applyAlignment="1">
      <alignment horizontal="center" vertical="center"/>
    </xf>
    <xf numFmtId="2"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1" fontId="0" fillId="2" borderId="11"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6" xfId="0" applyNumberFormat="1" applyFill="1" applyBorder="1" applyAlignment="1">
      <alignment horizontal="center" vertical="center"/>
    </xf>
    <xf numFmtId="2" fontId="0" fillId="2" borderId="17" xfId="0" applyNumberFormat="1" applyFill="1" applyBorder="1" applyAlignment="1">
      <alignment horizontal="center" vertical="center"/>
    </xf>
    <xf numFmtId="2" fontId="0" fillId="2" borderId="18" xfId="0" applyNumberFormat="1" applyFill="1" applyBorder="1" applyAlignment="1">
      <alignment horizontal="center" vertical="center"/>
    </xf>
    <xf numFmtId="2" fontId="0" fillId="2" borderId="1"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20" xfId="0" applyNumberFormat="1" applyFill="1" applyBorder="1" applyAlignment="1">
      <alignment horizontal="center" vertical="center"/>
    </xf>
    <xf numFmtId="2" fontId="0" fillId="2" borderId="21" xfId="0" applyNumberFormat="1" applyFill="1" applyBorder="1" applyAlignment="1">
      <alignment horizontal="center" vertical="center"/>
    </xf>
    <xf numFmtId="2" fontId="0" fillId="2" borderId="22" xfId="0" applyNumberFormat="1" applyFill="1" applyBorder="1" applyAlignment="1">
      <alignment horizontal="center" vertical="center"/>
    </xf>
    <xf numFmtId="2" fontId="0" fillId="2" borderId="12" xfId="0" applyNumberFormat="1" applyFill="1" applyBorder="1" applyAlignment="1">
      <alignment horizontal="center" vertical="center"/>
    </xf>
    <xf numFmtId="2" fontId="0" fillId="0" borderId="1" xfId="0" applyNumberFormat="1" applyBorder="1" applyAlignment="1">
      <alignment horizontal="center" vertical="center"/>
    </xf>
    <xf numFmtId="1" fontId="0" fillId="2" borderId="1" xfId="0" applyNumberFormat="1" applyFill="1" applyBorder="1" applyAlignment="1">
      <alignment horizontal="center" vertical="center"/>
    </xf>
    <xf numFmtId="2" fontId="0" fillId="3" borderId="1" xfId="0" applyNumberFormat="1" applyFill="1" applyBorder="1" applyAlignment="1" applyProtection="1">
      <alignment horizontal="center"/>
    </xf>
    <xf numFmtId="165" fontId="0" fillId="2" borderId="1" xfId="0" applyNumberFormat="1" applyFill="1" applyBorder="1" applyAlignment="1">
      <alignment horizontal="center" vertical="center"/>
    </xf>
    <xf numFmtId="0" fontId="0" fillId="2" borderId="0" xfId="0"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Alignment="1">
      <alignment horizontal="right"/>
    </xf>
    <xf numFmtId="0" fontId="0" fillId="0" borderId="1" xfId="0" applyFill="1" applyBorder="1" applyAlignment="1" applyProtection="1">
      <alignment horizontal="center" vertical="center"/>
      <protection locked="0"/>
    </xf>
    <xf numFmtId="0" fontId="4" fillId="0" borderId="0" xfId="2" applyAlignment="1" applyProtection="1">
      <alignment horizontal="center"/>
    </xf>
    <xf numFmtId="0" fontId="4" fillId="0" borderId="0" xfId="2"/>
    <xf numFmtId="164" fontId="4" fillId="0" borderId="0" xfId="2" applyNumberFormat="1" applyAlignment="1" applyProtection="1">
      <alignment horizontal="center"/>
    </xf>
    <xf numFmtId="166" fontId="4" fillId="0" borderId="0" xfId="2" applyNumberFormat="1" applyAlignment="1" applyProtection="1">
      <alignment horizontal="center"/>
    </xf>
    <xf numFmtId="2" fontId="4" fillId="0" borderId="25" xfId="2" applyNumberFormat="1" applyBorder="1" applyAlignment="1" applyProtection="1">
      <alignment horizontal="center"/>
    </xf>
    <xf numFmtId="0" fontId="4" fillId="0" borderId="1" xfId="2" applyFont="1" applyBorder="1"/>
    <xf numFmtId="0" fontId="4" fillId="0" borderId="1" xfId="2" applyBorder="1"/>
    <xf numFmtId="0" fontId="4" fillId="0" borderId="0" xfId="0" applyFont="1" applyFill="1" applyBorder="1"/>
    <xf numFmtId="0" fontId="0" fillId="0" borderId="0" xfId="0" applyFill="1" applyBorder="1" applyAlignment="1" applyProtection="1">
      <alignment horizontal="center" vertical="center"/>
      <protection locked="0"/>
    </xf>
    <xf numFmtId="0" fontId="4" fillId="0" borderId="0" xfId="0" applyFont="1" applyFill="1" applyAlignment="1">
      <alignment horizontal="right"/>
    </xf>
    <xf numFmtId="166" fontId="4" fillId="0" borderId="0" xfId="2" applyNumberFormat="1" applyAlignment="1">
      <alignment horizontal="center"/>
    </xf>
    <xf numFmtId="2" fontId="4" fillId="0" borderId="0" xfId="2" applyNumberFormat="1" applyAlignment="1">
      <alignment horizontal="center"/>
    </xf>
    <xf numFmtId="0" fontId="4" fillId="0" borderId="0" xfId="0" applyFont="1" applyAlignment="1">
      <alignment horizontal="center"/>
    </xf>
    <xf numFmtId="0" fontId="0" fillId="2" borderId="24" xfId="0" applyFill="1" applyBorder="1"/>
    <xf numFmtId="0" fontId="4" fillId="2" borderId="24" xfId="0" applyFont="1" applyFill="1" applyBorder="1" applyAlignment="1">
      <alignment horizontal="right" vertical="center"/>
    </xf>
    <xf numFmtId="0" fontId="23" fillId="2" borderId="25" xfId="0" applyFont="1" applyFill="1" applyBorder="1"/>
    <xf numFmtId="0" fontId="0" fillId="2" borderId="25" xfId="0" applyFill="1" applyBorder="1"/>
    <xf numFmtId="0" fontId="0" fillId="2" borderId="27" xfId="0" applyFill="1" applyBorder="1"/>
    <xf numFmtId="0" fontId="0" fillId="2" borderId="26" xfId="0" applyFill="1" applyBorder="1"/>
    <xf numFmtId="0" fontId="4" fillId="2" borderId="26" xfId="0" applyFont="1" applyFill="1" applyBorder="1" applyAlignment="1">
      <alignment horizontal="right" vertical="center"/>
    </xf>
    <xf numFmtId="0" fontId="5" fillId="2" borderId="25" xfId="0" applyFont="1" applyFill="1" applyBorder="1"/>
    <xf numFmtId="0" fontId="4" fillId="2" borderId="24" xfId="0" applyFont="1" applyFill="1" applyBorder="1" applyAlignment="1">
      <alignment horizontal="right"/>
    </xf>
    <xf numFmtId="0" fontId="0" fillId="0" borderId="25" xfId="0" applyBorder="1"/>
    <xf numFmtId="0" fontId="0" fillId="0" borderId="0" xfId="0" applyAlignment="1">
      <alignment horizontal="left"/>
    </xf>
    <xf numFmtId="2" fontId="4"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0" fillId="2" borderId="16" xfId="0" applyFill="1" applyBorder="1" applyAlignment="1">
      <alignment horizontal="center" vertical="center"/>
    </xf>
    <xf numFmtId="0" fontId="0" fillId="2" borderId="24" xfId="0" applyFill="1" applyBorder="1" applyAlignment="1">
      <alignment horizontal="right" vertical="center"/>
    </xf>
    <xf numFmtId="0" fontId="0" fillId="2" borderId="29" xfId="0" applyFill="1" applyBorder="1"/>
    <xf numFmtId="0" fontId="5" fillId="2" borderId="0" xfId="0" applyFont="1" applyFill="1" applyBorder="1" applyAlignment="1">
      <alignment horizontal="right"/>
    </xf>
    <xf numFmtId="0" fontId="5" fillId="2" borderId="0" xfId="0" applyFont="1" applyFill="1" applyBorder="1" applyAlignment="1">
      <alignment horizontal="center"/>
    </xf>
    <xf numFmtId="0" fontId="10" fillId="2" borderId="0" xfId="0" applyFont="1" applyFill="1" applyBorder="1"/>
    <xf numFmtId="0" fontId="0" fillId="2" borderId="30" xfId="0" applyFill="1" applyBorder="1"/>
    <xf numFmtId="0" fontId="4" fillId="2" borderId="29" xfId="0" applyFont="1" applyFill="1" applyBorder="1"/>
    <xf numFmtId="0" fontId="24" fillId="2" borderId="0" xfId="0" applyFont="1" applyFill="1" applyBorder="1" applyAlignment="1">
      <alignment horizontal="right" vertical="center"/>
    </xf>
    <xf numFmtId="0" fontId="0" fillId="2" borderId="14" xfId="0" applyFill="1" applyBorder="1" applyAlignment="1">
      <alignment horizontal="center" vertical="center"/>
    </xf>
    <xf numFmtId="0" fontId="0" fillId="2" borderId="7" xfId="0" applyFill="1" applyBorder="1" applyAlignment="1">
      <alignment horizontal="right" vertical="center"/>
    </xf>
    <xf numFmtId="0" fontId="4" fillId="2" borderId="13" xfId="0" applyFont="1" applyFill="1" applyBorder="1" applyAlignment="1">
      <alignment horizontal="right" vertical="center"/>
    </xf>
    <xf numFmtId="0" fontId="4" fillId="2" borderId="7" xfId="0" applyFont="1" applyFill="1" applyBorder="1" applyAlignment="1">
      <alignment horizontal="right" vertical="center"/>
    </xf>
    <xf numFmtId="0" fontId="0" fillId="3" borderId="0" xfId="0" applyFill="1" applyBorder="1"/>
    <xf numFmtId="0" fontId="0" fillId="0" borderId="0" xfId="0" applyFill="1" applyBorder="1" applyAlignment="1" applyProtection="1">
      <alignment horizontal="center"/>
    </xf>
    <xf numFmtId="0" fontId="0" fillId="3" borderId="0" xfId="0" applyFill="1" applyBorder="1" applyAlignment="1">
      <alignment horizontal="center"/>
    </xf>
    <xf numFmtId="0" fontId="4" fillId="2" borderId="7" xfId="0" applyFont="1" applyFill="1" applyBorder="1" applyAlignment="1">
      <alignment horizontal="right"/>
    </xf>
    <xf numFmtId="0" fontId="0" fillId="5" borderId="0" xfId="0" applyFill="1" applyBorder="1"/>
    <xf numFmtId="0" fontId="4" fillId="5" borderId="0" xfId="0" applyFont="1" applyFill="1" applyBorder="1" applyAlignment="1">
      <alignment horizontal="right" vertical="center"/>
    </xf>
    <xf numFmtId="0" fontId="0" fillId="6" borderId="0" xfId="0" applyFill="1" applyBorder="1"/>
    <xf numFmtId="0" fontId="4" fillId="6" borderId="0" xfId="0" applyFont="1" applyFill="1" applyBorder="1" applyAlignment="1">
      <alignment horizontal="right" vertical="center"/>
    </xf>
    <xf numFmtId="1" fontId="4" fillId="2" borderId="1" xfId="0" applyNumberFormat="1" applyFont="1" applyFill="1" applyBorder="1" applyAlignment="1">
      <alignment horizontal="center" vertical="center"/>
    </xf>
    <xf numFmtId="0" fontId="19" fillId="0" borderId="0" xfId="0" applyFont="1" applyFill="1" applyBorder="1" applyProtection="1"/>
    <xf numFmtId="0" fontId="0" fillId="2" borderId="28" xfId="0" applyFill="1" applyBorder="1"/>
    <xf numFmtId="0" fontId="4" fillId="2" borderId="0" xfId="0" applyFont="1" applyFill="1" applyBorder="1"/>
    <xf numFmtId="0" fontId="24" fillId="2" borderId="24" xfId="0" applyFont="1" applyFill="1" applyBorder="1" applyAlignment="1">
      <alignment horizontal="right" vertical="center"/>
    </xf>
    <xf numFmtId="14" fontId="4" fillId="2" borderId="0" xfId="0" applyNumberFormat="1" applyFont="1" applyFill="1" applyBorder="1" applyAlignment="1">
      <alignment horizontal="center"/>
    </xf>
    <xf numFmtId="0" fontId="4" fillId="2" borderId="26" xfId="0" applyFont="1" applyFill="1" applyBorder="1" applyAlignment="1">
      <alignment horizontal="left"/>
    </xf>
    <xf numFmtId="0" fontId="5" fillId="2" borderId="0" xfId="0" applyFont="1" applyFill="1" applyBorder="1"/>
    <xf numFmtId="0" fontId="0" fillId="2" borderId="21" xfId="0" applyFill="1" applyBorder="1" applyAlignment="1">
      <alignment horizontal="center"/>
    </xf>
    <xf numFmtId="1" fontId="0" fillId="2" borderId="1" xfId="0" applyNumberFormat="1" applyFill="1" applyBorder="1" applyAlignment="1">
      <alignment horizontal="center"/>
    </xf>
    <xf numFmtId="164" fontId="0" fillId="2" borderId="1" xfId="0" applyNumberFormat="1" applyFill="1" applyBorder="1" applyAlignment="1">
      <alignment horizontal="center"/>
    </xf>
    <xf numFmtId="0" fontId="33" fillId="0" borderId="0" xfId="0" applyFont="1"/>
    <xf numFmtId="0" fontId="4" fillId="2" borderId="32" xfId="0" applyFont="1" applyFill="1" applyBorder="1" applyAlignment="1">
      <alignment horizontal="right" vertical="center"/>
    </xf>
    <xf numFmtId="2" fontId="0" fillId="3" borderId="11" xfId="0" applyNumberFormat="1" applyFill="1" applyBorder="1" applyAlignment="1" applyProtection="1">
      <alignment horizontal="center"/>
    </xf>
    <xf numFmtId="165" fontId="0" fillId="2" borderId="1" xfId="0" applyNumberFormat="1" applyFill="1" applyBorder="1" applyAlignment="1">
      <alignment horizontal="center"/>
    </xf>
    <xf numFmtId="0" fontId="0" fillId="7" borderId="24" xfId="0" applyFill="1" applyBorder="1"/>
    <xf numFmtId="2" fontId="0" fillId="2" borderId="1" xfId="0" applyNumberFormat="1" applyFill="1" applyBorder="1" applyAlignment="1">
      <alignment horizontal="center"/>
    </xf>
    <xf numFmtId="0" fontId="0" fillId="3" borderId="1" xfId="0" applyFill="1" applyBorder="1" applyAlignment="1" applyProtection="1">
      <alignment horizontal="center"/>
    </xf>
    <xf numFmtId="1" fontId="4" fillId="2" borderId="0" xfId="0" applyNumberFormat="1" applyFont="1" applyFill="1" applyBorder="1" applyAlignment="1">
      <alignment horizontal="center" vertical="center"/>
    </xf>
    <xf numFmtId="0" fontId="5" fillId="0" borderId="0" xfId="0" applyFont="1" applyFill="1" applyAlignment="1" applyProtection="1">
      <alignment horizontal="left"/>
      <protection locked="0"/>
    </xf>
    <xf numFmtId="0" fontId="0" fillId="0" borderId="0" xfId="0" applyFill="1"/>
    <xf numFmtId="0" fontId="5" fillId="0" borderId="15"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2" xfId="0" applyFill="1" applyBorder="1" applyAlignment="1" applyProtection="1">
      <alignment horizontal="center"/>
      <protection locked="0"/>
    </xf>
    <xf numFmtId="2" fontId="0" fillId="3" borderId="1" xfId="0" applyNumberFormat="1" applyFill="1" applyBorder="1" applyAlignment="1" applyProtection="1">
      <alignment horizontal="center" vertical="center"/>
    </xf>
    <xf numFmtId="0" fontId="0" fillId="8" borderId="0" xfId="0" applyFill="1" applyBorder="1"/>
    <xf numFmtId="0" fontId="4" fillId="8" borderId="0" xfId="0" applyFont="1" applyFill="1" applyBorder="1" applyAlignment="1">
      <alignment horizontal="right" vertical="center"/>
    </xf>
    <xf numFmtId="0" fontId="0" fillId="9" borderId="1" xfId="0" applyNumberFormat="1" applyFill="1" applyBorder="1" applyAlignment="1" applyProtection="1">
      <alignment horizontal="center" vertical="center"/>
      <protection locked="0"/>
    </xf>
    <xf numFmtId="0" fontId="26" fillId="7" borderId="23" xfId="0" applyFont="1" applyFill="1" applyBorder="1"/>
    <xf numFmtId="0" fontId="0" fillId="3" borderId="29" xfId="0" applyFill="1" applyBorder="1"/>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0" fontId="4" fillId="0" borderId="0" xfId="0" applyFont="1" applyAlignment="1">
      <alignment horizontal="left"/>
    </xf>
    <xf numFmtId="11" fontId="0" fillId="0" borderId="0" xfId="0" applyNumberFormat="1" applyAlignment="1">
      <alignment horizontal="center"/>
    </xf>
    <xf numFmtId="167" fontId="0" fillId="0" borderId="0" xfId="0" applyNumberFormat="1"/>
    <xf numFmtId="1" fontId="0" fillId="0" borderId="0" xfId="0" applyNumberFormat="1"/>
    <xf numFmtId="2" fontId="4" fillId="0" borderId="0" xfId="2" applyNumberFormat="1"/>
    <xf numFmtId="0" fontId="30" fillId="0" borderId="0" xfId="2" applyFont="1"/>
    <xf numFmtId="0" fontId="30" fillId="0" borderId="0" xfId="2" applyFont="1" applyAlignment="1" applyProtection="1">
      <alignment horizontal="center"/>
    </xf>
    <xf numFmtId="0" fontId="30" fillId="0" borderId="0" xfId="2" applyFont="1" applyAlignment="1">
      <alignment horizontal="center"/>
    </xf>
    <xf numFmtId="10" fontId="4" fillId="0" borderId="0" xfId="2" applyNumberFormat="1"/>
    <xf numFmtId="0" fontId="4" fillId="0" borderId="0" xfId="0" applyFont="1" applyAlignment="1">
      <alignment horizontal="center"/>
    </xf>
    <xf numFmtId="0" fontId="0" fillId="0" borderId="0" xfId="0" applyAlignment="1">
      <alignment horizontal="center"/>
    </xf>
    <xf numFmtId="9" fontId="0" fillId="2" borderId="1" xfId="0" applyNumberFormat="1" applyFill="1" applyBorder="1" applyAlignment="1">
      <alignment horizontal="center" vertical="center"/>
    </xf>
    <xf numFmtId="0" fontId="4" fillId="0" borderId="1" xfId="0" applyFont="1" applyFill="1" applyBorder="1" applyAlignment="1">
      <alignment horizontal="center"/>
    </xf>
    <xf numFmtId="0" fontId="4" fillId="0" borderId="6" xfId="0" applyFont="1" applyFill="1" applyBorder="1" applyAlignment="1">
      <alignment horizontal="center"/>
    </xf>
    <xf numFmtId="0" fontId="31" fillId="0" borderId="0" xfId="2" applyFont="1"/>
    <xf numFmtId="165" fontId="0" fillId="0" borderId="1" xfId="0" applyNumberFormat="1" applyFill="1" applyBorder="1" applyAlignment="1" applyProtection="1">
      <alignment horizontal="center" vertical="center"/>
    </xf>
    <xf numFmtId="0" fontId="30" fillId="0" borderId="0" xfId="0" applyFont="1" applyAlignment="1">
      <alignment horizontal="center"/>
    </xf>
    <xf numFmtId="0" fontId="5" fillId="0" borderId="0" xfId="0" applyFont="1" applyAlignment="1">
      <alignment horizontal="center"/>
    </xf>
    <xf numFmtId="0" fontId="4" fillId="3" borderId="0" xfId="0" applyFont="1" applyFill="1" applyBorder="1" applyAlignment="1">
      <alignment horizontal="right" vertical="center"/>
    </xf>
    <xf numFmtId="0" fontId="4" fillId="3" borderId="0" xfId="0" applyFont="1" applyFill="1" applyAlignment="1">
      <alignment horizontal="right"/>
    </xf>
    <xf numFmtId="0" fontId="4" fillId="0" borderId="13" xfId="0" applyFont="1" applyBorder="1" applyAlignment="1">
      <alignment horizontal="center"/>
    </xf>
    <xf numFmtId="0" fontId="4" fillId="2" borderId="33" xfId="0" applyFont="1" applyFill="1" applyBorder="1" applyAlignment="1">
      <alignment horizontal="center" vertical="center"/>
    </xf>
    <xf numFmtId="0" fontId="4" fillId="2" borderId="13" xfId="0" applyFont="1" applyFill="1" applyBorder="1" applyAlignment="1">
      <alignment horizontal="center" vertical="center"/>
    </xf>
    <xf numFmtId="0" fontId="0" fillId="2" borderId="13" xfId="0" applyFill="1" applyBorder="1" applyAlignment="1">
      <alignment horizontal="center" vertical="center"/>
    </xf>
    <xf numFmtId="0" fontId="4" fillId="2" borderId="31" xfId="0" applyFont="1" applyFill="1" applyBorder="1" applyAlignment="1">
      <alignment horizontal="center" vertical="center"/>
    </xf>
    <xf numFmtId="0" fontId="0" fillId="0" borderId="33" xfId="0" applyBorder="1" applyAlignment="1">
      <alignment horizontal="center" vertical="center"/>
    </xf>
    <xf numFmtId="0" fontId="13" fillId="2" borderId="13" xfId="0" applyFont="1" applyFill="1" applyBorder="1" applyAlignment="1">
      <alignment horizontal="center" vertical="center"/>
    </xf>
    <xf numFmtId="0" fontId="0" fillId="2" borderId="33" xfId="0" applyFill="1" applyBorder="1" applyAlignment="1">
      <alignment horizontal="center" vertical="center"/>
    </xf>
    <xf numFmtId="0" fontId="9" fillId="2" borderId="13" xfId="0" applyFont="1" applyFill="1" applyBorder="1" applyAlignment="1">
      <alignment horizontal="center" vertical="center"/>
    </xf>
    <xf numFmtId="0" fontId="0" fillId="2" borderId="34" xfId="0" applyFill="1" applyBorder="1" applyAlignment="1">
      <alignment horizontal="center" vertical="center"/>
    </xf>
    <xf numFmtId="0" fontId="4"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0" fillId="2" borderId="7" xfId="0" applyFill="1" applyBorder="1" applyAlignment="1">
      <alignment horizontal="center"/>
    </xf>
    <xf numFmtId="0" fontId="9" fillId="2" borderId="7" xfId="0" applyFont="1" applyFill="1" applyBorder="1" applyAlignment="1">
      <alignment horizontal="center"/>
    </xf>
    <xf numFmtId="0" fontId="4" fillId="2" borderId="7" xfId="0" applyFont="1" applyFill="1" applyBorder="1" applyAlignment="1">
      <alignment horizontal="center"/>
    </xf>
    <xf numFmtId="0" fontId="9" fillId="2" borderId="24" xfId="0" applyFont="1" applyFill="1" applyBorder="1" applyAlignment="1">
      <alignment horizontal="center" vertical="center"/>
    </xf>
    <xf numFmtId="0" fontId="13"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0" fillId="2" borderId="26" xfId="0" applyFill="1" applyBorder="1" applyAlignment="1">
      <alignment horizontal="center"/>
    </xf>
    <xf numFmtId="0" fontId="0" fillId="3" borderId="0" xfId="0" applyFill="1" applyAlignment="1">
      <alignment horizontal="center"/>
    </xf>
    <xf numFmtId="0" fontId="4" fillId="0" borderId="0" xfId="0" applyFont="1" applyFill="1" applyBorder="1" applyAlignment="1">
      <alignment horizontal="right"/>
    </xf>
    <xf numFmtId="2" fontId="4" fillId="0" borderId="0" xfId="0" applyNumberFormat="1" applyFont="1"/>
    <xf numFmtId="0" fontId="0" fillId="0" borderId="0" xfId="0" applyAlignment="1">
      <alignment horizontal="center"/>
    </xf>
    <xf numFmtId="0" fontId="0" fillId="10" borderId="16"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10" borderId="21" xfId="0" applyFill="1" applyBorder="1" applyAlignment="1" applyProtection="1">
      <alignment horizontal="center" vertical="center"/>
      <protection locked="0"/>
    </xf>
    <xf numFmtId="0" fontId="4" fillId="2" borderId="0" xfId="0" applyFont="1" applyFill="1"/>
    <xf numFmtId="0" fontId="4" fillId="6" borderId="16"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165" fontId="0" fillId="6" borderId="1" xfId="0" applyNumberFormat="1"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0" fillId="6" borderId="1" xfId="0" applyNumberFormat="1" applyFill="1" applyBorder="1" applyAlignment="1" applyProtection="1">
      <alignment horizontal="center" vertical="center"/>
      <protection locked="0"/>
    </xf>
    <xf numFmtId="0" fontId="0" fillId="6" borderId="1" xfId="0" applyFill="1" applyBorder="1" applyAlignment="1" applyProtection="1">
      <alignment horizontal="center"/>
      <protection locked="0"/>
    </xf>
    <xf numFmtId="0" fontId="0" fillId="6" borderId="1" xfId="0" applyFill="1" applyBorder="1" applyAlignment="1" applyProtection="1">
      <alignment horizontal="center"/>
    </xf>
    <xf numFmtId="0" fontId="0" fillId="2" borderId="6" xfId="0" applyFill="1" applyBorder="1"/>
    <xf numFmtId="165" fontId="4" fillId="0" borderId="0" xfId="2" applyNumberFormat="1" applyAlignment="1">
      <alignment horizontal="center"/>
    </xf>
    <xf numFmtId="165" fontId="4" fillId="0" borderId="0" xfId="2" applyNumberFormat="1"/>
    <xf numFmtId="0" fontId="33" fillId="4" borderId="1" xfId="0" applyFont="1" applyFill="1" applyBorder="1" applyAlignment="1">
      <alignment horizontal="center"/>
    </xf>
    <xf numFmtId="0" fontId="0" fillId="5" borderId="1" xfId="0" applyFill="1" applyBorder="1" applyAlignment="1">
      <alignment horizontal="center"/>
    </xf>
    <xf numFmtId="0" fontId="4" fillId="0" borderId="0" xfId="2"/>
    <xf numFmtId="0" fontId="4" fillId="12" borderId="35" xfId="2" applyFill="1" applyBorder="1" applyProtection="1"/>
    <xf numFmtId="0" fontId="4" fillId="12" borderId="36" xfId="2" applyFill="1" applyBorder="1" applyProtection="1"/>
    <xf numFmtId="0" fontId="4" fillId="12" borderId="37" xfId="2" applyFill="1" applyBorder="1" applyProtection="1"/>
    <xf numFmtId="0" fontId="4" fillId="12" borderId="38" xfId="2" applyFill="1" applyBorder="1" applyProtection="1"/>
    <xf numFmtId="0" fontId="4" fillId="12" borderId="0" xfId="2" applyFill="1" applyBorder="1" applyProtection="1"/>
    <xf numFmtId="0" fontId="4" fillId="12" borderId="39" xfId="2" applyFill="1" applyBorder="1" applyProtection="1"/>
    <xf numFmtId="0" fontId="36" fillId="12" borderId="0" xfId="2" applyFont="1" applyFill="1" applyBorder="1" applyProtection="1"/>
    <xf numFmtId="0" fontId="37" fillId="12" borderId="0" xfId="2" applyFont="1" applyFill="1" applyBorder="1" applyProtection="1"/>
    <xf numFmtId="0" fontId="38" fillId="12" borderId="0" xfId="2" applyFont="1" applyFill="1" applyBorder="1" applyProtection="1"/>
    <xf numFmtId="0" fontId="39" fillId="12" borderId="0" xfId="2" applyFont="1" applyFill="1" applyProtection="1"/>
    <xf numFmtId="0" fontId="4" fillId="12" borderId="0" xfId="2" applyFill="1" applyProtection="1"/>
    <xf numFmtId="0" fontId="40" fillId="12" borderId="0" xfId="2" applyFont="1" applyFill="1" applyAlignment="1" applyProtection="1"/>
    <xf numFmtId="0" fontId="40" fillId="12" borderId="0" xfId="2" applyFont="1" applyFill="1" applyAlignment="1" applyProtection="1">
      <alignment wrapText="1"/>
    </xf>
    <xf numFmtId="0" fontId="41" fillId="12" borderId="0" xfId="2" applyFont="1" applyFill="1" applyAlignment="1" applyProtection="1">
      <alignment vertical="center"/>
    </xf>
    <xf numFmtId="0" fontId="41" fillId="12" borderId="0" xfId="2" applyFont="1" applyFill="1" applyProtection="1"/>
    <xf numFmtId="0" fontId="4" fillId="12" borderId="40" xfId="2" applyFill="1" applyBorder="1" applyProtection="1"/>
    <xf numFmtId="0" fontId="4" fillId="12" borderId="41" xfId="2" applyFill="1" applyBorder="1" applyProtection="1"/>
    <xf numFmtId="0" fontId="4" fillId="12" borderId="42" xfId="2" applyFill="1" applyBorder="1" applyProtection="1"/>
    <xf numFmtId="0" fontId="4" fillId="12" borderId="0" xfId="2" applyFont="1" applyFill="1" applyBorder="1" applyProtection="1"/>
    <xf numFmtId="165" fontId="0" fillId="2" borderId="0" xfId="0" applyNumberFormat="1" applyFill="1" applyBorder="1" applyAlignment="1">
      <alignment horizontal="center"/>
    </xf>
    <xf numFmtId="1" fontId="0" fillId="2" borderId="0" xfId="0" applyNumberFormat="1" applyFill="1" applyBorder="1" applyAlignment="1">
      <alignment horizontal="center"/>
    </xf>
    <xf numFmtId="2" fontId="0" fillId="2" borderId="0" xfId="0" applyNumberFormat="1" applyFill="1" applyBorder="1" applyAlignment="1">
      <alignment horizontal="center"/>
    </xf>
    <xf numFmtId="164" fontId="0" fillId="2" borderId="0" xfId="0" applyNumberFormat="1" applyFill="1" applyBorder="1" applyAlignment="1">
      <alignment horizontal="center"/>
    </xf>
    <xf numFmtId="0" fontId="4" fillId="5" borderId="1" xfId="2" applyFill="1" applyBorder="1" applyAlignment="1" applyProtection="1">
      <alignment horizontal="center" vertical="center"/>
      <protection locked="0"/>
    </xf>
    <xf numFmtId="2" fontId="4" fillId="0" borderId="0" xfId="2" applyNumberFormat="1" applyAlignment="1">
      <alignment horizontal="center"/>
    </xf>
    <xf numFmtId="0" fontId="4" fillId="0" borderId="0" xfId="2"/>
    <xf numFmtId="0" fontId="4" fillId="0" borderId="0" xfId="2" applyAlignment="1">
      <alignment horizontal="center"/>
    </xf>
    <xf numFmtId="2" fontId="4" fillId="0" borderId="0" xfId="2" applyNumberFormat="1"/>
    <xf numFmtId="0" fontId="4" fillId="0" borderId="0" xfId="2" applyFont="1"/>
    <xf numFmtId="0" fontId="4" fillId="0" borderId="0" xfId="2" applyFont="1" applyAlignment="1">
      <alignment horizontal="center"/>
    </xf>
    <xf numFmtId="0" fontId="4" fillId="0" borderId="0" xfId="2" applyBorder="1" applyAlignment="1">
      <alignment horizontal="center"/>
    </xf>
    <xf numFmtId="2" fontId="4" fillId="0" borderId="0" xfId="2" applyNumberFormat="1" applyBorder="1" applyAlignment="1">
      <alignment horizontal="center"/>
    </xf>
    <xf numFmtId="0" fontId="31" fillId="0" borderId="0" xfId="2" applyFont="1"/>
    <xf numFmtId="0" fontId="4" fillId="0" borderId="0" xfId="2" applyFont="1" applyBorder="1" applyAlignment="1">
      <alignment horizontal="center"/>
    </xf>
    <xf numFmtId="0" fontId="31" fillId="0" borderId="0" xfId="2" applyFont="1" applyAlignment="1">
      <alignment horizontal="center"/>
    </xf>
    <xf numFmtId="0" fontId="31" fillId="11" borderId="0" xfId="2" applyFont="1" applyFill="1"/>
    <xf numFmtId="2" fontId="31" fillId="0" borderId="0" xfId="2" applyNumberFormat="1" applyFont="1" applyBorder="1" applyAlignment="1">
      <alignment horizontal="center"/>
    </xf>
    <xf numFmtId="0" fontId="4" fillId="0" borderId="0" xfId="2"/>
    <xf numFmtId="0" fontId="4" fillId="0" borderId="0" xfId="2" applyAlignment="1">
      <alignment horizontal="center"/>
    </xf>
    <xf numFmtId="0" fontId="4" fillId="0" borderId="0" xfId="2" applyBorder="1"/>
    <xf numFmtId="2" fontId="4" fillId="0" borderId="0" xfId="2" applyNumberFormat="1" applyAlignment="1">
      <alignment horizontal="center"/>
    </xf>
    <xf numFmtId="0" fontId="4" fillId="0" borderId="0" xfId="2" applyFont="1"/>
    <xf numFmtId="0" fontId="4" fillId="0" borderId="0" xfId="2" applyFont="1" applyAlignment="1">
      <alignment horizontal="right"/>
    </xf>
    <xf numFmtId="0" fontId="4" fillId="0" borderId="0" xfId="2" applyFont="1" applyAlignment="1">
      <alignment horizontal="center"/>
    </xf>
    <xf numFmtId="0" fontId="4" fillId="0" borderId="1" xfId="2" applyBorder="1"/>
    <xf numFmtId="0" fontId="4" fillId="0" borderId="0" xfId="2" applyFill="1" applyBorder="1" applyAlignment="1">
      <alignment horizontal="center"/>
    </xf>
    <xf numFmtId="0" fontId="4" fillId="0" borderId="1" xfId="2" applyFont="1" applyBorder="1"/>
    <xf numFmtId="0" fontId="4" fillId="0" borderId="0" xfId="2" applyBorder="1" applyAlignment="1">
      <alignment horizontal="center"/>
    </xf>
    <xf numFmtId="2" fontId="4" fillId="0" borderId="0" xfId="2" applyNumberFormat="1" applyBorder="1" applyAlignment="1">
      <alignment horizontal="center"/>
    </xf>
    <xf numFmtId="2" fontId="4" fillId="0" borderId="1" xfId="2" applyNumberFormat="1" applyBorder="1"/>
    <xf numFmtId="0" fontId="4" fillId="0" borderId="0" xfId="2" applyFont="1" applyBorder="1"/>
    <xf numFmtId="0" fontId="31" fillId="0" borderId="0" xfId="2" applyFont="1"/>
    <xf numFmtId="0" fontId="32" fillId="0" borderId="0" xfId="2" applyFont="1" applyBorder="1" applyAlignment="1">
      <alignment horizontal="center"/>
    </xf>
    <xf numFmtId="2" fontId="4" fillId="0" borderId="0" xfId="2" applyNumberFormat="1" applyBorder="1"/>
    <xf numFmtId="0" fontId="4" fillId="0" borderId="0" xfId="2" applyFont="1" applyBorder="1" applyAlignment="1">
      <alignment horizontal="right"/>
    </xf>
    <xf numFmtId="2" fontId="4" fillId="0" borderId="0" xfId="2" applyNumberFormat="1" applyFont="1" applyBorder="1" applyAlignment="1">
      <alignment horizontal="left"/>
    </xf>
    <xf numFmtId="0" fontId="4" fillId="0" borderId="0" xfId="2" applyFont="1" applyBorder="1" applyAlignment="1">
      <alignment horizontal="center"/>
    </xf>
    <xf numFmtId="0" fontId="31" fillId="0" borderId="0" xfId="2" applyFont="1" applyBorder="1" applyAlignment="1">
      <alignment horizontal="center"/>
    </xf>
    <xf numFmtId="0" fontId="31" fillId="0" borderId="0" xfId="2" applyFont="1" applyBorder="1" applyAlignment="1">
      <alignment horizontal="left"/>
    </xf>
    <xf numFmtId="0" fontId="4" fillId="0" borderId="11" xfId="2" applyBorder="1"/>
    <xf numFmtId="0" fontId="4" fillId="0" borderId="1" xfId="2" applyFont="1" applyFill="1" applyBorder="1"/>
    <xf numFmtId="2" fontId="31" fillId="0" borderId="0" xfId="2" applyNumberFormat="1" applyFont="1" applyBorder="1" applyAlignment="1">
      <alignment horizontal="center"/>
    </xf>
    <xf numFmtId="0" fontId="4" fillId="0" borderId="0" xfId="2" applyBorder="1" applyAlignment="1"/>
    <xf numFmtId="0" fontId="4" fillId="2" borderId="25" xfId="0" applyFont="1" applyFill="1" applyBorder="1" applyAlignment="1">
      <alignment horizontal="right"/>
    </xf>
    <xf numFmtId="0" fontId="4" fillId="2" borderId="0" xfId="2" applyFont="1" applyFill="1" applyBorder="1" applyAlignment="1">
      <alignment horizontal="right" vertical="center"/>
    </xf>
    <xf numFmtId="0" fontId="4" fillId="2" borderId="0" xfId="2" applyFont="1" applyFill="1" applyBorder="1" applyAlignment="1">
      <alignment horizontal="right" vertical="center"/>
    </xf>
    <xf numFmtId="0" fontId="4" fillId="2" borderId="0" xfId="2" applyFont="1" applyFill="1" applyBorder="1" applyAlignment="1">
      <alignment horizontal="right" vertical="center"/>
    </xf>
    <xf numFmtId="1" fontId="4" fillId="2" borderId="1" xfId="2" applyNumberFormat="1" applyFont="1" applyFill="1" applyBorder="1" applyAlignment="1">
      <alignment horizontal="center" vertical="center"/>
    </xf>
    <xf numFmtId="0" fontId="4" fillId="2" borderId="1" xfId="0" applyFont="1" applyFill="1" applyBorder="1" applyAlignment="1">
      <alignment horizontal="right"/>
    </xf>
    <xf numFmtId="0" fontId="4" fillId="0" borderId="1" xfId="0" applyFont="1" applyBorder="1" applyAlignment="1">
      <alignment horizontal="right"/>
    </xf>
    <xf numFmtId="164" fontId="4" fillId="2" borderId="1" xfId="0" applyNumberFormat="1" applyFont="1" applyFill="1" applyBorder="1" applyAlignment="1">
      <alignment horizontal="right"/>
    </xf>
    <xf numFmtId="0" fontId="0" fillId="13" borderId="23" xfId="0" applyFill="1" applyBorder="1"/>
    <xf numFmtId="0" fontId="4" fillId="13" borderId="24" xfId="0" applyFont="1" applyFill="1" applyBorder="1" applyAlignment="1">
      <alignment horizontal="center"/>
    </xf>
    <xf numFmtId="0" fontId="5" fillId="13" borderId="24" xfId="0" applyFont="1" applyFill="1" applyBorder="1" applyAlignment="1">
      <alignment horizontal="center"/>
    </xf>
    <xf numFmtId="0" fontId="5" fillId="13" borderId="28" xfId="0" applyFont="1" applyFill="1" applyBorder="1" applyAlignment="1">
      <alignment horizontal="left"/>
    </xf>
    <xf numFmtId="0" fontId="0" fillId="2" borderId="18" xfId="0" applyFill="1" applyBorder="1"/>
    <xf numFmtId="0" fontId="4" fillId="2" borderId="19" xfId="0" applyFont="1" applyFill="1" applyBorder="1"/>
    <xf numFmtId="0" fontId="0" fillId="2" borderId="20" xfId="0" applyFill="1" applyBorder="1"/>
    <xf numFmtId="164" fontId="4" fillId="2" borderId="21" xfId="0" applyNumberFormat="1" applyFont="1" applyFill="1" applyBorder="1" applyAlignment="1">
      <alignment horizontal="right"/>
    </xf>
    <xf numFmtId="0" fontId="4" fillId="2" borderId="22" xfId="0" applyFont="1" applyFill="1" applyBorder="1"/>
    <xf numFmtId="0" fontId="4" fillId="6" borderId="11" xfId="0" applyFont="1" applyFill="1" applyBorder="1" applyAlignment="1" applyProtection="1">
      <alignment horizontal="center" vertical="center"/>
      <protection locked="0"/>
    </xf>
    <xf numFmtId="0" fontId="4" fillId="6" borderId="21" xfId="0" applyFont="1" applyFill="1" applyBorder="1" applyAlignment="1" applyProtection="1">
      <alignment horizontal="center" vertical="center"/>
      <protection locked="0"/>
    </xf>
    <xf numFmtId="11" fontId="0" fillId="0" borderId="0" xfId="0" applyNumberFormat="1" applyFill="1" applyBorder="1" applyAlignment="1" applyProtection="1">
      <alignment horizontal="center" vertical="center"/>
      <protection locked="0"/>
    </xf>
    <xf numFmtId="0" fontId="0" fillId="2" borderId="43" xfId="0" applyFill="1" applyBorder="1"/>
    <xf numFmtId="164" fontId="4" fillId="2" borderId="11" xfId="0" applyNumberFormat="1" applyFont="1" applyFill="1" applyBorder="1" applyAlignment="1">
      <alignment horizontal="right"/>
    </xf>
    <xf numFmtId="0" fontId="0" fillId="2" borderId="11" xfId="0" applyFill="1" applyBorder="1" applyAlignment="1">
      <alignment horizontal="center"/>
    </xf>
    <xf numFmtId="0" fontId="4" fillId="2" borderId="44" xfId="0" applyFont="1" applyFill="1" applyBorder="1"/>
    <xf numFmtId="0" fontId="4" fillId="2" borderId="0" xfId="2" applyFill="1" applyBorder="1"/>
    <xf numFmtId="0" fontId="4" fillId="2" borderId="0" xfId="2" applyFont="1" applyFill="1" applyBorder="1" applyAlignment="1">
      <alignment horizontal="right" vertical="center"/>
    </xf>
    <xf numFmtId="0" fontId="4" fillId="2" borderId="24" xfId="2" applyFill="1" applyBorder="1"/>
    <xf numFmtId="0" fontId="4" fillId="2" borderId="25" xfId="2" applyFill="1" applyBorder="1"/>
    <xf numFmtId="0" fontId="4" fillId="2" borderId="27" xfId="2" applyFill="1" applyBorder="1"/>
    <xf numFmtId="0" fontId="4" fillId="2" borderId="26" xfId="2" applyFill="1" applyBorder="1"/>
    <xf numFmtId="0" fontId="4" fillId="2" borderId="29" xfId="2" applyFill="1" applyBorder="1"/>
    <xf numFmtId="0" fontId="4" fillId="2" borderId="30" xfId="2" applyFill="1" applyBorder="1"/>
    <xf numFmtId="0" fontId="4" fillId="2" borderId="28" xfId="2" applyFill="1" applyBorder="1"/>
    <xf numFmtId="0" fontId="4" fillId="2" borderId="0" xfId="2" applyFont="1" applyFill="1" applyBorder="1"/>
    <xf numFmtId="0" fontId="26" fillId="7" borderId="23" xfId="2" applyFont="1" applyFill="1" applyBorder="1"/>
    <xf numFmtId="0" fontId="26" fillId="3" borderId="25" xfId="2" applyFont="1" applyFill="1" applyBorder="1"/>
    <xf numFmtId="0" fontId="48" fillId="2" borderId="0" xfId="2" applyFont="1" applyFill="1" applyBorder="1"/>
    <xf numFmtId="0" fontId="4" fillId="2" borderId="26" xfId="2" applyFont="1" applyFill="1" applyBorder="1" applyAlignment="1">
      <alignment horizontal="center" vertical="center"/>
    </xf>
    <xf numFmtId="0" fontId="4" fillId="2" borderId="26" xfId="2" applyFont="1" applyFill="1" applyBorder="1"/>
    <xf numFmtId="0" fontId="49" fillId="2" borderId="0" xfId="1" applyFont="1" applyFill="1" applyBorder="1" applyAlignment="1" applyProtection="1">
      <alignment horizontal="left"/>
    </xf>
    <xf numFmtId="0" fontId="45" fillId="2" borderId="25" xfId="2" applyFont="1" applyFill="1" applyBorder="1" applyAlignment="1">
      <alignment vertical="top" wrapText="1"/>
    </xf>
    <xf numFmtId="0" fontId="4" fillId="2" borderId="0" xfId="2" applyFont="1" applyFill="1" applyBorder="1" applyAlignment="1">
      <alignment horizontal="center" vertical="center"/>
    </xf>
    <xf numFmtId="0" fontId="49" fillId="2" borderId="24" xfId="1" applyFont="1" applyFill="1" applyBorder="1" applyAlignment="1" applyProtection="1">
      <alignment wrapText="1"/>
    </xf>
    <xf numFmtId="0" fontId="49" fillId="2" borderId="0" xfId="1" applyFont="1" applyFill="1" applyBorder="1" applyAlignment="1" applyProtection="1">
      <alignment horizontal="left" wrapText="1"/>
    </xf>
    <xf numFmtId="0" fontId="48" fillId="3" borderId="0" xfId="2" applyFont="1" applyFill="1" applyBorder="1"/>
    <xf numFmtId="0" fontId="48" fillId="3" borderId="24" xfId="2" applyFont="1" applyFill="1" applyBorder="1"/>
    <xf numFmtId="0" fontId="4" fillId="2" borderId="26" xfId="2" applyFont="1" applyFill="1" applyBorder="1" applyAlignment="1">
      <alignment vertical="top" wrapText="1"/>
    </xf>
    <xf numFmtId="0" fontId="40" fillId="6" borderId="47" xfId="2" applyFont="1" applyFill="1" applyBorder="1" applyAlignment="1" applyProtection="1">
      <alignment horizontal="center" vertical="top"/>
      <protection locked="0"/>
    </xf>
    <xf numFmtId="0" fontId="40" fillId="6" borderId="49" xfId="2" applyFont="1" applyFill="1" applyBorder="1" applyAlignment="1" applyProtection="1">
      <alignment horizontal="center" vertical="top"/>
      <protection locked="0"/>
    </xf>
    <xf numFmtId="0" fontId="0" fillId="10" borderId="11" xfId="0" applyFill="1" applyBorder="1" applyAlignment="1" applyProtection="1">
      <alignment horizontal="center" vertical="center"/>
      <protection locked="0"/>
    </xf>
    <xf numFmtId="0" fontId="42" fillId="2" borderId="25" xfId="2" applyFont="1" applyFill="1" applyBorder="1" applyAlignment="1">
      <alignment vertical="top" wrapText="1"/>
    </xf>
    <xf numFmtId="0" fontId="17" fillId="2" borderId="25" xfId="1" applyFill="1" applyBorder="1" applyAlignment="1" applyProtection="1"/>
    <xf numFmtId="0" fontId="17" fillId="3" borderId="25" xfId="1" applyFill="1" applyBorder="1" applyAlignment="1" applyProtection="1"/>
    <xf numFmtId="0" fontId="17" fillId="3" borderId="25" xfId="1" applyFill="1" applyBorder="1" applyAlignment="1" applyProtection="1">
      <alignment horizontal="left"/>
    </xf>
    <xf numFmtId="0" fontId="48" fillId="2" borderId="0" xfId="2" applyFont="1" applyFill="1" applyBorder="1" applyAlignment="1">
      <alignment horizontal="right" vertical="center"/>
    </xf>
    <xf numFmtId="0" fontId="48" fillId="2" borderId="0" xfId="2" applyFont="1" applyFill="1" applyBorder="1"/>
    <xf numFmtId="0" fontId="49" fillId="2" borderId="0" xfId="1" applyFont="1" applyFill="1" applyBorder="1" applyAlignment="1" applyProtection="1"/>
    <xf numFmtId="0" fontId="17" fillId="5" borderId="0" xfId="1" applyFill="1" applyAlignment="1" applyProtection="1"/>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30" xfId="0" applyFont="1" applyBorder="1" applyAlignment="1">
      <alignment horizontal="center" vertical="center" wrapText="1"/>
    </xf>
    <xf numFmtId="0" fontId="17" fillId="12" borderId="0" xfId="1" applyFill="1" applyAlignment="1" applyProtection="1">
      <alignment horizontal="left"/>
    </xf>
    <xf numFmtId="0" fontId="42" fillId="2" borderId="25" xfId="2" applyFont="1" applyFill="1" applyBorder="1" applyAlignment="1">
      <alignment horizontal="left" vertical="top" wrapText="1"/>
    </xf>
    <xf numFmtId="0" fontId="16" fillId="3" borderId="0" xfId="0" applyFont="1" applyFill="1" applyBorder="1" applyAlignment="1" applyProtection="1">
      <alignment horizontal="center" vertical="center"/>
    </xf>
    <xf numFmtId="0" fontId="20" fillId="4" borderId="23" xfId="0" applyFont="1" applyFill="1" applyBorder="1" applyAlignment="1" applyProtection="1">
      <alignment horizontal="left" vertical="center"/>
    </xf>
    <xf numFmtId="0" fontId="20" fillId="4" borderId="24" xfId="0" applyFont="1" applyFill="1" applyBorder="1" applyAlignment="1" applyProtection="1">
      <alignment horizontal="left" vertical="center"/>
    </xf>
    <xf numFmtId="0" fontId="4"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47" fillId="2" borderId="24" xfId="1" applyFont="1" applyFill="1" applyBorder="1" applyAlignment="1" applyProtection="1">
      <alignment horizontal="left" wrapText="1"/>
    </xf>
    <xf numFmtId="0" fontId="47" fillId="2" borderId="0" xfId="1" applyFont="1" applyFill="1" applyBorder="1" applyAlignment="1" applyProtection="1">
      <alignment horizontal="left" wrapText="1"/>
    </xf>
    <xf numFmtId="0" fontId="42" fillId="2" borderId="26" xfId="2" applyFont="1" applyFill="1" applyBorder="1" applyAlignment="1">
      <alignment horizontal="left" vertical="top" wrapText="1"/>
    </xf>
    <xf numFmtId="0" fontId="52" fillId="2" borderId="26" xfId="2" applyFont="1" applyFill="1" applyBorder="1" applyAlignment="1">
      <alignment horizontal="left" vertical="top" wrapText="1"/>
    </xf>
    <xf numFmtId="0" fontId="49" fillId="2" borderId="0" xfId="1" applyFont="1" applyFill="1" applyBorder="1" applyAlignment="1" applyProtection="1">
      <alignment horizontal="left"/>
    </xf>
    <xf numFmtId="0" fontId="43" fillId="2" borderId="25" xfId="0" applyFont="1" applyFill="1" applyBorder="1" applyAlignment="1">
      <alignment horizontal="left" vertical="top" wrapText="1"/>
    </xf>
    <xf numFmtId="0" fontId="43" fillId="2" borderId="0" xfId="0" applyFont="1" applyFill="1" applyBorder="1" applyAlignment="1">
      <alignment horizontal="left" vertical="top" wrapText="1"/>
    </xf>
    <xf numFmtId="0" fontId="26" fillId="5" borderId="50" xfId="2" applyFont="1" applyFill="1" applyBorder="1" applyAlignment="1">
      <alignment horizontal="left" wrapText="1"/>
    </xf>
    <xf numFmtId="0" fontId="4" fillId="5" borderId="51" xfId="2" applyFill="1" applyBorder="1" applyAlignment="1">
      <alignment horizontal="left" wrapText="1"/>
    </xf>
    <xf numFmtId="0" fontId="4" fillId="5" borderId="47" xfId="2" applyFill="1" applyBorder="1" applyAlignment="1">
      <alignment horizontal="left" wrapText="1"/>
    </xf>
    <xf numFmtId="0" fontId="47" fillId="2" borderId="25" xfId="2" applyFont="1" applyFill="1" applyBorder="1" applyAlignment="1">
      <alignment horizontal="left" vertical="top" wrapText="1"/>
    </xf>
    <xf numFmtId="0" fontId="50" fillId="5" borderId="45" xfId="2" applyFont="1" applyFill="1" applyBorder="1" applyAlignment="1">
      <alignment horizontal="left" vertical="top" wrapText="1"/>
    </xf>
    <xf numFmtId="0" fontId="50" fillId="5" borderId="46" xfId="2" applyFont="1" applyFill="1" applyBorder="1" applyAlignment="1">
      <alignment horizontal="left" vertical="top" wrapText="1"/>
    </xf>
    <xf numFmtId="0" fontId="50" fillId="5" borderId="48" xfId="2" applyFont="1" applyFill="1" applyBorder="1" applyAlignment="1">
      <alignment horizontal="left" vertical="top" wrapText="1"/>
    </xf>
    <xf numFmtId="0" fontId="17" fillId="2" borderId="0" xfId="1" applyFill="1" applyBorder="1" applyAlignment="1" applyProtection="1">
      <alignment horizontal="left" wrapText="1"/>
    </xf>
    <xf numFmtId="0" fontId="17" fillId="3" borderId="25" xfId="1" applyFill="1" applyBorder="1" applyAlignment="1" applyProtection="1">
      <alignment horizontal="left" wrapText="1"/>
    </xf>
    <xf numFmtId="0" fontId="17" fillId="3" borderId="25" xfId="1" applyFill="1" applyBorder="1" applyAlignment="1" applyProtection="1">
      <alignment horizontal="left" vertical="top" wrapText="1"/>
    </xf>
    <xf numFmtId="0" fontId="30" fillId="0" borderId="0" xfId="0" applyFont="1" applyAlignment="1">
      <alignment horizontal="center"/>
    </xf>
    <xf numFmtId="0" fontId="31" fillId="0" borderId="0" xfId="0" applyFont="1" applyAlignment="1">
      <alignment horizontal="center"/>
    </xf>
    <xf numFmtId="0" fontId="5" fillId="0" borderId="0" xfId="0" applyFont="1" applyAlignment="1">
      <alignment horizontal="center"/>
    </xf>
    <xf numFmtId="0" fontId="30" fillId="0" borderId="1" xfId="2" applyFont="1" applyBorder="1" applyAlignment="1">
      <alignment horizontal="center"/>
    </xf>
    <xf numFmtId="0" fontId="4" fillId="0" borderId="11" xfId="2" applyFont="1" applyBorder="1" applyAlignment="1">
      <alignment horizontal="center"/>
    </xf>
    <xf numFmtId="0" fontId="4" fillId="0" borderId="11" xfId="2" applyBorder="1" applyAlignment="1">
      <alignment horizontal="center"/>
    </xf>
    <xf numFmtId="0" fontId="31" fillId="0" borderId="0" xfId="2" applyFont="1" applyBorder="1" applyAlignment="1">
      <alignment horizontal="center"/>
    </xf>
    <xf numFmtId="2" fontId="4" fillId="0" borderId="0" xfId="2" applyNumberFormat="1" applyFont="1" applyBorder="1" applyAlignment="1">
      <alignment horizontal="center"/>
    </xf>
    <xf numFmtId="2" fontId="4" fillId="0" borderId="0" xfId="2" applyNumberFormat="1" applyBorder="1" applyAlignment="1">
      <alignment horizontal="center"/>
    </xf>
  </cellXfs>
  <cellStyles count="16">
    <cellStyle name="ENTER VALUE" xfId="5" xr:uid="{00000000-0005-0000-0000-000000000000}"/>
    <cellStyle name="ENTER VALUE 2" xfId="9" xr:uid="{00000000-0005-0000-0000-000001000000}"/>
    <cellStyle name="ENTER VALUE 3" xfId="8" xr:uid="{00000000-0005-0000-0000-000002000000}"/>
    <cellStyle name="ENTER VALUE 4" xfId="7" xr:uid="{00000000-0005-0000-0000-000003000000}"/>
    <cellStyle name="Hyperlink" xfId="1" builtinId="8"/>
    <cellStyle name="Normal" xfId="0" builtinId="0"/>
    <cellStyle name="Normal 2" xfId="2" xr:uid="{00000000-0005-0000-0000-000006000000}"/>
    <cellStyle name="Normal 3" xfId="10" xr:uid="{00000000-0005-0000-0000-000007000000}"/>
    <cellStyle name="Normal 3 2" xfId="11" xr:uid="{00000000-0005-0000-0000-000008000000}"/>
    <cellStyle name="Normal 3 2 2" xfId="15" xr:uid="{00000000-0005-0000-0000-000009000000}"/>
    <cellStyle name="Normal 3 3" xfId="14" xr:uid="{00000000-0005-0000-0000-00000A000000}"/>
    <cellStyle name="Normal 4" xfId="13" xr:uid="{00000000-0005-0000-0000-00000B000000}"/>
    <cellStyle name="Normal 5" xfId="12" xr:uid="{00000000-0005-0000-0000-00000C000000}"/>
    <cellStyle name="Style 1" xfId="3" xr:uid="{00000000-0005-0000-0000-00000D000000}"/>
    <cellStyle name="Style 2" xfId="4" xr:uid="{00000000-0005-0000-0000-00000E000000}"/>
    <cellStyle name="UNIT" xfId="6" xr:uid="{00000000-0005-0000-0000-00000F000000}"/>
  </cellStyles>
  <dxfs count="37">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ill>
        <patternFill>
          <bgColor rgb="FFFF0000"/>
        </patternFill>
      </fill>
    </dxf>
    <dxf>
      <font>
        <color theme="0"/>
      </font>
      <fill>
        <patternFill>
          <bgColor theme="0"/>
        </patternFill>
      </fill>
    </dxf>
    <dxf>
      <font>
        <color theme="0"/>
      </font>
      <fill>
        <patternFill patternType="solid">
          <bgColor theme="0"/>
        </patternFill>
      </fill>
      <border>
        <left/>
        <right/>
      </border>
    </dxf>
    <dxf>
      <fill>
        <patternFill>
          <bgColor rgb="FFFF0000"/>
        </patternFill>
      </fill>
    </dxf>
    <dxf>
      <fill>
        <patternFill>
          <bgColor rgb="FFFF0000"/>
        </patternFill>
      </fill>
    </dxf>
    <dxf>
      <fill>
        <patternFill>
          <bgColor rgb="FFFFFF00"/>
        </patternFill>
      </fill>
    </dxf>
    <dxf>
      <fill>
        <patternFill>
          <bgColor rgb="FFFF0000"/>
        </patternFill>
      </fill>
    </dxf>
    <dxf>
      <font>
        <color theme="0"/>
      </font>
      <fill>
        <patternFill>
          <fgColor theme="0"/>
          <bgColor theme="0"/>
        </patternFill>
      </fill>
    </dxf>
    <dxf>
      <font>
        <strike val="0"/>
        <color theme="0"/>
      </font>
      <fill>
        <patternFill patternType="none">
          <bgColor auto="1"/>
        </patternFill>
      </fill>
    </dxf>
    <dxf>
      <font>
        <strike/>
        <color theme="0" tint="-0.24994659260841701"/>
      </font>
      <fill>
        <patternFill patternType="none">
          <bgColor auto="1"/>
        </patternFill>
      </fill>
    </dxf>
    <dxf>
      <font>
        <color theme="0"/>
      </font>
      <fill>
        <patternFill patternType="solid">
          <bgColor theme="0"/>
        </patternFill>
      </fill>
      <border>
        <left/>
        <right/>
      </border>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5" tint="-0.24994659260841701"/>
        </patternFill>
      </fill>
    </dxf>
    <dxf>
      <fill>
        <patternFill>
          <bgColor rgb="FFFF0000"/>
        </patternFill>
      </fill>
    </dxf>
    <dxf>
      <font>
        <color theme="0"/>
      </font>
    </dxf>
    <dxf>
      <font>
        <color theme="0"/>
      </font>
      <fill>
        <patternFill>
          <bgColor theme="0"/>
        </patternFill>
      </fill>
      <border>
        <left/>
        <right/>
        <top style="thin">
          <color auto="1"/>
        </top>
        <bottom/>
        <vertical/>
        <horizontal/>
      </border>
    </dxf>
    <dxf>
      <font>
        <color theme="0"/>
      </font>
    </dxf>
    <dxf>
      <font>
        <color theme="0"/>
      </font>
    </dxf>
    <dxf>
      <fill>
        <patternFill>
          <bgColor indexed="10"/>
        </patternFill>
      </fill>
    </dxf>
    <dxf>
      <fill>
        <patternFill>
          <bgColor indexed="10"/>
        </patternFill>
      </fill>
    </dxf>
    <dxf>
      <fill>
        <patternFill>
          <bgColor indexed="10"/>
        </patternFill>
      </fill>
    </dxf>
    <dxf>
      <font>
        <condense val="0"/>
        <extend val="0"/>
        <color indexed="9"/>
      </font>
      <fill>
        <patternFill>
          <bgColor indexed="9"/>
        </patternFill>
      </fill>
      <border>
        <left/>
        <right/>
        <top style="thin">
          <color indexed="64"/>
        </top>
        <bottom/>
      </border>
    </dxf>
    <dxf>
      <font>
        <condense val="0"/>
        <extend val="0"/>
        <color indexed="9"/>
      </font>
      <fill>
        <patternFill>
          <bgColor indexed="9"/>
        </patternFill>
      </fill>
      <border>
        <left/>
        <right/>
        <top style="thin">
          <color auto="1"/>
        </top>
        <bottom style="thin">
          <color auto="1"/>
        </bottom>
      </border>
    </dxf>
    <dxf>
      <font>
        <condense val="0"/>
        <extend val="0"/>
        <color indexed="9"/>
      </font>
      <fill>
        <patternFill>
          <bgColor indexed="9"/>
        </patternFill>
      </fill>
      <border>
        <left/>
        <right/>
        <top/>
        <bottom style="thin">
          <color auto="1"/>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style="thin">
          <color auto="1"/>
        </top>
        <bottom style="thin">
          <color auto="1"/>
        </bottom>
      </border>
    </dxf>
    <dxf>
      <fill>
        <patternFill>
          <bgColor indexed="10"/>
        </patternFill>
      </fill>
    </dxf>
  </dxfs>
  <tableStyles count="0" defaultTableStyle="TableStyleMedium9" defaultPivotStyle="PivotStyleLight16"/>
  <colors>
    <mruColors>
      <color rgb="FF0053FA"/>
      <color rgb="FFFF505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67237229923697"/>
          <c:y val="0.10613723813134238"/>
          <c:w val="0.83144069779259888"/>
          <c:h val="0.76916929287639557"/>
        </c:manualLayout>
      </c:layout>
      <c:scatterChart>
        <c:scatterStyle val="lineMarker"/>
        <c:varyColors val="0"/>
        <c:ser>
          <c:idx val="3"/>
          <c:order val="0"/>
          <c:tx>
            <c:v>Temp Derated FET SOA (t = Tfault)</c:v>
          </c:tx>
          <c:spPr>
            <a:ln w="25400">
              <a:solidFill>
                <a:srgbClr val="008000"/>
              </a:solidFill>
              <a:prstDash val="solid"/>
            </a:ln>
          </c:spPr>
          <c:marker>
            <c:symbol val="none"/>
          </c:marker>
          <c:xVal>
            <c:numRef>
              <c:f>SOA!$B$39:$B$43</c:f>
              <c:numCache>
                <c:formatCode>General</c:formatCode>
                <c:ptCount val="5"/>
                <c:pt idx="0">
                  <c:v>1</c:v>
                </c:pt>
                <c:pt idx="1">
                  <c:v>1.2</c:v>
                </c:pt>
                <c:pt idx="2">
                  <c:v>30</c:v>
                </c:pt>
              </c:numCache>
            </c:numRef>
          </c:xVal>
          <c:yVal>
            <c:numRef>
              <c:f>SOA!$C$39:$C$43</c:f>
              <c:numCache>
                <c:formatCode>General</c:formatCode>
                <c:ptCount val="5"/>
                <c:pt idx="0">
                  <c:v>342.09181551070577</c:v>
                </c:pt>
                <c:pt idx="1">
                  <c:v>285.07651292558813</c:v>
                </c:pt>
                <c:pt idx="2">
                  <c:v>11.403060517023526</c:v>
                </c:pt>
              </c:numCache>
            </c:numRef>
          </c:yVal>
          <c:smooth val="0"/>
          <c:extLst>
            <c:ext xmlns:c16="http://schemas.microsoft.com/office/drawing/2014/chart" uri="{C3380CC4-5D6E-409C-BE32-E72D297353CC}">
              <c16:uniqueId val="{00000000-D807-444E-90C5-33F873DAECEE}"/>
            </c:ext>
          </c:extLst>
        </c:ser>
        <c:ser>
          <c:idx val="1"/>
          <c:order val="1"/>
          <c:tx>
            <c:v>Typ Device SOA Limit</c:v>
          </c:tx>
          <c:spPr>
            <a:ln w="25400">
              <a:solidFill>
                <a:srgbClr val="FF0000"/>
              </a:solidFill>
              <a:prstDash val="solid"/>
            </a:ln>
          </c:spPr>
          <c:marker>
            <c:symbol val="none"/>
          </c:marker>
          <c:xVal>
            <c:numRef>
              <c:f>Equations!$R$194:$R$213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Equations!$T$194:$T$213</c:f>
              <c:numCache>
                <c:formatCode>0.00</c:formatCode>
                <c:ptCount val="20"/>
                <c:pt idx="0">
                  <c:v>75.757575757575751</c:v>
                </c:pt>
                <c:pt idx="1">
                  <c:v>47.210246797875669</c:v>
                </c:pt>
                <c:pt idx="2">
                  <c:v>33.594709986462568</c:v>
                </c:pt>
                <c:pt idx="3">
                  <c:v>26.786941580756015</c:v>
                </c:pt>
                <c:pt idx="4">
                  <c:v>22.702280537332086</c:v>
                </c:pt>
                <c:pt idx="5">
                  <c:v>19.979173175049464</c:v>
                </c:pt>
                <c:pt idx="6">
                  <c:v>18.034096487704737</c:v>
                </c:pt>
                <c:pt idx="7">
                  <c:v>16.575288972196191</c:v>
                </c:pt>
                <c:pt idx="8">
                  <c:v>15.440660904578429</c:v>
                </c:pt>
                <c:pt idx="9">
                  <c:v>14.532958450484225</c:v>
                </c:pt>
                <c:pt idx="10">
                  <c:v>13.790292806225329</c:v>
                </c:pt>
                <c:pt idx="11">
                  <c:v>13.171404769342914</c:v>
                </c:pt>
                <c:pt idx="12">
                  <c:v>5.0000000000000003E-10</c:v>
                </c:pt>
                <c:pt idx="13">
                  <c:v>5.0000000000000003E-10</c:v>
                </c:pt>
                <c:pt idx="14">
                  <c:v>5.0000000000000003E-10</c:v>
                </c:pt>
                <c:pt idx="15">
                  <c:v>5.0000000000000003E-10</c:v>
                </c:pt>
                <c:pt idx="16">
                  <c:v>5.0000000000000003E-10</c:v>
                </c:pt>
                <c:pt idx="17">
                  <c:v>5.0000000000000003E-10</c:v>
                </c:pt>
                <c:pt idx="18">
                  <c:v>5.0000000000000003E-10</c:v>
                </c:pt>
                <c:pt idx="19">
                  <c:v>5.0000000000000003E-10</c:v>
                </c:pt>
              </c:numCache>
            </c:numRef>
          </c:yVal>
          <c:smooth val="0"/>
          <c:extLst>
            <c:ext xmlns:c16="http://schemas.microsoft.com/office/drawing/2014/chart" uri="{C3380CC4-5D6E-409C-BE32-E72D297353CC}">
              <c16:uniqueId val="{00000001-D807-444E-90C5-33F873DAECEE}"/>
            </c:ext>
          </c:extLst>
        </c:ser>
        <c:dLbls>
          <c:showLegendKey val="0"/>
          <c:showVal val="0"/>
          <c:showCatName val="0"/>
          <c:showSerName val="0"/>
          <c:showPercent val="0"/>
          <c:showBubbleSize val="0"/>
        </c:dLbls>
        <c:axId val="177332224"/>
        <c:axId val="177334528"/>
      </c:scatterChart>
      <c:valAx>
        <c:axId val="177332224"/>
        <c:scaling>
          <c:logBase val="10"/>
          <c:orientation val="minMax"/>
          <c:max val="5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25" b="0" i="0" u="none" strike="noStrike" baseline="0">
                    <a:solidFill>
                      <a:srgbClr val="000000"/>
                    </a:solidFill>
                    <a:latin typeface="Calibri"/>
                    <a:ea typeface="Calibri"/>
                    <a:cs typeface="Calibri"/>
                  </a:defRPr>
                </a:pPr>
                <a:r>
                  <a:rPr lang="en-US" sz="900" b="1" i="0" u="none" strike="noStrike" baseline="0">
                    <a:solidFill>
                      <a:srgbClr val="000000"/>
                    </a:solidFill>
                    <a:latin typeface="Arial"/>
                    <a:cs typeface="Arial"/>
                  </a:rPr>
                  <a:t>V</a:t>
                </a:r>
                <a:r>
                  <a:rPr lang="en-US" sz="900" b="1" i="0" u="none" strike="noStrike" baseline="-25000">
                    <a:solidFill>
                      <a:srgbClr val="000000"/>
                    </a:solidFill>
                    <a:latin typeface="Arial"/>
                    <a:cs typeface="Arial"/>
                  </a:rPr>
                  <a:t>DS</a:t>
                </a:r>
                <a:r>
                  <a:rPr lang="en-US" sz="900" b="1" i="0" u="none" strike="noStrike" baseline="0">
                    <a:solidFill>
                      <a:srgbClr val="000000"/>
                    </a:solidFill>
                    <a:latin typeface="Arial"/>
                    <a:cs typeface="Arial"/>
                  </a:rPr>
                  <a:t> - Drain-to-Source Voltage - V</a:t>
                </a:r>
              </a:p>
            </c:rich>
          </c:tx>
          <c:layout>
            <c:manualLayout>
              <c:xMode val="edge"/>
              <c:yMode val="edge"/>
              <c:x val="0.37459064370200507"/>
              <c:y val="0.94029461520736024"/>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7334528"/>
        <c:crossesAt val="0.1"/>
        <c:crossBetween val="midCat"/>
      </c:valAx>
      <c:valAx>
        <c:axId val="177334528"/>
        <c:scaling>
          <c:logBase val="10"/>
          <c:orientation val="minMax"/>
          <c:max val="1000"/>
          <c:min val="1"/>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25" b="0" i="0" u="none" strike="noStrike" baseline="0">
                    <a:solidFill>
                      <a:srgbClr val="000000"/>
                    </a:solidFill>
                    <a:latin typeface="Calibri"/>
                    <a:ea typeface="Calibri"/>
                    <a:cs typeface="Calibri"/>
                  </a:defRPr>
                </a:pPr>
                <a:r>
                  <a:rPr lang="en-US" sz="900" b="1" i="0" u="none" strike="noStrike" baseline="0">
                    <a:solidFill>
                      <a:srgbClr val="000000"/>
                    </a:solidFill>
                    <a:latin typeface="Arial"/>
                    <a:cs typeface="Arial"/>
                  </a:rPr>
                  <a:t>I</a:t>
                </a:r>
                <a:r>
                  <a:rPr lang="en-US" sz="900" b="1" i="0" u="none" strike="noStrike" baseline="-25000">
                    <a:solidFill>
                      <a:srgbClr val="000000"/>
                    </a:solidFill>
                    <a:latin typeface="Arial"/>
                    <a:cs typeface="Arial"/>
                  </a:rPr>
                  <a:t>DS</a:t>
                </a:r>
                <a:r>
                  <a:rPr lang="en-US" sz="900" b="1" i="0" u="none" strike="noStrike" baseline="0">
                    <a:solidFill>
                      <a:srgbClr val="000000"/>
                    </a:solidFill>
                    <a:latin typeface="Arial"/>
                    <a:cs typeface="Arial"/>
                  </a:rPr>
                  <a:t> - Drain-to-Source Current - A</a:t>
                </a:r>
              </a:p>
            </c:rich>
          </c:tx>
          <c:layout>
            <c:manualLayout>
              <c:xMode val="edge"/>
              <c:yMode val="edge"/>
              <c:x val="2.0103885280763262E-2"/>
              <c:y val="0.21497860712616401"/>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7332224"/>
        <c:crosses val="autoZero"/>
        <c:crossBetween val="midCat"/>
      </c:valAx>
      <c:spPr>
        <a:solidFill>
          <a:srgbClr val="FFFFFF"/>
        </a:solidFill>
        <a:ln w="12700">
          <a:solidFill>
            <a:srgbClr val="808080"/>
          </a:solidFill>
          <a:prstDash val="solid"/>
        </a:ln>
      </c:spPr>
    </c:plotArea>
    <c:legend>
      <c:legendPos val="r"/>
      <c:layout>
        <c:manualLayout>
          <c:xMode val="edge"/>
          <c:yMode val="edge"/>
          <c:x val="0.43686657794363282"/>
          <c:y val="5.8933081466572397E-2"/>
          <c:w val="0.5171341264823649"/>
          <c:h val="0.2264457343660538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a:t>I</a:t>
            </a:r>
            <a:r>
              <a:rPr lang="en-US" sz="1600" baseline="-25000"/>
              <a:t>LOAD</a:t>
            </a:r>
            <a:r>
              <a:rPr lang="en-US" sz="1600" baseline="0"/>
              <a:t> and I</a:t>
            </a:r>
            <a:r>
              <a:rPr lang="en-US" sz="1600" baseline="-25000"/>
              <a:t>FET</a:t>
            </a:r>
            <a:r>
              <a:rPr lang="en-US" sz="1600" baseline="0"/>
              <a:t> vs Vout </a:t>
            </a:r>
            <a:r>
              <a:rPr lang="en-US" sz="1600" b="1" i="0" baseline="0">
                <a:effectLst/>
              </a:rPr>
              <a:t>(V</a:t>
            </a:r>
            <a:r>
              <a:rPr lang="en-US" sz="1600" b="1" i="0" baseline="-25000">
                <a:effectLst/>
              </a:rPr>
              <a:t>IN</a:t>
            </a:r>
            <a:r>
              <a:rPr lang="en-US" sz="1600" b="1" i="0" baseline="0">
                <a:effectLst/>
              </a:rPr>
              <a:t> = V</a:t>
            </a:r>
            <a:r>
              <a:rPr lang="en-US" sz="1600" b="1" i="0" baseline="-25000">
                <a:effectLst/>
              </a:rPr>
              <a:t>INMAX</a:t>
            </a:r>
            <a:r>
              <a:rPr lang="en-US" sz="1600" b="1" i="0" baseline="0">
                <a:effectLst/>
              </a:rPr>
              <a:t>)</a:t>
            </a:r>
            <a:r>
              <a:rPr lang="en-US" sz="1600" baseline="0"/>
              <a:t>                                               </a:t>
            </a:r>
            <a:endParaRPr lang="en-US" sz="1600" baseline="-25000"/>
          </a:p>
        </c:rich>
      </c:tx>
      <c:layout>
        <c:manualLayout>
          <c:xMode val="edge"/>
          <c:yMode val="edge"/>
          <c:x val="0.16494063286351637"/>
          <c:y val="3.0591748387251084E-2"/>
        </c:manualLayout>
      </c:layout>
      <c:overlay val="1"/>
      <c:spPr>
        <a:solidFill>
          <a:schemeClr val="bg1"/>
        </a:solidFill>
      </c:spPr>
    </c:title>
    <c:autoTitleDeleted val="0"/>
    <c:plotArea>
      <c:layout>
        <c:manualLayout>
          <c:layoutTarget val="inner"/>
          <c:xMode val="edge"/>
          <c:yMode val="edge"/>
          <c:x val="0.15203109554174482"/>
          <c:y val="0.13835811263066838"/>
          <c:w val="0.76865751103613689"/>
          <c:h val="0.70165890209112658"/>
        </c:manualLayout>
      </c:layout>
      <c:scatterChart>
        <c:scatterStyle val="smoothMarker"/>
        <c:varyColors val="0"/>
        <c:ser>
          <c:idx val="0"/>
          <c:order val="0"/>
          <c:tx>
            <c:strRef>
              <c:f>Start_up!$C$7</c:f>
              <c:strCache>
                <c:ptCount val="1"/>
                <c:pt idx="0">
                  <c:v>ILOAD</c:v>
                </c:pt>
              </c:strCache>
            </c:strRef>
          </c:tx>
          <c:marker>
            <c:symbol val="none"/>
          </c:marker>
          <c:xVal>
            <c:numRef>
              <c:f>Start_up!$B$10:$B$111</c:f>
              <c:numCache>
                <c:formatCode>0.00</c:formatCode>
                <c:ptCount val="102"/>
                <c:pt idx="0">
                  <c:v>0</c:v>
                </c:pt>
                <c:pt idx="1">
                  <c:v>0.1201923076923077</c:v>
                </c:pt>
                <c:pt idx="2">
                  <c:v>0.24038461538461539</c:v>
                </c:pt>
                <c:pt idx="3">
                  <c:v>0.36057692307692307</c:v>
                </c:pt>
                <c:pt idx="4">
                  <c:v>0.48076923076923078</c:v>
                </c:pt>
                <c:pt idx="5">
                  <c:v>0.60096153846153855</c:v>
                </c:pt>
                <c:pt idx="6">
                  <c:v>0.72115384615384615</c:v>
                </c:pt>
                <c:pt idx="7">
                  <c:v>0.84134615384615385</c:v>
                </c:pt>
                <c:pt idx="8">
                  <c:v>0.96153846153846156</c:v>
                </c:pt>
                <c:pt idx="9">
                  <c:v>1.0817307692307692</c:v>
                </c:pt>
                <c:pt idx="10">
                  <c:v>1.2019230769230771</c:v>
                </c:pt>
                <c:pt idx="11">
                  <c:v>1.3221153846153846</c:v>
                </c:pt>
                <c:pt idx="12">
                  <c:v>1.4423076923076923</c:v>
                </c:pt>
                <c:pt idx="13">
                  <c:v>1.5625</c:v>
                </c:pt>
                <c:pt idx="14">
                  <c:v>1.6826923076923077</c:v>
                </c:pt>
                <c:pt idx="15">
                  <c:v>1.8028846153846152</c:v>
                </c:pt>
                <c:pt idx="16">
                  <c:v>1.9230769230769231</c:v>
                </c:pt>
                <c:pt idx="17">
                  <c:v>2.0432692307692308</c:v>
                </c:pt>
                <c:pt idx="18">
                  <c:v>2.1634615384615383</c:v>
                </c:pt>
                <c:pt idx="19">
                  <c:v>2.2836538461538458</c:v>
                </c:pt>
                <c:pt idx="20">
                  <c:v>2.4038461538461542</c:v>
                </c:pt>
                <c:pt idx="21">
                  <c:v>2.5240384615384617</c:v>
                </c:pt>
                <c:pt idx="22">
                  <c:v>2.6442307692307692</c:v>
                </c:pt>
                <c:pt idx="23">
                  <c:v>2.7644230769230766</c:v>
                </c:pt>
                <c:pt idx="24">
                  <c:v>2.8846153846153846</c:v>
                </c:pt>
                <c:pt idx="25">
                  <c:v>3.0048076923076925</c:v>
                </c:pt>
                <c:pt idx="26">
                  <c:v>3.125</c:v>
                </c:pt>
                <c:pt idx="27">
                  <c:v>3.2451923076923079</c:v>
                </c:pt>
                <c:pt idx="28">
                  <c:v>3.3653846153846154</c:v>
                </c:pt>
                <c:pt idx="29">
                  <c:v>3.4855769230769234</c:v>
                </c:pt>
                <c:pt idx="30">
                  <c:v>3.6057692307692304</c:v>
                </c:pt>
                <c:pt idx="31">
                  <c:v>3.7259615384615383</c:v>
                </c:pt>
                <c:pt idx="32">
                  <c:v>3.8461538461538463</c:v>
                </c:pt>
                <c:pt idx="33">
                  <c:v>3.9663461538461537</c:v>
                </c:pt>
                <c:pt idx="34">
                  <c:v>4.0865384615384617</c:v>
                </c:pt>
                <c:pt idx="35">
                  <c:v>4.2067307692307692</c:v>
                </c:pt>
                <c:pt idx="36">
                  <c:v>4.3269230769230766</c:v>
                </c:pt>
                <c:pt idx="37">
                  <c:v>4.447115384615385</c:v>
                </c:pt>
                <c:pt idx="38">
                  <c:v>4.5673076923076916</c:v>
                </c:pt>
                <c:pt idx="39">
                  <c:v>4.6875</c:v>
                </c:pt>
                <c:pt idx="40">
                  <c:v>4.8076923076923084</c:v>
                </c:pt>
                <c:pt idx="41">
                  <c:v>4.927884615384615</c:v>
                </c:pt>
                <c:pt idx="42">
                  <c:v>5.0480769230769234</c:v>
                </c:pt>
                <c:pt idx="43">
                  <c:v>5.1682692307692308</c:v>
                </c:pt>
                <c:pt idx="44">
                  <c:v>5.2884615384615383</c:v>
                </c:pt>
                <c:pt idx="45">
                  <c:v>5.4086538461538467</c:v>
                </c:pt>
                <c:pt idx="46">
                  <c:v>5.5288461538461533</c:v>
                </c:pt>
                <c:pt idx="47">
                  <c:v>5.6490384615384617</c:v>
                </c:pt>
                <c:pt idx="48">
                  <c:v>5.7692307692307692</c:v>
                </c:pt>
                <c:pt idx="49">
                  <c:v>5.8894230769230766</c:v>
                </c:pt>
                <c:pt idx="50">
                  <c:v>6.009615384615385</c:v>
                </c:pt>
                <c:pt idx="51">
                  <c:v>6.1298076923076916</c:v>
                </c:pt>
                <c:pt idx="52">
                  <c:v>6.25</c:v>
                </c:pt>
                <c:pt idx="53">
                  <c:v>6.3701923076923075</c:v>
                </c:pt>
                <c:pt idx="54">
                  <c:v>6.4903846153846159</c:v>
                </c:pt>
                <c:pt idx="55">
                  <c:v>6.6105769230769234</c:v>
                </c:pt>
                <c:pt idx="56">
                  <c:v>6.7307692307692308</c:v>
                </c:pt>
                <c:pt idx="57">
                  <c:v>6.8509615384615392</c:v>
                </c:pt>
                <c:pt idx="58">
                  <c:v>6.9711538461538467</c:v>
                </c:pt>
                <c:pt idx="59">
                  <c:v>7.0913461538461533</c:v>
                </c:pt>
                <c:pt idx="60">
                  <c:v>7.2115384615384608</c:v>
                </c:pt>
                <c:pt idx="61">
                  <c:v>7.3317307692307692</c:v>
                </c:pt>
                <c:pt idx="62">
                  <c:v>7.4519230769230766</c:v>
                </c:pt>
                <c:pt idx="63">
                  <c:v>7.5721153846153841</c:v>
                </c:pt>
                <c:pt idx="64">
                  <c:v>7.6923076923076925</c:v>
                </c:pt>
                <c:pt idx="65">
                  <c:v>7.8125</c:v>
                </c:pt>
                <c:pt idx="66">
                  <c:v>7.9326923076923075</c:v>
                </c:pt>
                <c:pt idx="67">
                  <c:v>8.0528846153846168</c:v>
                </c:pt>
                <c:pt idx="68">
                  <c:v>8.1730769230769234</c:v>
                </c:pt>
                <c:pt idx="69">
                  <c:v>8.2932692307692299</c:v>
                </c:pt>
                <c:pt idx="70">
                  <c:v>8.4134615384615383</c:v>
                </c:pt>
                <c:pt idx="71">
                  <c:v>8.5336538461538467</c:v>
                </c:pt>
                <c:pt idx="72">
                  <c:v>8.6538461538461533</c:v>
                </c:pt>
                <c:pt idx="73">
                  <c:v>8.7740384615384617</c:v>
                </c:pt>
                <c:pt idx="74">
                  <c:v>8.8942307692307701</c:v>
                </c:pt>
                <c:pt idx="75">
                  <c:v>9.0144230769230766</c:v>
                </c:pt>
                <c:pt idx="76">
                  <c:v>9.1346153846153832</c:v>
                </c:pt>
                <c:pt idx="77">
                  <c:v>9.2548076923076934</c:v>
                </c:pt>
                <c:pt idx="78">
                  <c:v>9.375</c:v>
                </c:pt>
                <c:pt idx="79">
                  <c:v>9.4951923076923066</c:v>
                </c:pt>
                <c:pt idx="80">
                  <c:v>9.6153846153846168</c:v>
                </c:pt>
                <c:pt idx="81">
                  <c:v>9.7355769230769234</c:v>
                </c:pt>
                <c:pt idx="82">
                  <c:v>9.8557692307692299</c:v>
                </c:pt>
                <c:pt idx="83">
                  <c:v>9.9759615384615383</c:v>
                </c:pt>
                <c:pt idx="84">
                  <c:v>10.096153846153847</c:v>
                </c:pt>
                <c:pt idx="85">
                  <c:v>10.216346153846153</c:v>
                </c:pt>
                <c:pt idx="86">
                  <c:v>10.336538461538462</c:v>
                </c:pt>
                <c:pt idx="87">
                  <c:v>10.45673076923077</c:v>
                </c:pt>
                <c:pt idx="88">
                  <c:v>10.576923076923077</c:v>
                </c:pt>
                <c:pt idx="89">
                  <c:v>10.697115384615383</c:v>
                </c:pt>
                <c:pt idx="90">
                  <c:v>10.817307692307693</c:v>
                </c:pt>
                <c:pt idx="91">
                  <c:v>10.9375</c:v>
                </c:pt>
                <c:pt idx="92">
                  <c:v>11.057692307692307</c:v>
                </c:pt>
                <c:pt idx="93">
                  <c:v>11.177884615384617</c:v>
                </c:pt>
                <c:pt idx="94">
                  <c:v>11.298076923076923</c:v>
                </c:pt>
                <c:pt idx="95">
                  <c:v>11.41826923076923</c:v>
                </c:pt>
                <c:pt idx="96">
                  <c:v>11.538461538461538</c:v>
                </c:pt>
                <c:pt idx="97">
                  <c:v>11.658653846153847</c:v>
                </c:pt>
                <c:pt idx="98">
                  <c:v>11.778846153846153</c:v>
                </c:pt>
                <c:pt idx="99">
                  <c:v>11.899038461538462</c:v>
                </c:pt>
                <c:pt idx="100">
                  <c:v>12.01923076923077</c:v>
                </c:pt>
                <c:pt idx="101">
                  <c:v>12.139423076923077</c:v>
                </c:pt>
              </c:numCache>
            </c:numRef>
          </c:xVal>
          <c:yVal>
            <c:numRef>
              <c:f>Start_up!$C$10:$C$111</c:f>
              <c:numCache>
                <c:formatCode>0.000</c:formatCode>
                <c:ptCount val="1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numCache>
            </c:numRef>
          </c:yVal>
          <c:smooth val="1"/>
          <c:extLst>
            <c:ext xmlns:c16="http://schemas.microsoft.com/office/drawing/2014/chart" uri="{C3380CC4-5D6E-409C-BE32-E72D297353CC}">
              <c16:uniqueId val="{00000000-6562-4BDC-AA0A-EC5BD20B9CEA}"/>
            </c:ext>
          </c:extLst>
        </c:ser>
        <c:ser>
          <c:idx val="1"/>
          <c:order val="1"/>
          <c:tx>
            <c:strRef>
              <c:f>Start_up!$G$7</c:f>
              <c:strCache>
                <c:ptCount val="1"/>
                <c:pt idx="0">
                  <c:v>IFET</c:v>
                </c:pt>
              </c:strCache>
            </c:strRef>
          </c:tx>
          <c:marker>
            <c:symbol val="none"/>
          </c:marker>
          <c:xVal>
            <c:numRef>
              <c:f>Start_up!$B$10:$B$111</c:f>
              <c:numCache>
                <c:formatCode>0.00</c:formatCode>
                <c:ptCount val="102"/>
                <c:pt idx="0">
                  <c:v>0</c:v>
                </c:pt>
                <c:pt idx="1">
                  <c:v>0.1201923076923077</c:v>
                </c:pt>
                <c:pt idx="2">
                  <c:v>0.24038461538461539</c:v>
                </c:pt>
                <c:pt idx="3">
                  <c:v>0.36057692307692307</c:v>
                </c:pt>
                <c:pt idx="4">
                  <c:v>0.48076923076923078</c:v>
                </c:pt>
                <c:pt idx="5">
                  <c:v>0.60096153846153855</c:v>
                </c:pt>
                <c:pt idx="6">
                  <c:v>0.72115384615384615</c:v>
                </c:pt>
                <c:pt idx="7">
                  <c:v>0.84134615384615385</c:v>
                </c:pt>
                <c:pt idx="8">
                  <c:v>0.96153846153846156</c:v>
                </c:pt>
                <c:pt idx="9">
                  <c:v>1.0817307692307692</c:v>
                </c:pt>
                <c:pt idx="10">
                  <c:v>1.2019230769230771</c:v>
                </c:pt>
                <c:pt idx="11">
                  <c:v>1.3221153846153846</c:v>
                </c:pt>
                <c:pt idx="12">
                  <c:v>1.4423076923076923</c:v>
                </c:pt>
                <c:pt idx="13">
                  <c:v>1.5625</c:v>
                </c:pt>
                <c:pt idx="14">
                  <c:v>1.6826923076923077</c:v>
                </c:pt>
                <c:pt idx="15">
                  <c:v>1.8028846153846152</c:v>
                </c:pt>
                <c:pt idx="16">
                  <c:v>1.9230769230769231</c:v>
                </c:pt>
                <c:pt idx="17">
                  <c:v>2.0432692307692308</c:v>
                </c:pt>
                <c:pt idx="18">
                  <c:v>2.1634615384615383</c:v>
                </c:pt>
                <c:pt idx="19">
                  <c:v>2.2836538461538458</c:v>
                </c:pt>
                <c:pt idx="20">
                  <c:v>2.4038461538461542</c:v>
                </c:pt>
                <c:pt idx="21">
                  <c:v>2.5240384615384617</c:v>
                </c:pt>
                <c:pt idx="22">
                  <c:v>2.6442307692307692</c:v>
                </c:pt>
                <c:pt idx="23">
                  <c:v>2.7644230769230766</c:v>
                </c:pt>
                <c:pt idx="24">
                  <c:v>2.8846153846153846</c:v>
                </c:pt>
                <c:pt idx="25">
                  <c:v>3.0048076923076925</c:v>
                </c:pt>
                <c:pt idx="26">
                  <c:v>3.125</c:v>
                </c:pt>
                <c:pt idx="27">
                  <c:v>3.2451923076923079</c:v>
                </c:pt>
                <c:pt idx="28">
                  <c:v>3.3653846153846154</c:v>
                </c:pt>
                <c:pt idx="29">
                  <c:v>3.4855769230769234</c:v>
                </c:pt>
                <c:pt idx="30">
                  <c:v>3.6057692307692304</c:v>
                </c:pt>
                <c:pt idx="31">
                  <c:v>3.7259615384615383</c:v>
                </c:pt>
                <c:pt idx="32">
                  <c:v>3.8461538461538463</c:v>
                </c:pt>
                <c:pt idx="33">
                  <c:v>3.9663461538461537</c:v>
                </c:pt>
                <c:pt idx="34">
                  <c:v>4.0865384615384617</c:v>
                </c:pt>
                <c:pt idx="35">
                  <c:v>4.2067307692307692</c:v>
                </c:pt>
                <c:pt idx="36">
                  <c:v>4.3269230769230766</c:v>
                </c:pt>
                <c:pt idx="37">
                  <c:v>4.447115384615385</c:v>
                </c:pt>
                <c:pt idx="38">
                  <c:v>4.5673076923076916</c:v>
                </c:pt>
                <c:pt idx="39">
                  <c:v>4.6875</c:v>
                </c:pt>
                <c:pt idx="40">
                  <c:v>4.8076923076923084</c:v>
                </c:pt>
                <c:pt idx="41">
                  <c:v>4.927884615384615</c:v>
                </c:pt>
                <c:pt idx="42">
                  <c:v>5.0480769230769234</c:v>
                </c:pt>
                <c:pt idx="43">
                  <c:v>5.1682692307692308</c:v>
                </c:pt>
                <c:pt idx="44">
                  <c:v>5.2884615384615383</c:v>
                </c:pt>
                <c:pt idx="45">
                  <c:v>5.4086538461538467</c:v>
                </c:pt>
                <c:pt idx="46">
                  <c:v>5.5288461538461533</c:v>
                </c:pt>
                <c:pt idx="47">
                  <c:v>5.6490384615384617</c:v>
                </c:pt>
                <c:pt idx="48">
                  <c:v>5.7692307692307692</c:v>
                </c:pt>
                <c:pt idx="49">
                  <c:v>5.8894230769230766</c:v>
                </c:pt>
                <c:pt idx="50">
                  <c:v>6.009615384615385</c:v>
                </c:pt>
                <c:pt idx="51">
                  <c:v>6.1298076923076916</c:v>
                </c:pt>
                <c:pt idx="52">
                  <c:v>6.25</c:v>
                </c:pt>
                <c:pt idx="53">
                  <c:v>6.3701923076923075</c:v>
                </c:pt>
                <c:pt idx="54">
                  <c:v>6.4903846153846159</c:v>
                </c:pt>
                <c:pt idx="55">
                  <c:v>6.6105769230769234</c:v>
                </c:pt>
                <c:pt idx="56">
                  <c:v>6.7307692307692308</c:v>
                </c:pt>
                <c:pt idx="57">
                  <c:v>6.8509615384615392</c:v>
                </c:pt>
                <c:pt idx="58">
                  <c:v>6.9711538461538467</c:v>
                </c:pt>
                <c:pt idx="59">
                  <c:v>7.0913461538461533</c:v>
                </c:pt>
                <c:pt idx="60">
                  <c:v>7.2115384615384608</c:v>
                </c:pt>
                <c:pt idx="61">
                  <c:v>7.3317307692307692</c:v>
                </c:pt>
                <c:pt idx="62">
                  <c:v>7.4519230769230766</c:v>
                </c:pt>
                <c:pt idx="63">
                  <c:v>7.5721153846153841</c:v>
                </c:pt>
                <c:pt idx="64">
                  <c:v>7.6923076923076925</c:v>
                </c:pt>
                <c:pt idx="65">
                  <c:v>7.8125</c:v>
                </c:pt>
                <c:pt idx="66">
                  <c:v>7.9326923076923075</c:v>
                </c:pt>
                <c:pt idx="67">
                  <c:v>8.0528846153846168</c:v>
                </c:pt>
                <c:pt idx="68">
                  <c:v>8.1730769230769234</c:v>
                </c:pt>
                <c:pt idx="69">
                  <c:v>8.2932692307692299</c:v>
                </c:pt>
                <c:pt idx="70">
                  <c:v>8.4134615384615383</c:v>
                </c:pt>
                <c:pt idx="71">
                  <c:v>8.5336538461538467</c:v>
                </c:pt>
                <c:pt idx="72">
                  <c:v>8.6538461538461533</c:v>
                </c:pt>
                <c:pt idx="73">
                  <c:v>8.7740384615384617</c:v>
                </c:pt>
                <c:pt idx="74">
                  <c:v>8.8942307692307701</c:v>
                </c:pt>
                <c:pt idx="75">
                  <c:v>9.0144230769230766</c:v>
                </c:pt>
                <c:pt idx="76">
                  <c:v>9.1346153846153832</c:v>
                </c:pt>
                <c:pt idx="77">
                  <c:v>9.2548076923076934</c:v>
                </c:pt>
                <c:pt idx="78">
                  <c:v>9.375</c:v>
                </c:pt>
                <c:pt idx="79">
                  <c:v>9.4951923076923066</c:v>
                </c:pt>
                <c:pt idx="80">
                  <c:v>9.6153846153846168</c:v>
                </c:pt>
                <c:pt idx="81">
                  <c:v>9.7355769230769234</c:v>
                </c:pt>
                <c:pt idx="82">
                  <c:v>9.8557692307692299</c:v>
                </c:pt>
                <c:pt idx="83">
                  <c:v>9.9759615384615383</c:v>
                </c:pt>
                <c:pt idx="84">
                  <c:v>10.096153846153847</c:v>
                </c:pt>
                <c:pt idx="85">
                  <c:v>10.216346153846153</c:v>
                </c:pt>
                <c:pt idx="86">
                  <c:v>10.336538461538462</c:v>
                </c:pt>
                <c:pt idx="87">
                  <c:v>10.45673076923077</c:v>
                </c:pt>
                <c:pt idx="88">
                  <c:v>10.576923076923077</c:v>
                </c:pt>
                <c:pt idx="89">
                  <c:v>10.697115384615383</c:v>
                </c:pt>
                <c:pt idx="90">
                  <c:v>10.817307692307693</c:v>
                </c:pt>
                <c:pt idx="91">
                  <c:v>10.9375</c:v>
                </c:pt>
                <c:pt idx="92">
                  <c:v>11.057692307692307</c:v>
                </c:pt>
                <c:pt idx="93">
                  <c:v>11.177884615384617</c:v>
                </c:pt>
                <c:pt idx="94">
                  <c:v>11.298076923076923</c:v>
                </c:pt>
                <c:pt idx="95">
                  <c:v>11.41826923076923</c:v>
                </c:pt>
                <c:pt idx="96">
                  <c:v>11.538461538461538</c:v>
                </c:pt>
                <c:pt idx="97">
                  <c:v>11.658653846153847</c:v>
                </c:pt>
                <c:pt idx="98">
                  <c:v>11.778846153846153</c:v>
                </c:pt>
                <c:pt idx="99">
                  <c:v>11.899038461538462</c:v>
                </c:pt>
                <c:pt idx="100">
                  <c:v>12.01923076923077</c:v>
                </c:pt>
                <c:pt idx="101">
                  <c:v>12.139423076923077</c:v>
                </c:pt>
              </c:numCache>
            </c:numRef>
          </c:xVal>
          <c:yVal>
            <c:numRef>
              <c:f>Start_up!$G$10:$G$112</c:f>
              <c:numCache>
                <c:formatCode>General</c:formatCode>
                <c:ptCount val="103"/>
                <c:pt idx="0">
                  <c:v>0.22</c:v>
                </c:pt>
                <c:pt idx="1">
                  <c:v>0.22</c:v>
                </c:pt>
                <c:pt idx="2">
                  <c:v>0.22</c:v>
                </c:pt>
                <c:pt idx="3">
                  <c:v>0.22</c:v>
                </c:pt>
                <c:pt idx="4">
                  <c:v>0.22</c:v>
                </c:pt>
                <c:pt idx="5">
                  <c:v>0.22</c:v>
                </c:pt>
                <c:pt idx="6">
                  <c:v>0.22</c:v>
                </c:pt>
                <c:pt idx="7">
                  <c:v>0.22</c:v>
                </c:pt>
                <c:pt idx="8">
                  <c:v>0.22</c:v>
                </c:pt>
                <c:pt idx="9">
                  <c:v>0.22</c:v>
                </c:pt>
                <c:pt idx="10">
                  <c:v>0.22</c:v>
                </c:pt>
                <c:pt idx="11">
                  <c:v>0.22</c:v>
                </c:pt>
                <c:pt idx="12">
                  <c:v>0.22</c:v>
                </c:pt>
                <c:pt idx="13">
                  <c:v>0.22</c:v>
                </c:pt>
                <c:pt idx="14">
                  <c:v>0.22</c:v>
                </c:pt>
                <c:pt idx="15">
                  <c:v>0.22</c:v>
                </c:pt>
                <c:pt idx="16">
                  <c:v>0.22</c:v>
                </c:pt>
                <c:pt idx="17">
                  <c:v>0.22</c:v>
                </c:pt>
                <c:pt idx="18">
                  <c:v>0.22</c:v>
                </c:pt>
                <c:pt idx="19">
                  <c:v>0.22</c:v>
                </c:pt>
                <c:pt idx="20">
                  <c:v>0.22</c:v>
                </c:pt>
                <c:pt idx="21">
                  <c:v>0.22</c:v>
                </c:pt>
                <c:pt idx="22">
                  <c:v>0.22</c:v>
                </c:pt>
                <c:pt idx="23">
                  <c:v>0.22</c:v>
                </c:pt>
                <c:pt idx="24">
                  <c:v>0.22</c:v>
                </c:pt>
                <c:pt idx="25">
                  <c:v>0.22</c:v>
                </c:pt>
                <c:pt idx="26">
                  <c:v>0.22</c:v>
                </c:pt>
                <c:pt idx="27">
                  <c:v>0.22</c:v>
                </c:pt>
                <c:pt idx="28">
                  <c:v>0.22</c:v>
                </c:pt>
                <c:pt idx="29">
                  <c:v>0.22</c:v>
                </c:pt>
                <c:pt idx="30">
                  <c:v>0.22</c:v>
                </c:pt>
                <c:pt idx="31">
                  <c:v>0.22</c:v>
                </c:pt>
                <c:pt idx="32">
                  <c:v>0.22</c:v>
                </c:pt>
                <c:pt idx="33">
                  <c:v>0.22</c:v>
                </c:pt>
                <c:pt idx="34">
                  <c:v>0.22</c:v>
                </c:pt>
                <c:pt idx="35">
                  <c:v>0.22</c:v>
                </c:pt>
                <c:pt idx="36">
                  <c:v>0.22</c:v>
                </c:pt>
                <c:pt idx="37">
                  <c:v>0.22</c:v>
                </c:pt>
                <c:pt idx="38">
                  <c:v>0.22</c:v>
                </c:pt>
                <c:pt idx="39">
                  <c:v>0.22</c:v>
                </c:pt>
                <c:pt idx="40">
                  <c:v>0.22</c:v>
                </c:pt>
                <c:pt idx="41">
                  <c:v>0.22</c:v>
                </c:pt>
                <c:pt idx="42">
                  <c:v>0.22</c:v>
                </c:pt>
                <c:pt idx="43">
                  <c:v>0.22</c:v>
                </c:pt>
                <c:pt idx="44">
                  <c:v>0.22</c:v>
                </c:pt>
                <c:pt idx="45">
                  <c:v>0.22</c:v>
                </c:pt>
                <c:pt idx="46">
                  <c:v>0.22</c:v>
                </c:pt>
                <c:pt idx="47">
                  <c:v>0.22</c:v>
                </c:pt>
                <c:pt idx="48">
                  <c:v>0.22</c:v>
                </c:pt>
                <c:pt idx="49">
                  <c:v>0.22</c:v>
                </c:pt>
                <c:pt idx="50">
                  <c:v>0.22</c:v>
                </c:pt>
                <c:pt idx="51">
                  <c:v>0.22</c:v>
                </c:pt>
                <c:pt idx="52">
                  <c:v>0.22</c:v>
                </c:pt>
                <c:pt idx="53">
                  <c:v>0.22</c:v>
                </c:pt>
                <c:pt idx="54">
                  <c:v>0.22</c:v>
                </c:pt>
                <c:pt idx="55">
                  <c:v>0.22</c:v>
                </c:pt>
                <c:pt idx="56">
                  <c:v>0.22</c:v>
                </c:pt>
                <c:pt idx="57">
                  <c:v>0.22</c:v>
                </c:pt>
                <c:pt idx="58">
                  <c:v>0.22</c:v>
                </c:pt>
                <c:pt idx="59">
                  <c:v>0.22</c:v>
                </c:pt>
                <c:pt idx="60">
                  <c:v>0.22</c:v>
                </c:pt>
                <c:pt idx="61">
                  <c:v>0.22</c:v>
                </c:pt>
                <c:pt idx="62">
                  <c:v>0.22</c:v>
                </c:pt>
                <c:pt idx="63">
                  <c:v>0.22</c:v>
                </c:pt>
                <c:pt idx="64">
                  <c:v>0.22</c:v>
                </c:pt>
                <c:pt idx="65">
                  <c:v>0.22</c:v>
                </c:pt>
                <c:pt idx="66">
                  <c:v>0.22</c:v>
                </c:pt>
                <c:pt idx="67">
                  <c:v>0.22</c:v>
                </c:pt>
                <c:pt idx="68">
                  <c:v>0.22</c:v>
                </c:pt>
                <c:pt idx="69">
                  <c:v>0.22</c:v>
                </c:pt>
                <c:pt idx="70">
                  <c:v>0.22</c:v>
                </c:pt>
                <c:pt idx="71">
                  <c:v>0.22</c:v>
                </c:pt>
                <c:pt idx="72">
                  <c:v>0.22</c:v>
                </c:pt>
                <c:pt idx="73">
                  <c:v>0.22</c:v>
                </c:pt>
                <c:pt idx="74">
                  <c:v>0.22</c:v>
                </c:pt>
                <c:pt idx="75">
                  <c:v>0.22</c:v>
                </c:pt>
                <c:pt idx="76">
                  <c:v>0.22</c:v>
                </c:pt>
                <c:pt idx="77">
                  <c:v>0.22</c:v>
                </c:pt>
                <c:pt idx="78">
                  <c:v>0.22</c:v>
                </c:pt>
                <c:pt idx="79">
                  <c:v>0.22</c:v>
                </c:pt>
                <c:pt idx="80">
                  <c:v>0.22</c:v>
                </c:pt>
                <c:pt idx="81">
                  <c:v>0.22</c:v>
                </c:pt>
                <c:pt idx="82">
                  <c:v>0.22</c:v>
                </c:pt>
                <c:pt idx="83">
                  <c:v>0.22</c:v>
                </c:pt>
                <c:pt idx="84">
                  <c:v>0.22</c:v>
                </c:pt>
                <c:pt idx="85">
                  <c:v>0.22</c:v>
                </c:pt>
                <c:pt idx="86">
                  <c:v>0.22</c:v>
                </c:pt>
                <c:pt idx="87">
                  <c:v>0.22</c:v>
                </c:pt>
                <c:pt idx="88">
                  <c:v>0.22</c:v>
                </c:pt>
                <c:pt idx="89">
                  <c:v>0.22</c:v>
                </c:pt>
                <c:pt idx="90">
                  <c:v>0.22</c:v>
                </c:pt>
                <c:pt idx="91">
                  <c:v>0.22</c:v>
                </c:pt>
                <c:pt idx="92">
                  <c:v>0.22</c:v>
                </c:pt>
                <c:pt idx="93">
                  <c:v>0.22</c:v>
                </c:pt>
                <c:pt idx="94">
                  <c:v>0.22</c:v>
                </c:pt>
                <c:pt idx="95">
                  <c:v>0.22</c:v>
                </c:pt>
                <c:pt idx="96">
                  <c:v>0.22</c:v>
                </c:pt>
                <c:pt idx="97">
                  <c:v>0.22</c:v>
                </c:pt>
                <c:pt idx="98">
                  <c:v>0.22</c:v>
                </c:pt>
                <c:pt idx="99">
                  <c:v>0.22</c:v>
                </c:pt>
                <c:pt idx="100">
                  <c:v>0.22</c:v>
                </c:pt>
                <c:pt idx="101">
                  <c:v>0.22</c:v>
                </c:pt>
                <c:pt idx="102">
                  <c:v>0.22</c:v>
                </c:pt>
              </c:numCache>
            </c:numRef>
          </c:yVal>
          <c:smooth val="1"/>
          <c:extLst>
            <c:ext xmlns:c16="http://schemas.microsoft.com/office/drawing/2014/chart" uri="{C3380CC4-5D6E-409C-BE32-E72D297353CC}">
              <c16:uniqueId val="{00000001-6562-4BDC-AA0A-EC5BD20B9CEA}"/>
            </c:ext>
          </c:extLst>
        </c:ser>
        <c:dLbls>
          <c:showLegendKey val="0"/>
          <c:showVal val="0"/>
          <c:showCatName val="0"/>
          <c:showSerName val="0"/>
          <c:showPercent val="0"/>
          <c:showBubbleSize val="0"/>
        </c:dLbls>
        <c:axId val="583185920"/>
        <c:axId val="583201920"/>
      </c:scatterChart>
      <c:valAx>
        <c:axId val="583185920"/>
        <c:scaling>
          <c:orientation val="minMax"/>
        </c:scaling>
        <c:delete val="0"/>
        <c:axPos val="b"/>
        <c:majorGridlines/>
        <c:minorGridlines/>
        <c:title>
          <c:tx>
            <c:rich>
              <a:bodyPr/>
              <a:lstStyle/>
              <a:p>
                <a:pPr>
                  <a:defRPr/>
                </a:pPr>
                <a:r>
                  <a:rPr lang="en-US"/>
                  <a:t>Output</a:t>
                </a:r>
                <a:r>
                  <a:rPr lang="en-US" baseline="0"/>
                  <a:t> Voltage (V)</a:t>
                </a:r>
                <a:endParaRPr lang="en-US"/>
              </a:p>
            </c:rich>
          </c:tx>
          <c:layout>
            <c:manualLayout>
              <c:xMode val="edge"/>
              <c:yMode val="edge"/>
              <c:x val="0.40914479681091759"/>
              <c:y val="0.92545001031614371"/>
            </c:manualLayout>
          </c:layout>
          <c:overlay val="0"/>
        </c:title>
        <c:numFmt formatCode="0.00" sourceLinked="1"/>
        <c:majorTickMark val="out"/>
        <c:minorTickMark val="none"/>
        <c:tickLblPos val="nextTo"/>
        <c:txPr>
          <a:bodyPr/>
          <a:lstStyle/>
          <a:p>
            <a:pPr>
              <a:defRPr b="1"/>
            </a:pPr>
            <a:endParaRPr lang="en-US"/>
          </a:p>
        </c:txPr>
        <c:crossAx val="583201920"/>
        <c:crosses val="autoZero"/>
        <c:crossBetween val="midCat"/>
      </c:valAx>
      <c:valAx>
        <c:axId val="583201920"/>
        <c:scaling>
          <c:orientation val="minMax"/>
          <c:min val="0"/>
        </c:scaling>
        <c:delete val="0"/>
        <c:axPos val="l"/>
        <c:majorGridlines/>
        <c:minorGridlines/>
        <c:title>
          <c:tx>
            <c:rich>
              <a:bodyPr rot="-5400000" vert="horz"/>
              <a:lstStyle/>
              <a:p>
                <a:pPr>
                  <a:defRPr/>
                </a:pPr>
                <a:r>
                  <a:rPr lang="en-US"/>
                  <a:t>Current (A)</a:t>
                </a:r>
              </a:p>
            </c:rich>
          </c:tx>
          <c:layout>
            <c:manualLayout>
              <c:xMode val="edge"/>
              <c:yMode val="edge"/>
              <c:x val="2.5894125229633976E-2"/>
              <c:y val="0.40230013499530876"/>
            </c:manualLayout>
          </c:layout>
          <c:overlay val="0"/>
        </c:title>
        <c:numFmt formatCode="0.0" sourceLinked="0"/>
        <c:majorTickMark val="out"/>
        <c:minorTickMark val="none"/>
        <c:tickLblPos val="nextTo"/>
        <c:txPr>
          <a:bodyPr/>
          <a:lstStyle/>
          <a:p>
            <a:pPr>
              <a:defRPr b="1"/>
            </a:pPr>
            <a:endParaRPr lang="en-US"/>
          </a:p>
        </c:txPr>
        <c:crossAx val="583185920"/>
        <c:crosses val="autoZero"/>
        <c:crossBetween val="midCat"/>
      </c:valAx>
    </c:plotArea>
    <c:legend>
      <c:legendPos val="r"/>
      <c:layout>
        <c:manualLayout>
          <c:xMode val="edge"/>
          <c:yMode val="edge"/>
          <c:x val="0.17948138421044507"/>
          <c:y val="0.18817949003451728"/>
          <c:w val="0.21462230092985587"/>
          <c:h val="0.18516649249275954"/>
        </c:manualLayout>
      </c:layout>
      <c:overlay val="0"/>
      <c:spPr>
        <a:solidFill>
          <a:sysClr val="window" lastClr="FFFFFF"/>
        </a:solidFill>
        <a:ln>
          <a:solidFill>
            <a:schemeClr val="tx1"/>
          </a:solidFill>
        </a:ln>
      </c:spPr>
      <c:txPr>
        <a:bodyPr/>
        <a:lstStyle/>
        <a:p>
          <a:pPr>
            <a:defRPr>
              <a:ln>
                <a:solidFill>
                  <a:sysClr val="windowText" lastClr="000000"/>
                </a:solidFill>
              </a:ln>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a:t>Start</a:t>
            </a:r>
            <a:r>
              <a:rPr lang="en-US" sz="1600" baseline="0"/>
              <a:t> - up: </a:t>
            </a:r>
            <a:r>
              <a:rPr lang="en-US" sz="1600"/>
              <a:t>FET</a:t>
            </a:r>
            <a:r>
              <a:rPr lang="en-US" sz="1600" baseline="0"/>
              <a:t> Power (</a:t>
            </a:r>
            <a:r>
              <a:rPr lang="en-US" sz="1600" b="1" i="0" u="none" strike="noStrike" baseline="0">
                <a:effectLst/>
              </a:rPr>
              <a:t>V</a:t>
            </a:r>
            <a:r>
              <a:rPr lang="en-US" sz="1600" b="1" i="0" u="none" strike="noStrike" baseline="-25000">
                <a:effectLst/>
              </a:rPr>
              <a:t>IN</a:t>
            </a:r>
            <a:r>
              <a:rPr lang="en-US" sz="1600" b="1" i="0" u="none" strike="noStrike" baseline="0">
                <a:effectLst/>
              </a:rPr>
              <a:t> = </a:t>
            </a:r>
            <a:r>
              <a:rPr lang="en-US" sz="1600" b="1" i="0" baseline="0">
                <a:effectLst/>
              </a:rPr>
              <a:t>V</a:t>
            </a:r>
            <a:r>
              <a:rPr lang="en-US" sz="1600" b="1" i="0" baseline="-25000">
                <a:effectLst/>
              </a:rPr>
              <a:t>INMAX</a:t>
            </a:r>
            <a:r>
              <a:rPr lang="en-US" sz="1600" b="1" i="0" u="none" strike="noStrike" baseline="0">
                <a:effectLst/>
              </a:rPr>
              <a:t>)</a:t>
            </a:r>
            <a:endParaRPr lang="en-US" sz="1600"/>
          </a:p>
        </c:rich>
      </c:tx>
      <c:layout>
        <c:manualLayout>
          <c:xMode val="edge"/>
          <c:yMode val="edge"/>
          <c:x val="0.19627129299304633"/>
          <c:y val="4.7011518577863782E-3"/>
        </c:manualLayout>
      </c:layout>
      <c:overlay val="0"/>
      <c:spPr>
        <a:solidFill>
          <a:schemeClr val="bg1"/>
        </a:solidFill>
      </c:spPr>
    </c:title>
    <c:autoTitleDeleted val="0"/>
    <c:plotArea>
      <c:layout>
        <c:manualLayout>
          <c:layoutTarget val="inner"/>
          <c:xMode val="edge"/>
          <c:yMode val="edge"/>
          <c:x val="0.13897705213713227"/>
          <c:y val="8.0967958803185414E-2"/>
          <c:w val="0.7676811886700865"/>
          <c:h val="0.71875545525738083"/>
        </c:manualLayout>
      </c:layout>
      <c:scatterChart>
        <c:scatterStyle val="lineMarker"/>
        <c:varyColors val="0"/>
        <c:ser>
          <c:idx val="0"/>
          <c:order val="0"/>
          <c:tx>
            <c:v>FET power dissipation</c:v>
          </c:tx>
          <c:marker>
            <c:symbol val="none"/>
          </c:marker>
          <c:xVal>
            <c:numRef>
              <c:f>Start_up!$K$8:$K$115</c:f>
              <c:numCache>
                <c:formatCode>0.00</c:formatCode>
                <c:ptCount val="108"/>
                <c:pt idx="0" formatCode="0.0">
                  <c:v>-10</c:v>
                </c:pt>
                <c:pt idx="1">
                  <c:v>-0.01</c:v>
                </c:pt>
                <c:pt idx="2" formatCode="0.0">
                  <c:v>0</c:v>
                </c:pt>
                <c:pt idx="3" formatCode="0.0">
                  <c:v>0.54632867132867136</c:v>
                </c:pt>
                <c:pt idx="4" formatCode="0.0">
                  <c:v>1.0926573426573427</c:v>
                </c:pt>
                <c:pt idx="5" formatCode="0.0">
                  <c:v>1.638986013986014</c:v>
                </c:pt>
                <c:pt idx="6" formatCode="0.0">
                  <c:v>2.1853146853146854</c:v>
                </c:pt>
                <c:pt idx="7" formatCode="0.0">
                  <c:v>2.7316433566433571</c:v>
                </c:pt>
                <c:pt idx="8" formatCode="0.0">
                  <c:v>3.2779720279720279</c:v>
                </c:pt>
                <c:pt idx="9" formatCode="0.0">
                  <c:v>3.8243006993006996</c:v>
                </c:pt>
                <c:pt idx="10" formatCode="0.0">
                  <c:v>4.3706293706293708</c:v>
                </c:pt>
                <c:pt idx="11" formatCode="0.0">
                  <c:v>4.9169580419580416</c:v>
                </c:pt>
                <c:pt idx="12" formatCode="0.0">
                  <c:v>5.4632867132867151</c:v>
                </c:pt>
                <c:pt idx="13" formatCode="0.0">
                  <c:v>6.009615384615385</c:v>
                </c:pt>
                <c:pt idx="14" formatCode="0.0">
                  <c:v>6.5559440559440558</c:v>
                </c:pt>
                <c:pt idx="15" formatCode="0.0">
                  <c:v>7.1022727272727266</c:v>
                </c:pt>
                <c:pt idx="16" formatCode="0.0">
                  <c:v>7.6486013986013983</c:v>
                </c:pt>
                <c:pt idx="17" formatCode="0.0">
                  <c:v>8.1949300699300682</c:v>
                </c:pt>
                <c:pt idx="18" formatCode="0.0">
                  <c:v>8.7412587412587399</c:v>
                </c:pt>
                <c:pt idx="19" formatCode="0.0">
                  <c:v>9.2875874125874116</c:v>
                </c:pt>
                <c:pt idx="20" formatCode="0.0">
                  <c:v>9.8339160839160815</c:v>
                </c:pt>
                <c:pt idx="21" formatCode="0.0">
                  <c:v>10.380244755244753</c:v>
                </c:pt>
                <c:pt idx="22" formatCode="0.0">
                  <c:v>10.926573426573427</c:v>
                </c:pt>
                <c:pt idx="23" formatCode="0.0">
                  <c:v>11.472902097902097</c:v>
                </c:pt>
                <c:pt idx="24" formatCode="0.0">
                  <c:v>12.019230769230766</c:v>
                </c:pt>
                <c:pt idx="25" formatCode="0.0">
                  <c:v>12.565559440559436</c:v>
                </c:pt>
                <c:pt idx="26" formatCode="0.0">
                  <c:v>13.111888111888108</c:v>
                </c:pt>
                <c:pt idx="27" formatCode="0.0">
                  <c:v>13.65821678321678</c:v>
                </c:pt>
                <c:pt idx="28" formatCode="0.0">
                  <c:v>14.204545454545451</c:v>
                </c:pt>
                <c:pt idx="29" formatCode="0.0">
                  <c:v>14.750874125874123</c:v>
                </c:pt>
                <c:pt idx="30" formatCode="0.0">
                  <c:v>15.297202797202793</c:v>
                </c:pt>
                <c:pt idx="31" formatCode="0.0">
                  <c:v>15.843531468531465</c:v>
                </c:pt>
                <c:pt idx="32" formatCode="0.0">
                  <c:v>16.389860139860133</c:v>
                </c:pt>
                <c:pt idx="33" formatCode="0.0">
                  <c:v>16.936188811188806</c:v>
                </c:pt>
                <c:pt idx="34" formatCode="0.0">
                  <c:v>17.482517482517476</c:v>
                </c:pt>
                <c:pt idx="35" formatCode="0.0">
                  <c:v>18.02884615384615</c:v>
                </c:pt>
                <c:pt idx="36" formatCode="0.0">
                  <c:v>18.57517482517482</c:v>
                </c:pt>
                <c:pt idx="37" formatCode="0.0">
                  <c:v>19.121503496503493</c:v>
                </c:pt>
                <c:pt idx="38" formatCode="0.0">
                  <c:v>19.667832167832163</c:v>
                </c:pt>
                <c:pt idx="39" formatCode="0.0">
                  <c:v>20.21416083916084</c:v>
                </c:pt>
                <c:pt idx="40" formatCode="0.0">
                  <c:v>20.760489510489506</c:v>
                </c:pt>
                <c:pt idx="41" formatCode="0.0">
                  <c:v>21.30681818181818</c:v>
                </c:pt>
                <c:pt idx="42" formatCode="0.0">
                  <c:v>21.853146853146857</c:v>
                </c:pt>
                <c:pt idx="43" formatCode="0.0">
                  <c:v>22.39947552447552</c:v>
                </c:pt>
                <c:pt idx="44" formatCode="0.0">
                  <c:v>22.945804195804197</c:v>
                </c:pt>
                <c:pt idx="45" formatCode="0.0">
                  <c:v>23.492132867132867</c:v>
                </c:pt>
                <c:pt idx="46" formatCode="0.0">
                  <c:v>24.03846153846154</c:v>
                </c:pt>
                <c:pt idx="47" formatCode="0.0">
                  <c:v>24.584790209790214</c:v>
                </c:pt>
                <c:pt idx="48" formatCode="0.0">
                  <c:v>25.13111888111888</c:v>
                </c:pt>
                <c:pt idx="49" formatCode="0.0">
                  <c:v>25.677447552447557</c:v>
                </c:pt>
                <c:pt idx="50" formatCode="0.0">
                  <c:v>26.223776223776227</c:v>
                </c:pt>
                <c:pt idx="51" formatCode="0.0">
                  <c:v>26.7701048951049</c:v>
                </c:pt>
                <c:pt idx="52" formatCode="0.0">
                  <c:v>27.316433566433574</c:v>
                </c:pt>
                <c:pt idx="53" formatCode="0.0">
                  <c:v>27.86276223776224</c:v>
                </c:pt>
                <c:pt idx="54" formatCode="0.0">
                  <c:v>28.409090909090914</c:v>
                </c:pt>
                <c:pt idx="55" formatCode="0.0">
                  <c:v>28.955419580419587</c:v>
                </c:pt>
                <c:pt idx="56" formatCode="0.0">
                  <c:v>29.501748251748264</c:v>
                </c:pt>
                <c:pt idx="57" formatCode="0.0">
                  <c:v>30.048076923076934</c:v>
                </c:pt>
                <c:pt idx="58" formatCode="0.0">
                  <c:v>30.594405594405607</c:v>
                </c:pt>
                <c:pt idx="59" formatCode="0.0">
                  <c:v>31.140734265734281</c:v>
                </c:pt>
                <c:pt idx="60" formatCode="0.0">
                  <c:v>31.687062937062951</c:v>
                </c:pt>
                <c:pt idx="61" formatCode="0.0">
                  <c:v>32.233391608391614</c:v>
                </c:pt>
                <c:pt idx="62" formatCode="0.0">
                  <c:v>32.779720279720287</c:v>
                </c:pt>
                <c:pt idx="63" formatCode="0.0">
                  <c:v>33.326048951048961</c:v>
                </c:pt>
                <c:pt idx="64" formatCode="0.0">
                  <c:v>33.872377622377634</c:v>
                </c:pt>
                <c:pt idx="65" formatCode="0.0">
                  <c:v>34.4187062937063</c:v>
                </c:pt>
                <c:pt idx="66" formatCode="0.0">
                  <c:v>34.965034965034974</c:v>
                </c:pt>
                <c:pt idx="67" formatCode="0.0">
                  <c:v>35.511363636363647</c:v>
                </c:pt>
                <c:pt idx="68" formatCode="0.0">
                  <c:v>36.057692307692321</c:v>
                </c:pt>
                <c:pt idx="69" formatCode="0.0">
                  <c:v>36.604020979020994</c:v>
                </c:pt>
                <c:pt idx="70" formatCode="0.0">
                  <c:v>37.150349650349661</c:v>
                </c:pt>
                <c:pt idx="71" formatCode="0.0">
                  <c:v>37.696678321678327</c:v>
                </c:pt>
                <c:pt idx="72" formatCode="0.0">
                  <c:v>38.243006993007</c:v>
                </c:pt>
                <c:pt idx="73" formatCode="0.0">
                  <c:v>38.789335664335674</c:v>
                </c:pt>
                <c:pt idx="74" formatCode="0.0">
                  <c:v>39.335664335664333</c:v>
                </c:pt>
                <c:pt idx="75" formatCode="0.0">
                  <c:v>39.881993006993007</c:v>
                </c:pt>
                <c:pt idx="76" formatCode="0.0">
                  <c:v>40.42832167832168</c:v>
                </c:pt>
                <c:pt idx="77" formatCode="0.0">
                  <c:v>40.974650349650346</c:v>
                </c:pt>
                <c:pt idx="78" formatCode="0.0">
                  <c:v>41.520979020979013</c:v>
                </c:pt>
                <c:pt idx="79" formatCode="0.0">
                  <c:v>42.067307692307693</c:v>
                </c:pt>
                <c:pt idx="80" formatCode="0.0">
                  <c:v>42.61363636363636</c:v>
                </c:pt>
                <c:pt idx="81" formatCode="0.0">
                  <c:v>43.159965034965026</c:v>
                </c:pt>
                <c:pt idx="82" formatCode="0.0">
                  <c:v>43.706293706293714</c:v>
                </c:pt>
                <c:pt idx="83" formatCode="0.0">
                  <c:v>44.252622377622373</c:v>
                </c:pt>
                <c:pt idx="84" formatCode="0.0">
                  <c:v>44.798951048951039</c:v>
                </c:pt>
                <c:pt idx="85" formatCode="0.0">
                  <c:v>45.345279720279713</c:v>
                </c:pt>
                <c:pt idx="86" formatCode="0.0">
                  <c:v>45.891608391608386</c:v>
                </c:pt>
                <c:pt idx="87" formatCode="0.0">
                  <c:v>46.437937062937053</c:v>
                </c:pt>
                <c:pt idx="88" formatCode="0.0">
                  <c:v>46.984265734265719</c:v>
                </c:pt>
                <c:pt idx="89" formatCode="0.0">
                  <c:v>47.530594405594393</c:v>
                </c:pt>
                <c:pt idx="90" formatCode="0.0">
                  <c:v>48.076923076923059</c:v>
                </c:pt>
                <c:pt idx="91" formatCode="0.0">
                  <c:v>48.623251748251725</c:v>
                </c:pt>
                <c:pt idx="92" formatCode="0.0">
                  <c:v>49.169580419580413</c:v>
                </c:pt>
                <c:pt idx="93" formatCode="0.0">
                  <c:v>49.715909090909072</c:v>
                </c:pt>
                <c:pt idx="94" formatCode="0.0">
                  <c:v>50.262237762237739</c:v>
                </c:pt>
                <c:pt idx="95" formatCode="0.0">
                  <c:v>50.808566433566426</c:v>
                </c:pt>
                <c:pt idx="96" formatCode="0.0">
                  <c:v>51.354895104895093</c:v>
                </c:pt>
                <c:pt idx="97" formatCode="0.0">
                  <c:v>51.901223776223752</c:v>
                </c:pt>
                <c:pt idx="98" formatCode="0.0">
                  <c:v>52.447552447552425</c:v>
                </c:pt>
                <c:pt idx="99" formatCode="0.0">
                  <c:v>52.993881118881099</c:v>
                </c:pt>
                <c:pt idx="100" formatCode="0.0">
                  <c:v>53.540209790209765</c:v>
                </c:pt>
                <c:pt idx="101" formatCode="0.0">
                  <c:v>54.086538461538439</c:v>
                </c:pt>
                <c:pt idx="102" formatCode="0.0">
                  <c:v>54.632867132867105</c:v>
                </c:pt>
                <c:pt idx="103" formatCode="0.0">
                  <c:v>55.179195804195771</c:v>
                </c:pt>
                <c:pt idx="104" formatCode="0.0">
                  <c:v>55.725524475524438</c:v>
                </c:pt>
                <c:pt idx="105" formatCode="0.0">
                  <c:v>56.271853146853125</c:v>
                </c:pt>
                <c:pt idx="106" formatCode="0.0">
                  <c:v>56.818181818181792</c:v>
                </c:pt>
                <c:pt idx="107" formatCode="0.0">
                  <c:v>57.318181818181792</c:v>
                </c:pt>
              </c:numCache>
            </c:numRef>
          </c:xVal>
          <c:yVal>
            <c:numRef>
              <c:f>Start_up!$O$8:$O$115</c:f>
              <c:numCache>
                <c:formatCode>General</c:formatCode>
                <c:ptCount val="108"/>
                <c:pt idx="0">
                  <c:v>0</c:v>
                </c:pt>
                <c:pt idx="1">
                  <c:v>0</c:v>
                </c:pt>
                <c:pt idx="2">
                  <c:v>2.75</c:v>
                </c:pt>
                <c:pt idx="3">
                  <c:v>2.7235576923076921</c:v>
                </c:pt>
                <c:pt idx="4">
                  <c:v>2.6971153846153846</c:v>
                </c:pt>
                <c:pt idx="5">
                  <c:v>2.6706730769230771</c:v>
                </c:pt>
                <c:pt idx="6">
                  <c:v>2.6442307692307696</c:v>
                </c:pt>
                <c:pt idx="7">
                  <c:v>2.6177884615384617</c:v>
                </c:pt>
                <c:pt idx="8">
                  <c:v>2.5913461538461537</c:v>
                </c:pt>
                <c:pt idx="9">
                  <c:v>2.5649038461538463</c:v>
                </c:pt>
                <c:pt idx="10">
                  <c:v>2.5384615384615383</c:v>
                </c:pt>
                <c:pt idx="11">
                  <c:v>2.5120192307692304</c:v>
                </c:pt>
                <c:pt idx="12">
                  <c:v>2.4855769230769234</c:v>
                </c:pt>
                <c:pt idx="13">
                  <c:v>2.4591346153846154</c:v>
                </c:pt>
                <c:pt idx="14">
                  <c:v>2.4326923076923079</c:v>
                </c:pt>
                <c:pt idx="15">
                  <c:v>2.40625</c:v>
                </c:pt>
                <c:pt idx="16">
                  <c:v>2.3798076923076921</c:v>
                </c:pt>
                <c:pt idx="17">
                  <c:v>2.3533653846153846</c:v>
                </c:pt>
                <c:pt idx="18">
                  <c:v>2.3269230769230771</c:v>
                </c:pt>
                <c:pt idx="19">
                  <c:v>2.3004807692307696</c:v>
                </c:pt>
                <c:pt idx="20">
                  <c:v>2.2740384615384617</c:v>
                </c:pt>
                <c:pt idx="21">
                  <c:v>2.2475961538461537</c:v>
                </c:pt>
                <c:pt idx="22">
                  <c:v>2.2211538461538463</c:v>
                </c:pt>
                <c:pt idx="23">
                  <c:v>2.1947115384615383</c:v>
                </c:pt>
                <c:pt idx="24">
                  <c:v>2.1682692307692304</c:v>
                </c:pt>
                <c:pt idx="25">
                  <c:v>2.1418269230769234</c:v>
                </c:pt>
                <c:pt idx="26">
                  <c:v>2.1153846153846154</c:v>
                </c:pt>
                <c:pt idx="27">
                  <c:v>2.0889423076923075</c:v>
                </c:pt>
                <c:pt idx="28">
                  <c:v>2.0625</c:v>
                </c:pt>
                <c:pt idx="29">
                  <c:v>2.0360576923076921</c:v>
                </c:pt>
                <c:pt idx="30">
                  <c:v>2.0096153846153846</c:v>
                </c:pt>
                <c:pt idx="31">
                  <c:v>1.9831730769230769</c:v>
                </c:pt>
                <c:pt idx="32">
                  <c:v>1.9567307692307694</c:v>
                </c:pt>
                <c:pt idx="33">
                  <c:v>1.9302884615384617</c:v>
                </c:pt>
                <c:pt idx="34">
                  <c:v>1.9038461538461537</c:v>
                </c:pt>
                <c:pt idx="35">
                  <c:v>1.8774038461538463</c:v>
                </c:pt>
                <c:pt idx="36">
                  <c:v>1.8509615384615385</c:v>
                </c:pt>
                <c:pt idx="37">
                  <c:v>1.8245192307692306</c:v>
                </c:pt>
                <c:pt idx="38">
                  <c:v>1.7980769230769231</c:v>
                </c:pt>
                <c:pt idx="39">
                  <c:v>1.7716346153846152</c:v>
                </c:pt>
                <c:pt idx="40">
                  <c:v>1.7451923076923079</c:v>
                </c:pt>
                <c:pt idx="41">
                  <c:v>1.71875</c:v>
                </c:pt>
                <c:pt idx="42">
                  <c:v>1.6923076923076921</c:v>
                </c:pt>
                <c:pt idx="43">
                  <c:v>1.6658653846153848</c:v>
                </c:pt>
                <c:pt idx="44">
                  <c:v>1.6394230769230769</c:v>
                </c:pt>
                <c:pt idx="45">
                  <c:v>1.6129807692307692</c:v>
                </c:pt>
                <c:pt idx="46">
                  <c:v>1.5865384615384617</c:v>
                </c:pt>
                <c:pt idx="47">
                  <c:v>1.5600961538461537</c:v>
                </c:pt>
                <c:pt idx="48">
                  <c:v>1.5336538461538463</c:v>
                </c:pt>
                <c:pt idx="49">
                  <c:v>1.5072115384615385</c:v>
                </c:pt>
                <c:pt idx="50">
                  <c:v>1.4807692307692308</c:v>
                </c:pt>
                <c:pt idx="51">
                  <c:v>1.4543269230769231</c:v>
                </c:pt>
                <c:pt idx="52">
                  <c:v>1.4278846153846152</c:v>
                </c:pt>
                <c:pt idx="53">
                  <c:v>1.4014423076923079</c:v>
                </c:pt>
                <c:pt idx="54">
                  <c:v>1.375</c:v>
                </c:pt>
                <c:pt idx="55">
                  <c:v>1.3485576923076923</c:v>
                </c:pt>
                <c:pt idx="56">
                  <c:v>1.3221153846153846</c:v>
                </c:pt>
                <c:pt idx="57">
                  <c:v>1.2956730769230769</c:v>
                </c:pt>
                <c:pt idx="58">
                  <c:v>1.2692307692307692</c:v>
                </c:pt>
                <c:pt idx="59">
                  <c:v>1.2427884615384615</c:v>
                </c:pt>
                <c:pt idx="60">
                  <c:v>1.2163461538461537</c:v>
                </c:pt>
                <c:pt idx="61">
                  <c:v>1.1899038461538463</c:v>
                </c:pt>
                <c:pt idx="62">
                  <c:v>1.1634615384615385</c:v>
                </c:pt>
                <c:pt idx="63">
                  <c:v>1.1370192307692308</c:v>
                </c:pt>
                <c:pt idx="64">
                  <c:v>1.1105769230769231</c:v>
                </c:pt>
                <c:pt idx="65">
                  <c:v>1.0841346153846154</c:v>
                </c:pt>
                <c:pt idx="66">
                  <c:v>1.0576923076923077</c:v>
                </c:pt>
                <c:pt idx="67">
                  <c:v>1.03125</c:v>
                </c:pt>
                <c:pt idx="68">
                  <c:v>1.0048076923076923</c:v>
                </c:pt>
                <c:pt idx="69">
                  <c:v>0.97836538461538436</c:v>
                </c:pt>
                <c:pt idx="70">
                  <c:v>0.95192307692307687</c:v>
                </c:pt>
                <c:pt idx="71">
                  <c:v>0.92548076923076938</c:v>
                </c:pt>
                <c:pt idx="72">
                  <c:v>0.89903846153846156</c:v>
                </c:pt>
                <c:pt idx="73">
                  <c:v>0.87259615384615374</c:v>
                </c:pt>
                <c:pt idx="74">
                  <c:v>0.84615384615384626</c:v>
                </c:pt>
                <c:pt idx="75">
                  <c:v>0.81971153846153844</c:v>
                </c:pt>
                <c:pt idx="76">
                  <c:v>0.79326923076923062</c:v>
                </c:pt>
                <c:pt idx="77">
                  <c:v>0.76682692307692313</c:v>
                </c:pt>
                <c:pt idx="78">
                  <c:v>0.74038461538461564</c:v>
                </c:pt>
                <c:pt idx="79">
                  <c:v>0.71394230769230749</c:v>
                </c:pt>
                <c:pt idx="80">
                  <c:v>0.6875</c:v>
                </c:pt>
                <c:pt idx="81">
                  <c:v>0.66105769230769251</c:v>
                </c:pt>
                <c:pt idx="82">
                  <c:v>0.63461538461538436</c:v>
                </c:pt>
                <c:pt idx="83">
                  <c:v>0.60817307692307687</c:v>
                </c:pt>
                <c:pt idx="84">
                  <c:v>0.58173076923076938</c:v>
                </c:pt>
                <c:pt idx="85">
                  <c:v>0.55528846153846156</c:v>
                </c:pt>
                <c:pt idx="86">
                  <c:v>0.52884615384615374</c:v>
                </c:pt>
                <c:pt idx="87">
                  <c:v>0.50240384615384626</c:v>
                </c:pt>
                <c:pt idx="88">
                  <c:v>0.47596153846153844</c:v>
                </c:pt>
                <c:pt idx="89">
                  <c:v>0.44951923076923062</c:v>
                </c:pt>
                <c:pt idx="90">
                  <c:v>0.42307692307692313</c:v>
                </c:pt>
                <c:pt idx="91">
                  <c:v>0.3966346153846157</c:v>
                </c:pt>
                <c:pt idx="92">
                  <c:v>0.37019230769230743</c:v>
                </c:pt>
                <c:pt idx="93">
                  <c:v>0.34375</c:v>
                </c:pt>
                <c:pt idx="94">
                  <c:v>0.31730769230769257</c:v>
                </c:pt>
                <c:pt idx="95">
                  <c:v>0.2908653846153843</c:v>
                </c:pt>
                <c:pt idx="96">
                  <c:v>0.26442307692307687</c:v>
                </c:pt>
                <c:pt idx="97">
                  <c:v>0.23798076923076941</c:v>
                </c:pt>
                <c:pt idx="98">
                  <c:v>0.21153846153846156</c:v>
                </c:pt>
                <c:pt idx="99">
                  <c:v>0.18509615384615372</c:v>
                </c:pt>
                <c:pt idx="100">
                  <c:v>0.15865384615384628</c:v>
                </c:pt>
                <c:pt idx="101">
                  <c:v>0.13221153846153844</c:v>
                </c:pt>
                <c:pt idx="102">
                  <c:v>0.10576923076923059</c:v>
                </c:pt>
                <c:pt idx="103">
                  <c:v>7.9326923076923142E-2</c:v>
                </c:pt>
                <c:pt idx="104">
                  <c:v>5.2884615384615682E-2</c:v>
                </c:pt>
                <c:pt idx="105">
                  <c:v>2.6442307692307453E-2</c:v>
                </c:pt>
                <c:pt idx="106">
                  <c:v>0</c:v>
                </c:pt>
                <c:pt idx="107">
                  <c:v>0</c:v>
                </c:pt>
              </c:numCache>
            </c:numRef>
          </c:yVal>
          <c:smooth val="0"/>
          <c:extLst>
            <c:ext xmlns:c16="http://schemas.microsoft.com/office/drawing/2014/chart" uri="{C3380CC4-5D6E-409C-BE32-E72D297353CC}">
              <c16:uniqueId val="{00000000-BD2B-48CD-9CDE-CEFB76F67073}"/>
            </c:ext>
          </c:extLst>
        </c:ser>
        <c:dLbls>
          <c:showLegendKey val="0"/>
          <c:showVal val="0"/>
          <c:showCatName val="0"/>
          <c:showSerName val="0"/>
          <c:showPercent val="0"/>
          <c:showBubbleSize val="0"/>
        </c:dLbls>
        <c:axId val="135271936"/>
        <c:axId val="135273856"/>
      </c:scatterChart>
      <c:valAx>
        <c:axId val="135271936"/>
        <c:scaling>
          <c:orientation val="minMax"/>
          <c:min val="-1"/>
        </c:scaling>
        <c:delete val="0"/>
        <c:axPos val="b"/>
        <c:minorGridlines/>
        <c:title>
          <c:tx>
            <c:rich>
              <a:bodyPr/>
              <a:lstStyle/>
              <a:p>
                <a:pPr>
                  <a:defRPr/>
                </a:pPr>
                <a:r>
                  <a:rPr lang="en-US"/>
                  <a:t>Time (ms)</a:t>
                </a:r>
              </a:p>
            </c:rich>
          </c:tx>
          <c:layout>
            <c:manualLayout>
              <c:xMode val="edge"/>
              <c:yMode val="edge"/>
              <c:x val="0.44799096768442925"/>
              <c:y val="0.90583847854517363"/>
            </c:manualLayout>
          </c:layout>
          <c:overlay val="0"/>
        </c:title>
        <c:numFmt formatCode="0.0" sourceLinked="1"/>
        <c:majorTickMark val="out"/>
        <c:minorTickMark val="none"/>
        <c:tickLblPos val="nextTo"/>
        <c:txPr>
          <a:bodyPr/>
          <a:lstStyle/>
          <a:p>
            <a:pPr>
              <a:defRPr b="1"/>
            </a:pPr>
            <a:endParaRPr lang="en-US"/>
          </a:p>
        </c:txPr>
        <c:crossAx val="135273856"/>
        <c:crosses val="autoZero"/>
        <c:crossBetween val="midCat"/>
      </c:valAx>
      <c:valAx>
        <c:axId val="135273856"/>
        <c:scaling>
          <c:orientation val="minMax"/>
          <c:min val="0"/>
        </c:scaling>
        <c:delete val="0"/>
        <c:axPos val="l"/>
        <c:majorGridlines/>
        <c:minorGridlines/>
        <c:title>
          <c:tx>
            <c:rich>
              <a:bodyPr rot="-5400000" vert="horz"/>
              <a:lstStyle/>
              <a:p>
                <a:pPr>
                  <a:defRPr/>
                </a:pPr>
                <a:r>
                  <a:rPr lang="en-US"/>
                  <a:t>FET Power (W)</a:t>
                </a:r>
              </a:p>
            </c:rich>
          </c:tx>
          <c:layout>
            <c:manualLayout>
              <c:xMode val="edge"/>
              <c:yMode val="edge"/>
              <c:x val="1.2836103229293341E-2"/>
              <c:y val="0.25775146359374557"/>
            </c:manualLayout>
          </c:layout>
          <c:overlay val="0"/>
        </c:title>
        <c:numFmt formatCode="General" sourceLinked="1"/>
        <c:majorTickMark val="out"/>
        <c:minorTickMark val="none"/>
        <c:tickLblPos val="nextTo"/>
        <c:txPr>
          <a:bodyPr/>
          <a:lstStyle/>
          <a:p>
            <a:pPr>
              <a:defRPr b="1"/>
            </a:pPr>
            <a:endParaRPr lang="en-US"/>
          </a:p>
        </c:txPr>
        <c:crossAx val="135271936"/>
        <c:crossesAt val="-1"/>
        <c:crossBetween val="midCat"/>
      </c:valAx>
    </c:plotArea>
    <c:legend>
      <c:legendPos val="r"/>
      <c:layout>
        <c:manualLayout>
          <c:xMode val="edge"/>
          <c:yMode val="edge"/>
          <c:x val="0.58243391004423017"/>
          <c:y val="0.29201739268437199"/>
          <c:w val="0.39515213037394709"/>
          <c:h val="0.10848830734152082"/>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Load and FET</a:t>
            </a:r>
            <a:r>
              <a:rPr lang="en-US" baseline="0"/>
              <a:t> current vs Vout</a:t>
            </a:r>
            <a:endParaRPr lang="en-US"/>
          </a:p>
        </c:rich>
      </c:tx>
      <c:overlay val="1"/>
    </c:title>
    <c:autoTitleDeleted val="0"/>
    <c:plotArea>
      <c:layout>
        <c:manualLayout>
          <c:layoutTarget val="inner"/>
          <c:xMode val="edge"/>
          <c:yMode val="edge"/>
          <c:x val="0.20280211116986058"/>
          <c:y val="0.14177960397727438"/>
          <c:w val="0.69967132057676096"/>
          <c:h val="0.7119118368882501"/>
        </c:manualLayout>
      </c:layout>
      <c:scatterChart>
        <c:scatterStyle val="smoothMarker"/>
        <c:varyColors val="0"/>
        <c:ser>
          <c:idx val="0"/>
          <c:order val="0"/>
          <c:tx>
            <c:strRef>
              <c:f>Start_up!$C$7</c:f>
              <c:strCache>
                <c:ptCount val="1"/>
                <c:pt idx="0">
                  <c:v>ILOAD</c:v>
                </c:pt>
              </c:strCache>
            </c:strRef>
          </c:tx>
          <c:marker>
            <c:symbol val="none"/>
          </c:marker>
          <c:xVal>
            <c:numRef>
              <c:f>Start_up!$B$10:$B$111</c:f>
              <c:numCache>
                <c:formatCode>0.00</c:formatCode>
                <c:ptCount val="102"/>
                <c:pt idx="0">
                  <c:v>0</c:v>
                </c:pt>
                <c:pt idx="1">
                  <c:v>0.1201923076923077</c:v>
                </c:pt>
                <c:pt idx="2">
                  <c:v>0.24038461538461539</c:v>
                </c:pt>
                <c:pt idx="3">
                  <c:v>0.36057692307692307</c:v>
                </c:pt>
                <c:pt idx="4">
                  <c:v>0.48076923076923078</c:v>
                </c:pt>
                <c:pt idx="5">
                  <c:v>0.60096153846153855</c:v>
                </c:pt>
                <c:pt idx="6">
                  <c:v>0.72115384615384615</c:v>
                </c:pt>
                <c:pt idx="7">
                  <c:v>0.84134615384615385</c:v>
                </c:pt>
                <c:pt idx="8">
                  <c:v>0.96153846153846156</c:v>
                </c:pt>
                <c:pt idx="9">
                  <c:v>1.0817307692307692</c:v>
                </c:pt>
                <c:pt idx="10">
                  <c:v>1.2019230769230771</c:v>
                </c:pt>
                <c:pt idx="11">
                  <c:v>1.3221153846153846</c:v>
                </c:pt>
                <c:pt idx="12">
                  <c:v>1.4423076923076923</c:v>
                </c:pt>
                <c:pt idx="13">
                  <c:v>1.5625</c:v>
                </c:pt>
                <c:pt idx="14">
                  <c:v>1.6826923076923077</c:v>
                </c:pt>
                <c:pt idx="15">
                  <c:v>1.8028846153846152</c:v>
                </c:pt>
                <c:pt idx="16">
                  <c:v>1.9230769230769231</c:v>
                </c:pt>
                <c:pt idx="17">
                  <c:v>2.0432692307692308</c:v>
                </c:pt>
                <c:pt idx="18">
                  <c:v>2.1634615384615383</c:v>
                </c:pt>
                <c:pt idx="19">
                  <c:v>2.2836538461538458</c:v>
                </c:pt>
                <c:pt idx="20">
                  <c:v>2.4038461538461542</c:v>
                </c:pt>
                <c:pt idx="21">
                  <c:v>2.5240384615384617</c:v>
                </c:pt>
                <c:pt idx="22">
                  <c:v>2.6442307692307692</c:v>
                </c:pt>
                <c:pt idx="23">
                  <c:v>2.7644230769230766</c:v>
                </c:pt>
                <c:pt idx="24">
                  <c:v>2.8846153846153846</c:v>
                </c:pt>
                <c:pt idx="25">
                  <c:v>3.0048076923076925</c:v>
                </c:pt>
                <c:pt idx="26">
                  <c:v>3.125</c:v>
                </c:pt>
                <c:pt idx="27">
                  <c:v>3.2451923076923079</c:v>
                </c:pt>
                <c:pt idx="28">
                  <c:v>3.3653846153846154</c:v>
                </c:pt>
                <c:pt idx="29">
                  <c:v>3.4855769230769234</c:v>
                </c:pt>
                <c:pt idx="30">
                  <c:v>3.6057692307692304</c:v>
                </c:pt>
                <c:pt idx="31">
                  <c:v>3.7259615384615383</c:v>
                </c:pt>
                <c:pt idx="32">
                  <c:v>3.8461538461538463</c:v>
                </c:pt>
                <c:pt idx="33">
                  <c:v>3.9663461538461537</c:v>
                </c:pt>
                <c:pt idx="34">
                  <c:v>4.0865384615384617</c:v>
                </c:pt>
                <c:pt idx="35">
                  <c:v>4.2067307692307692</c:v>
                </c:pt>
                <c:pt idx="36">
                  <c:v>4.3269230769230766</c:v>
                </c:pt>
                <c:pt idx="37">
                  <c:v>4.447115384615385</c:v>
                </c:pt>
                <c:pt idx="38">
                  <c:v>4.5673076923076916</c:v>
                </c:pt>
                <c:pt idx="39">
                  <c:v>4.6875</c:v>
                </c:pt>
                <c:pt idx="40">
                  <c:v>4.8076923076923084</c:v>
                </c:pt>
                <c:pt idx="41">
                  <c:v>4.927884615384615</c:v>
                </c:pt>
                <c:pt idx="42">
                  <c:v>5.0480769230769234</c:v>
                </c:pt>
                <c:pt idx="43">
                  <c:v>5.1682692307692308</c:v>
                </c:pt>
                <c:pt idx="44">
                  <c:v>5.2884615384615383</c:v>
                </c:pt>
                <c:pt idx="45">
                  <c:v>5.4086538461538467</c:v>
                </c:pt>
                <c:pt idx="46">
                  <c:v>5.5288461538461533</c:v>
                </c:pt>
                <c:pt idx="47">
                  <c:v>5.6490384615384617</c:v>
                </c:pt>
                <c:pt idx="48">
                  <c:v>5.7692307692307692</c:v>
                </c:pt>
                <c:pt idx="49">
                  <c:v>5.8894230769230766</c:v>
                </c:pt>
                <c:pt idx="50">
                  <c:v>6.009615384615385</c:v>
                </c:pt>
                <c:pt idx="51">
                  <c:v>6.1298076923076916</c:v>
                </c:pt>
                <c:pt idx="52">
                  <c:v>6.25</c:v>
                </c:pt>
                <c:pt idx="53">
                  <c:v>6.3701923076923075</c:v>
                </c:pt>
                <c:pt idx="54">
                  <c:v>6.4903846153846159</c:v>
                </c:pt>
                <c:pt idx="55">
                  <c:v>6.6105769230769234</c:v>
                </c:pt>
                <c:pt idx="56">
                  <c:v>6.7307692307692308</c:v>
                </c:pt>
                <c:pt idx="57">
                  <c:v>6.8509615384615392</c:v>
                </c:pt>
                <c:pt idx="58">
                  <c:v>6.9711538461538467</c:v>
                </c:pt>
                <c:pt idx="59">
                  <c:v>7.0913461538461533</c:v>
                </c:pt>
                <c:pt idx="60">
                  <c:v>7.2115384615384608</c:v>
                </c:pt>
                <c:pt idx="61">
                  <c:v>7.3317307692307692</c:v>
                </c:pt>
                <c:pt idx="62">
                  <c:v>7.4519230769230766</c:v>
                </c:pt>
                <c:pt idx="63">
                  <c:v>7.5721153846153841</c:v>
                </c:pt>
                <c:pt idx="64">
                  <c:v>7.6923076923076925</c:v>
                </c:pt>
                <c:pt idx="65">
                  <c:v>7.8125</c:v>
                </c:pt>
                <c:pt idx="66">
                  <c:v>7.9326923076923075</c:v>
                </c:pt>
                <c:pt idx="67">
                  <c:v>8.0528846153846168</c:v>
                </c:pt>
                <c:pt idx="68">
                  <c:v>8.1730769230769234</c:v>
                </c:pt>
                <c:pt idx="69">
                  <c:v>8.2932692307692299</c:v>
                </c:pt>
                <c:pt idx="70">
                  <c:v>8.4134615384615383</c:v>
                </c:pt>
                <c:pt idx="71">
                  <c:v>8.5336538461538467</c:v>
                </c:pt>
                <c:pt idx="72">
                  <c:v>8.6538461538461533</c:v>
                </c:pt>
                <c:pt idx="73">
                  <c:v>8.7740384615384617</c:v>
                </c:pt>
                <c:pt idx="74">
                  <c:v>8.8942307692307701</c:v>
                </c:pt>
                <c:pt idx="75">
                  <c:v>9.0144230769230766</c:v>
                </c:pt>
                <c:pt idx="76">
                  <c:v>9.1346153846153832</c:v>
                </c:pt>
                <c:pt idx="77">
                  <c:v>9.2548076923076934</c:v>
                </c:pt>
                <c:pt idx="78">
                  <c:v>9.375</c:v>
                </c:pt>
                <c:pt idx="79">
                  <c:v>9.4951923076923066</c:v>
                </c:pt>
                <c:pt idx="80">
                  <c:v>9.6153846153846168</c:v>
                </c:pt>
                <c:pt idx="81">
                  <c:v>9.7355769230769234</c:v>
                </c:pt>
                <c:pt idx="82">
                  <c:v>9.8557692307692299</c:v>
                </c:pt>
                <c:pt idx="83">
                  <c:v>9.9759615384615383</c:v>
                </c:pt>
                <c:pt idx="84">
                  <c:v>10.096153846153847</c:v>
                </c:pt>
                <c:pt idx="85">
                  <c:v>10.216346153846153</c:v>
                </c:pt>
                <c:pt idx="86">
                  <c:v>10.336538461538462</c:v>
                </c:pt>
                <c:pt idx="87">
                  <c:v>10.45673076923077</c:v>
                </c:pt>
                <c:pt idx="88">
                  <c:v>10.576923076923077</c:v>
                </c:pt>
                <c:pt idx="89">
                  <c:v>10.697115384615383</c:v>
                </c:pt>
                <c:pt idx="90">
                  <c:v>10.817307692307693</c:v>
                </c:pt>
                <c:pt idx="91">
                  <c:v>10.9375</c:v>
                </c:pt>
                <c:pt idx="92">
                  <c:v>11.057692307692307</c:v>
                </c:pt>
                <c:pt idx="93">
                  <c:v>11.177884615384617</c:v>
                </c:pt>
                <c:pt idx="94">
                  <c:v>11.298076923076923</c:v>
                </c:pt>
                <c:pt idx="95">
                  <c:v>11.41826923076923</c:v>
                </c:pt>
                <c:pt idx="96">
                  <c:v>11.538461538461538</c:v>
                </c:pt>
                <c:pt idx="97">
                  <c:v>11.658653846153847</c:v>
                </c:pt>
                <c:pt idx="98">
                  <c:v>11.778846153846153</c:v>
                </c:pt>
                <c:pt idx="99">
                  <c:v>11.899038461538462</c:v>
                </c:pt>
                <c:pt idx="100">
                  <c:v>12.01923076923077</c:v>
                </c:pt>
                <c:pt idx="101">
                  <c:v>12.139423076923077</c:v>
                </c:pt>
              </c:numCache>
            </c:numRef>
          </c:xVal>
          <c:yVal>
            <c:numRef>
              <c:f>Start_up!$C$10:$C$111</c:f>
              <c:numCache>
                <c:formatCode>0.000</c:formatCode>
                <c:ptCount val="1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numCache>
            </c:numRef>
          </c:yVal>
          <c:smooth val="1"/>
          <c:extLst>
            <c:ext xmlns:c16="http://schemas.microsoft.com/office/drawing/2014/chart" uri="{C3380CC4-5D6E-409C-BE32-E72D297353CC}">
              <c16:uniqueId val="{00000000-418D-4EBD-8237-50BC9257AD9F}"/>
            </c:ext>
          </c:extLst>
        </c:ser>
        <c:ser>
          <c:idx val="1"/>
          <c:order val="1"/>
          <c:tx>
            <c:strRef>
              <c:f>Start_up!$G$7</c:f>
              <c:strCache>
                <c:ptCount val="1"/>
                <c:pt idx="0">
                  <c:v>IFET</c:v>
                </c:pt>
              </c:strCache>
            </c:strRef>
          </c:tx>
          <c:marker>
            <c:symbol val="none"/>
          </c:marker>
          <c:xVal>
            <c:numRef>
              <c:f>Start_up!$B$10:$B$111</c:f>
              <c:numCache>
                <c:formatCode>0.00</c:formatCode>
                <c:ptCount val="102"/>
                <c:pt idx="0">
                  <c:v>0</c:v>
                </c:pt>
                <c:pt idx="1">
                  <c:v>0.1201923076923077</c:v>
                </c:pt>
                <c:pt idx="2">
                  <c:v>0.24038461538461539</c:v>
                </c:pt>
                <c:pt idx="3">
                  <c:v>0.36057692307692307</c:v>
                </c:pt>
                <c:pt idx="4">
                  <c:v>0.48076923076923078</c:v>
                </c:pt>
                <c:pt idx="5">
                  <c:v>0.60096153846153855</c:v>
                </c:pt>
                <c:pt idx="6">
                  <c:v>0.72115384615384615</c:v>
                </c:pt>
                <c:pt idx="7">
                  <c:v>0.84134615384615385</c:v>
                </c:pt>
                <c:pt idx="8">
                  <c:v>0.96153846153846156</c:v>
                </c:pt>
                <c:pt idx="9">
                  <c:v>1.0817307692307692</c:v>
                </c:pt>
                <c:pt idx="10">
                  <c:v>1.2019230769230771</c:v>
                </c:pt>
                <c:pt idx="11">
                  <c:v>1.3221153846153846</c:v>
                </c:pt>
                <c:pt idx="12">
                  <c:v>1.4423076923076923</c:v>
                </c:pt>
                <c:pt idx="13">
                  <c:v>1.5625</c:v>
                </c:pt>
                <c:pt idx="14">
                  <c:v>1.6826923076923077</c:v>
                </c:pt>
                <c:pt idx="15">
                  <c:v>1.8028846153846152</c:v>
                </c:pt>
                <c:pt idx="16">
                  <c:v>1.9230769230769231</c:v>
                </c:pt>
                <c:pt idx="17">
                  <c:v>2.0432692307692308</c:v>
                </c:pt>
                <c:pt idx="18">
                  <c:v>2.1634615384615383</c:v>
                </c:pt>
                <c:pt idx="19">
                  <c:v>2.2836538461538458</c:v>
                </c:pt>
                <c:pt idx="20">
                  <c:v>2.4038461538461542</c:v>
                </c:pt>
                <c:pt idx="21">
                  <c:v>2.5240384615384617</c:v>
                </c:pt>
                <c:pt idx="22">
                  <c:v>2.6442307692307692</c:v>
                </c:pt>
                <c:pt idx="23">
                  <c:v>2.7644230769230766</c:v>
                </c:pt>
                <c:pt idx="24">
                  <c:v>2.8846153846153846</c:v>
                </c:pt>
                <c:pt idx="25">
                  <c:v>3.0048076923076925</c:v>
                </c:pt>
                <c:pt idx="26">
                  <c:v>3.125</c:v>
                </c:pt>
                <c:pt idx="27">
                  <c:v>3.2451923076923079</c:v>
                </c:pt>
                <c:pt idx="28">
                  <c:v>3.3653846153846154</c:v>
                </c:pt>
                <c:pt idx="29">
                  <c:v>3.4855769230769234</c:v>
                </c:pt>
                <c:pt idx="30">
                  <c:v>3.6057692307692304</c:v>
                </c:pt>
                <c:pt idx="31">
                  <c:v>3.7259615384615383</c:v>
                </c:pt>
                <c:pt idx="32">
                  <c:v>3.8461538461538463</c:v>
                </c:pt>
                <c:pt idx="33">
                  <c:v>3.9663461538461537</c:v>
                </c:pt>
                <c:pt idx="34">
                  <c:v>4.0865384615384617</c:v>
                </c:pt>
                <c:pt idx="35">
                  <c:v>4.2067307692307692</c:v>
                </c:pt>
                <c:pt idx="36">
                  <c:v>4.3269230769230766</c:v>
                </c:pt>
                <c:pt idx="37">
                  <c:v>4.447115384615385</c:v>
                </c:pt>
                <c:pt idx="38">
                  <c:v>4.5673076923076916</c:v>
                </c:pt>
                <c:pt idx="39">
                  <c:v>4.6875</c:v>
                </c:pt>
                <c:pt idx="40">
                  <c:v>4.8076923076923084</c:v>
                </c:pt>
                <c:pt idx="41">
                  <c:v>4.927884615384615</c:v>
                </c:pt>
                <c:pt idx="42">
                  <c:v>5.0480769230769234</c:v>
                </c:pt>
                <c:pt idx="43">
                  <c:v>5.1682692307692308</c:v>
                </c:pt>
                <c:pt idx="44">
                  <c:v>5.2884615384615383</c:v>
                </c:pt>
                <c:pt idx="45">
                  <c:v>5.4086538461538467</c:v>
                </c:pt>
                <c:pt idx="46">
                  <c:v>5.5288461538461533</c:v>
                </c:pt>
                <c:pt idx="47">
                  <c:v>5.6490384615384617</c:v>
                </c:pt>
                <c:pt idx="48">
                  <c:v>5.7692307692307692</c:v>
                </c:pt>
                <c:pt idx="49">
                  <c:v>5.8894230769230766</c:v>
                </c:pt>
                <c:pt idx="50">
                  <c:v>6.009615384615385</c:v>
                </c:pt>
                <c:pt idx="51">
                  <c:v>6.1298076923076916</c:v>
                </c:pt>
                <c:pt idx="52">
                  <c:v>6.25</c:v>
                </c:pt>
                <c:pt idx="53">
                  <c:v>6.3701923076923075</c:v>
                </c:pt>
                <c:pt idx="54">
                  <c:v>6.4903846153846159</c:v>
                </c:pt>
                <c:pt idx="55">
                  <c:v>6.6105769230769234</c:v>
                </c:pt>
                <c:pt idx="56">
                  <c:v>6.7307692307692308</c:v>
                </c:pt>
                <c:pt idx="57">
                  <c:v>6.8509615384615392</c:v>
                </c:pt>
                <c:pt idx="58">
                  <c:v>6.9711538461538467</c:v>
                </c:pt>
                <c:pt idx="59">
                  <c:v>7.0913461538461533</c:v>
                </c:pt>
                <c:pt idx="60">
                  <c:v>7.2115384615384608</c:v>
                </c:pt>
                <c:pt idx="61">
                  <c:v>7.3317307692307692</c:v>
                </c:pt>
                <c:pt idx="62">
                  <c:v>7.4519230769230766</c:v>
                </c:pt>
                <c:pt idx="63">
                  <c:v>7.5721153846153841</c:v>
                </c:pt>
                <c:pt idx="64">
                  <c:v>7.6923076923076925</c:v>
                </c:pt>
                <c:pt idx="65">
                  <c:v>7.8125</c:v>
                </c:pt>
                <c:pt idx="66">
                  <c:v>7.9326923076923075</c:v>
                </c:pt>
                <c:pt idx="67">
                  <c:v>8.0528846153846168</c:v>
                </c:pt>
                <c:pt idx="68">
                  <c:v>8.1730769230769234</c:v>
                </c:pt>
                <c:pt idx="69">
                  <c:v>8.2932692307692299</c:v>
                </c:pt>
                <c:pt idx="70">
                  <c:v>8.4134615384615383</c:v>
                </c:pt>
                <c:pt idx="71">
                  <c:v>8.5336538461538467</c:v>
                </c:pt>
                <c:pt idx="72">
                  <c:v>8.6538461538461533</c:v>
                </c:pt>
                <c:pt idx="73">
                  <c:v>8.7740384615384617</c:v>
                </c:pt>
                <c:pt idx="74">
                  <c:v>8.8942307692307701</c:v>
                </c:pt>
                <c:pt idx="75">
                  <c:v>9.0144230769230766</c:v>
                </c:pt>
                <c:pt idx="76">
                  <c:v>9.1346153846153832</c:v>
                </c:pt>
                <c:pt idx="77">
                  <c:v>9.2548076923076934</c:v>
                </c:pt>
                <c:pt idx="78">
                  <c:v>9.375</c:v>
                </c:pt>
                <c:pt idx="79">
                  <c:v>9.4951923076923066</c:v>
                </c:pt>
                <c:pt idx="80">
                  <c:v>9.6153846153846168</c:v>
                </c:pt>
                <c:pt idx="81">
                  <c:v>9.7355769230769234</c:v>
                </c:pt>
                <c:pt idx="82">
                  <c:v>9.8557692307692299</c:v>
                </c:pt>
                <c:pt idx="83">
                  <c:v>9.9759615384615383</c:v>
                </c:pt>
                <c:pt idx="84">
                  <c:v>10.096153846153847</c:v>
                </c:pt>
                <c:pt idx="85">
                  <c:v>10.216346153846153</c:v>
                </c:pt>
                <c:pt idx="86">
                  <c:v>10.336538461538462</c:v>
                </c:pt>
                <c:pt idx="87">
                  <c:v>10.45673076923077</c:v>
                </c:pt>
                <c:pt idx="88">
                  <c:v>10.576923076923077</c:v>
                </c:pt>
                <c:pt idx="89">
                  <c:v>10.697115384615383</c:v>
                </c:pt>
                <c:pt idx="90">
                  <c:v>10.817307692307693</c:v>
                </c:pt>
                <c:pt idx="91">
                  <c:v>10.9375</c:v>
                </c:pt>
                <c:pt idx="92">
                  <c:v>11.057692307692307</c:v>
                </c:pt>
                <c:pt idx="93">
                  <c:v>11.177884615384617</c:v>
                </c:pt>
                <c:pt idx="94">
                  <c:v>11.298076923076923</c:v>
                </c:pt>
                <c:pt idx="95">
                  <c:v>11.41826923076923</c:v>
                </c:pt>
                <c:pt idx="96">
                  <c:v>11.538461538461538</c:v>
                </c:pt>
                <c:pt idx="97">
                  <c:v>11.658653846153847</c:v>
                </c:pt>
                <c:pt idx="98">
                  <c:v>11.778846153846153</c:v>
                </c:pt>
                <c:pt idx="99">
                  <c:v>11.899038461538462</c:v>
                </c:pt>
                <c:pt idx="100">
                  <c:v>12.01923076923077</c:v>
                </c:pt>
                <c:pt idx="101">
                  <c:v>12.139423076923077</c:v>
                </c:pt>
              </c:numCache>
            </c:numRef>
          </c:xVal>
          <c:yVal>
            <c:numRef>
              <c:f>Start_up!$G$10:$G$112</c:f>
              <c:numCache>
                <c:formatCode>General</c:formatCode>
                <c:ptCount val="103"/>
                <c:pt idx="0">
                  <c:v>0.22</c:v>
                </c:pt>
                <c:pt idx="1">
                  <c:v>0.22</c:v>
                </c:pt>
                <c:pt idx="2">
                  <c:v>0.22</c:v>
                </c:pt>
                <c:pt idx="3">
                  <c:v>0.22</c:v>
                </c:pt>
                <c:pt idx="4">
                  <c:v>0.22</c:v>
                </c:pt>
                <c:pt idx="5">
                  <c:v>0.22</c:v>
                </c:pt>
                <c:pt idx="6">
                  <c:v>0.22</c:v>
                </c:pt>
                <c:pt idx="7">
                  <c:v>0.22</c:v>
                </c:pt>
                <c:pt idx="8">
                  <c:v>0.22</c:v>
                </c:pt>
                <c:pt idx="9">
                  <c:v>0.22</c:v>
                </c:pt>
                <c:pt idx="10">
                  <c:v>0.22</c:v>
                </c:pt>
                <c:pt idx="11">
                  <c:v>0.22</c:v>
                </c:pt>
                <c:pt idx="12">
                  <c:v>0.22</c:v>
                </c:pt>
                <c:pt idx="13">
                  <c:v>0.22</c:v>
                </c:pt>
                <c:pt idx="14">
                  <c:v>0.22</c:v>
                </c:pt>
                <c:pt idx="15">
                  <c:v>0.22</c:v>
                </c:pt>
                <c:pt idx="16">
                  <c:v>0.22</c:v>
                </c:pt>
                <c:pt idx="17">
                  <c:v>0.22</c:v>
                </c:pt>
                <c:pt idx="18">
                  <c:v>0.22</c:v>
                </c:pt>
                <c:pt idx="19">
                  <c:v>0.22</c:v>
                </c:pt>
                <c:pt idx="20">
                  <c:v>0.22</c:v>
                </c:pt>
                <c:pt idx="21">
                  <c:v>0.22</c:v>
                </c:pt>
                <c:pt idx="22">
                  <c:v>0.22</c:v>
                </c:pt>
                <c:pt idx="23">
                  <c:v>0.22</c:v>
                </c:pt>
                <c:pt idx="24">
                  <c:v>0.22</c:v>
                </c:pt>
                <c:pt idx="25">
                  <c:v>0.22</c:v>
                </c:pt>
                <c:pt idx="26">
                  <c:v>0.22</c:v>
                </c:pt>
                <c:pt idx="27">
                  <c:v>0.22</c:v>
                </c:pt>
                <c:pt idx="28">
                  <c:v>0.22</c:v>
                </c:pt>
                <c:pt idx="29">
                  <c:v>0.22</c:v>
                </c:pt>
                <c:pt idx="30">
                  <c:v>0.22</c:v>
                </c:pt>
                <c:pt idx="31">
                  <c:v>0.22</c:v>
                </c:pt>
                <c:pt idx="32">
                  <c:v>0.22</c:v>
                </c:pt>
                <c:pt idx="33">
                  <c:v>0.22</c:v>
                </c:pt>
                <c:pt idx="34">
                  <c:v>0.22</c:v>
                </c:pt>
                <c:pt idx="35">
                  <c:v>0.22</c:v>
                </c:pt>
                <c:pt idx="36">
                  <c:v>0.22</c:v>
                </c:pt>
                <c:pt idx="37">
                  <c:v>0.22</c:v>
                </c:pt>
                <c:pt idx="38">
                  <c:v>0.22</c:v>
                </c:pt>
                <c:pt idx="39">
                  <c:v>0.22</c:v>
                </c:pt>
                <c:pt idx="40">
                  <c:v>0.22</c:v>
                </c:pt>
                <c:pt idx="41">
                  <c:v>0.22</c:v>
                </c:pt>
                <c:pt idx="42">
                  <c:v>0.22</c:v>
                </c:pt>
                <c:pt idx="43">
                  <c:v>0.22</c:v>
                </c:pt>
                <c:pt idx="44">
                  <c:v>0.22</c:v>
                </c:pt>
                <c:pt idx="45">
                  <c:v>0.22</c:v>
                </c:pt>
                <c:pt idx="46">
                  <c:v>0.22</c:v>
                </c:pt>
                <c:pt idx="47">
                  <c:v>0.22</c:v>
                </c:pt>
                <c:pt idx="48">
                  <c:v>0.22</c:v>
                </c:pt>
                <c:pt idx="49">
                  <c:v>0.22</c:v>
                </c:pt>
                <c:pt idx="50">
                  <c:v>0.22</c:v>
                </c:pt>
                <c:pt idx="51">
                  <c:v>0.22</c:v>
                </c:pt>
                <c:pt idx="52">
                  <c:v>0.22</c:v>
                </c:pt>
                <c:pt idx="53">
                  <c:v>0.22</c:v>
                </c:pt>
                <c:pt idx="54">
                  <c:v>0.22</c:v>
                </c:pt>
                <c:pt idx="55">
                  <c:v>0.22</c:v>
                </c:pt>
                <c:pt idx="56">
                  <c:v>0.22</c:v>
                </c:pt>
                <c:pt idx="57">
                  <c:v>0.22</c:v>
                </c:pt>
                <c:pt idx="58">
                  <c:v>0.22</c:v>
                </c:pt>
                <c:pt idx="59">
                  <c:v>0.22</c:v>
                </c:pt>
                <c:pt idx="60">
                  <c:v>0.22</c:v>
                </c:pt>
                <c:pt idx="61">
                  <c:v>0.22</c:v>
                </c:pt>
                <c:pt idx="62">
                  <c:v>0.22</c:v>
                </c:pt>
                <c:pt idx="63">
                  <c:v>0.22</c:v>
                </c:pt>
                <c:pt idx="64">
                  <c:v>0.22</c:v>
                </c:pt>
                <c:pt idx="65">
                  <c:v>0.22</c:v>
                </c:pt>
                <c:pt idx="66">
                  <c:v>0.22</c:v>
                </c:pt>
                <c:pt idx="67">
                  <c:v>0.22</c:v>
                </c:pt>
                <c:pt idx="68">
                  <c:v>0.22</c:v>
                </c:pt>
                <c:pt idx="69">
                  <c:v>0.22</c:v>
                </c:pt>
                <c:pt idx="70">
                  <c:v>0.22</c:v>
                </c:pt>
                <c:pt idx="71">
                  <c:v>0.22</c:v>
                </c:pt>
                <c:pt idx="72">
                  <c:v>0.22</c:v>
                </c:pt>
                <c:pt idx="73">
                  <c:v>0.22</c:v>
                </c:pt>
                <c:pt idx="74">
                  <c:v>0.22</c:v>
                </c:pt>
                <c:pt idx="75">
                  <c:v>0.22</c:v>
                </c:pt>
                <c:pt idx="76">
                  <c:v>0.22</c:v>
                </c:pt>
                <c:pt idx="77">
                  <c:v>0.22</c:v>
                </c:pt>
                <c:pt idx="78">
                  <c:v>0.22</c:v>
                </c:pt>
                <c:pt idx="79">
                  <c:v>0.22</c:v>
                </c:pt>
                <c:pt idx="80">
                  <c:v>0.22</c:v>
                </c:pt>
                <c:pt idx="81">
                  <c:v>0.22</c:v>
                </c:pt>
                <c:pt idx="82">
                  <c:v>0.22</c:v>
                </c:pt>
                <c:pt idx="83">
                  <c:v>0.22</c:v>
                </c:pt>
                <c:pt idx="84">
                  <c:v>0.22</c:v>
                </c:pt>
                <c:pt idx="85">
                  <c:v>0.22</c:v>
                </c:pt>
                <c:pt idx="86">
                  <c:v>0.22</c:v>
                </c:pt>
                <c:pt idx="87">
                  <c:v>0.22</c:v>
                </c:pt>
                <c:pt idx="88">
                  <c:v>0.22</c:v>
                </c:pt>
                <c:pt idx="89">
                  <c:v>0.22</c:v>
                </c:pt>
                <c:pt idx="90">
                  <c:v>0.22</c:v>
                </c:pt>
                <c:pt idx="91">
                  <c:v>0.22</c:v>
                </c:pt>
                <c:pt idx="92">
                  <c:v>0.22</c:v>
                </c:pt>
                <c:pt idx="93">
                  <c:v>0.22</c:v>
                </c:pt>
                <c:pt idx="94">
                  <c:v>0.22</c:v>
                </c:pt>
                <c:pt idx="95">
                  <c:v>0.22</c:v>
                </c:pt>
                <c:pt idx="96">
                  <c:v>0.22</c:v>
                </c:pt>
                <c:pt idx="97">
                  <c:v>0.22</c:v>
                </c:pt>
                <c:pt idx="98">
                  <c:v>0.22</c:v>
                </c:pt>
                <c:pt idx="99">
                  <c:v>0.22</c:v>
                </c:pt>
                <c:pt idx="100">
                  <c:v>0.22</c:v>
                </c:pt>
                <c:pt idx="101">
                  <c:v>0.22</c:v>
                </c:pt>
                <c:pt idx="102">
                  <c:v>0.22</c:v>
                </c:pt>
              </c:numCache>
            </c:numRef>
          </c:yVal>
          <c:smooth val="1"/>
          <c:extLst>
            <c:ext xmlns:c16="http://schemas.microsoft.com/office/drawing/2014/chart" uri="{C3380CC4-5D6E-409C-BE32-E72D297353CC}">
              <c16:uniqueId val="{00000001-418D-4EBD-8237-50BC9257AD9F}"/>
            </c:ext>
          </c:extLst>
        </c:ser>
        <c:dLbls>
          <c:showLegendKey val="0"/>
          <c:showVal val="0"/>
          <c:showCatName val="0"/>
          <c:showSerName val="0"/>
          <c:showPercent val="0"/>
          <c:showBubbleSize val="0"/>
        </c:dLbls>
        <c:axId val="161790976"/>
        <c:axId val="161793152"/>
      </c:scatterChart>
      <c:valAx>
        <c:axId val="161790976"/>
        <c:scaling>
          <c:orientation val="minMax"/>
        </c:scaling>
        <c:delete val="0"/>
        <c:axPos val="b"/>
        <c:title>
          <c:tx>
            <c:rich>
              <a:bodyPr/>
              <a:lstStyle/>
              <a:p>
                <a:pPr>
                  <a:defRPr/>
                </a:pPr>
                <a:r>
                  <a:rPr lang="en-US"/>
                  <a:t>Output</a:t>
                </a:r>
                <a:r>
                  <a:rPr lang="en-US" baseline="0"/>
                  <a:t> Voltage (V)</a:t>
                </a:r>
                <a:endParaRPr lang="en-US"/>
              </a:p>
            </c:rich>
          </c:tx>
          <c:overlay val="0"/>
        </c:title>
        <c:numFmt formatCode="0.00" sourceLinked="1"/>
        <c:majorTickMark val="out"/>
        <c:minorTickMark val="none"/>
        <c:tickLblPos val="nextTo"/>
        <c:crossAx val="161793152"/>
        <c:crosses val="autoZero"/>
        <c:crossBetween val="midCat"/>
      </c:valAx>
      <c:valAx>
        <c:axId val="161793152"/>
        <c:scaling>
          <c:orientation val="minMax"/>
          <c:min val="0"/>
        </c:scaling>
        <c:delete val="0"/>
        <c:axPos val="l"/>
        <c:majorGridlines/>
        <c:title>
          <c:tx>
            <c:rich>
              <a:bodyPr rot="-5400000" vert="horz"/>
              <a:lstStyle/>
              <a:p>
                <a:pPr>
                  <a:defRPr/>
                </a:pPr>
                <a:r>
                  <a:rPr lang="en-US"/>
                  <a:t>Current (A)</a:t>
                </a:r>
              </a:p>
            </c:rich>
          </c:tx>
          <c:overlay val="0"/>
        </c:title>
        <c:numFmt formatCode="0.000" sourceLinked="1"/>
        <c:majorTickMark val="out"/>
        <c:minorTickMark val="none"/>
        <c:tickLblPos val="nextTo"/>
        <c:crossAx val="161790976"/>
        <c:crosses val="autoZero"/>
        <c:crossBetween val="midCat"/>
      </c:valAx>
    </c:plotArea>
    <c:legend>
      <c:legendPos val="r"/>
      <c:layout>
        <c:manualLayout>
          <c:xMode val="edge"/>
          <c:yMode val="edge"/>
          <c:x val="0.34624252358789726"/>
          <c:y val="0.24479126489117176"/>
          <c:w val="0.21462230092985587"/>
          <c:h val="0.16792443955258282"/>
        </c:manualLayout>
      </c:layout>
      <c:overlay val="0"/>
      <c:spPr>
        <a:solidFill>
          <a:sysClr val="window" lastClr="FFFFFF"/>
        </a:solidFill>
        <a:ln>
          <a:solidFill>
            <a:schemeClr val="tx1"/>
          </a:solidFill>
        </a:ln>
      </c:spPr>
      <c:txPr>
        <a:bodyPr/>
        <a:lstStyle/>
        <a:p>
          <a:pPr>
            <a:defRPr>
              <a:ln>
                <a:solidFill>
                  <a:sysClr val="windowText" lastClr="000000"/>
                </a:solidFill>
              </a:ln>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9.png"/><Relationship Id="rId18" Type="http://schemas.openxmlformats.org/officeDocument/2006/relationships/image" Target="../media/image12.png"/><Relationship Id="rId3" Type="http://schemas.openxmlformats.org/officeDocument/2006/relationships/hyperlink" Target="http://www.ti.com" TargetMode="External"/><Relationship Id="rId21" Type="http://schemas.openxmlformats.org/officeDocument/2006/relationships/hyperlink" Target="https://training.ti.com/node/1133664" TargetMode="External"/><Relationship Id="rId7" Type="http://schemas.openxmlformats.org/officeDocument/2006/relationships/image" Target="../media/image6.emf"/><Relationship Id="rId12" Type="http://schemas.openxmlformats.org/officeDocument/2006/relationships/chart" Target="../charts/chart3.xml"/><Relationship Id="rId17" Type="http://schemas.openxmlformats.org/officeDocument/2006/relationships/hyperlink" Target="https://training.ti.com/node/1133677" TargetMode="External"/><Relationship Id="rId2" Type="http://schemas.openxmlformats.org/officeDocument/2006/relationships/hyperlink" Target="http://www.ti.com/lit/gpn/lm25066" TargetMode="External"/><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2.jpeg"/><Relationship Id="rId6" Type="http://schemas.openxmlformats.org/officeDocument/2006/relationships/image" Target="../media/image5.png"/><Relationship Id="rId11" Type="http://schemas.openxmlformats.org/officeDocument/2006/relationships/chart" Target="../charts/chart2.xml"/><Relationship Id="rId24" Type="http://schemas.openxmlformats.org/officeDocument/2006/relationships/image" Target="../media/image15.png"/><Relationship Id="rId5" Type="http://schemas.openxmlformats.org/officeDocument/2006/relationships/image" Target="../media/image4.emf"/><Relationship Id="rId15" Type="http://schemas.openxmlformats.org/officeDocument/2006/relationships/hyperlink" Target="http://www.ti.com/power-management/protection-monitoring-hot-swap/controllers/support-training.html#videos" TargetMode="External"/><Relationship Id="rId23" Type="http://schemas.openxmlformats.org/officeDocument/2006/relationships/hyperlink" Target="https://training.ti.com/node/1133681" TargetMode="External"/><Relationship Id="rId10" Type="http://schemas.openxmlformats.org/officeDocument/2006/relationships/chart" Target="../charts/chart1.xml"/><Relationship Id="rId19" Type="http://schemas.openxmlformats.org/officeDocument/2006/relationships/hyperlink" Target="https://training.ti.com/node/1133673" TargetMode="External"/><Relationship Id="rId4" Type="http://schemas.openxmlformats.org/officeDocument/2006/relationships/image" Target="../media/image3.png"/><Relationship Id="rId9" Type="http://schemas.openxmlformats.org/officeDocument/2006/relationships/image" Target="../media/image8.jpeg"/><Relationship Id="rId14" Type="http://schemas.openxmlformats.org/officeDocument/2006/relationships/image" Target="../media/image10.png"/><Relationship Id="rId22" Type="http://schemas.openxmlformats.org/officeDocument/2006/relationships/image" Target="../media/image1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95250</xdr:rowOff>
    </xdr:from>
    <xdr:to>
      <xdr:col>15</xdr:col>
      <xdr:colOff>581025</xdr:colOff>
      <xdr:row>5</xdr:row>
      <xdr:rowOff>28575</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0" y="266700"/>
          <a:ext cx="9725025" cy="933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114300</xdr:colOff>
      <xdr:row>2</xdr:row>
      <xdr:rowOff>0</xdr:rowOff>
    </xdr:from>
    <xdr:to>
      <xdr:col>4</xdr:col>
      <xdr:colOff>0</xdr:colOff>
      <xdr:row>4</xdr:row>
      <xdr:rowOff>104775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33375"/>
          <a:ext cx="232410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124</xdr:row>
      <xdr:rowOff>85724</xdr:rowOff>
    </xdr:from>
    <xdr:to>
      <xdr:col>4</xdr:col>
      <xdr:colOff>828675</xdr:colOff>
      <xdr:row>139</xdr:row>
      <xdr:rowOff>121078</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18" y="24626606"/>
          <a:ext cx="4963645" cy="2881648"/>
        </a:xfrm>
        <a:prstGeom prst="rect">
          <a:avLst/>
        </a:prstGeom>
      </xdr:spPr>
    </xdr:pic>
    <xdr:clientData/>
  </xdr:twoCellAnchor>
  <xdr:twoCellAnchor>
    <xdr:from>
      <xdr:col>0</xdr:col>
      <xdr:colOff>26669</xdr:colOff>
      <xdr:row>1</xdr:row>
      <xdr:rowOff>104775</xdr:rowOff>
    </xdr:from>
    <xdr:to>
      <xdr:col>7</xdr:col>
      <xdr:colOff>19050</xdr:colOff>
      <xdr:row>7</xdr:row>
      <xdr:rowOff>33617</xdr:rowOff>
    </xdr:to>
    <xdr:sp macro="" textlink="">
      <xdr:nvSpPr>
        <xdr:cNvPr id="1025" name="Text Box 1">
          <a:hlinkClick xmlns:r="http://schemas.openxmlformats.org/officeDocument/2006/relationships" r:id="rId2"/>
          <a:extLst>
            <a:ext uri="{FF2B5EF4-FFF2-40B4-BE49-F238E27FC236}">
              <a16:creationId xmlns:a16="http://schemas.microsoft.com/office/drawing/2014/main" id="{00000000-0008-0000-0100-000001040000}"/>
            </a:ext>
          </a:extLst>
        </xdr:cNvPr>
        <xdr:cNvSpPr txBox="1">
          <a:spLocks noChangeArrowheads="1"/>
        </xdr:cNvSpPr>
      </xdr:nvSpPr>
      <xdr:spPr bwMode="auto">
        <a:xfrm>
          <a:off x="26669" y="877981"/>
          <a:ext cx="6973646" cy="91496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FF0000"/>
              </a:solidFill>
              <a:latin typeface="Arial"/>
              <a:cs typeface="Arial"/>
            </a:rPr>
            <a:t>Note</a:t>
          </a:r>
          <a:r>
            <a:rPr lang="en-US" sz="1200" b="1" i="0" u="none" strike="noStrike" baseline="0">
              <a:solidFill>
                <a:srgbClr val="FF0000"/>
              </a:solidFill>
              <a:latin typeface="Arial"/>
              <a:cs typeface="Arial"/>
            </a:rPr>
            <a:t>:</a:t>
          </a:r>
          <a:r>
            <a:rPr lang="en-US" sz="1200" b="0" i="0" u="none" strike="noStrike" baseline="0">
              <a:solidFill>
                <a:srgbClr val="FF0000"/>
              </a:solidFill>
              <a:latin typeface="Arial"/>
              <a:cs typeface="Arial"/>
            </a:rPr>
            <a:t> The components calculated in this worksheet are reasonable starting values for a design using the LM25066/I PMBus Hot-swap Controller. As such, they are not optimized for any particular performance attribute. Tolerances of the components are not included in the calculations. See the Instructions tab for additional information.</a:t>
          </a:r>
        </a:p>
        <a:p>
          <a:pPr algn="l" rtl="0">
            <a:defRPr sz="1000"/>
          </a:pPr>
          <a:r>
            <a:rPr lang="en-US" sz="1200" b="1" i="0" u="none" strike="noStrike" baseline="0">
              <a:solidFill>
                <a:sysClr val="windowText" lastClr="000000"/>
              </a:solidFill>
              <a:latin typeface="Arial"/>
              <a:cs typeface="Arial"/>
            </a:rPr>
            <a:t>Consult the LM25066/I datasheet for more detail.</a:t>
          </a:r>
        </a:p>
      </xdr:txBody>
    </xdr:sp>
    <xdr:clientData/>
  </xdr:twoCellAnchor>
  <xdr:twoCellAnchor>
    <xdr:from>
      <xdr:col>39</xdr:col>
      <xdr:colOff>0</xdr:colOff>
      <xdr:row>61</xdr:row>
      <xdr:rowOff>0</xdr:rowOff>
    </xdr:from>
    <xdr:to>
      <xdr:col>39</xdr:col>
      <xdr:colOff>0</xdr:colOff>
      <xdr:row>68</xdr:row>
      <xdr:rowOff>0</xdr:rowOff>
    </xdr:to>
    <xdr:sp macro="" textlink="">
      <xdr:nvSpPr>
        <xdr:cNvPr id="1056" name="Text Box 32">
          <a:extLst>
            <a:ext uri="{FF2B5EF4-FFF2-40B4-BE49-F238E27FC236}">
              <a16:creationId xmlns:a16="http://schemas.microsoft.com/office/drawing/2014/main" id="{00000000-0008-0000-0100-000020040000}"/>
            </a:ext>
          </a:extLst>
        </xdr:cNvPr>
        <xdr:cNvSpPr txBox="1">
          <a:spLocks noChangeArrowheads="1"/>
        </xdr:cNvSpPr>
      </xdr:nvSpPr>
      <xdr:spPr bwMode="auto">
        <a:xfrm>
          <a:off x="16821150" y="4267200"/>
          <a:ext cx="2276475" cy="847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Max R</a:t>
          </a:r>
          <a:r>
            <a:rPr lang="en-US" sz="1000" b="0" i="0" u="none" strike="noStrike" baseline="-25000">
              <a:solidFill>
                <a:srgbClr val="000000"/>
              </a:solidFill>
              <a:latin typeface="Arial"/>
              <a:cs typeface="Arial"/>
            </a:rPr>
            <a:t>S</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45 mV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(Max Load Current x 1.01)</a:t>
          </a:r>
        </a:p>
        <a:p>
          <a:pPr algn="l" rtl="0">
            <a:defRPr sz="1000"/>
          </a:pP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The 1.01 factor provides 1% margin from the max. normal load current.</a:t>
          </a:r>
        </a:p>
      </xdr:txBody>
    </xdr:sp>
    <xdr:clientData/>
  </xdr:twoCellAnchor>
  <xdr:twoCellAnchor editAs="oneCell">
    <xdr:from>
      <xdr:col>1</xdr:col>
      <xdr:colOff>50987</xdr:colOff>
      <xdr:row>0</xdr:row>
      <xdr:rowOff>171450</xdr:rowOff>
    </xdr:from>
    <xdr:to>
      <xdr:col>1</xdr:col>
      <xdr:colOff>1713717</xdr:colOff>
      <xdr:row>0</xdr:row>
      <xdr:rowOff>609600</xdr:rowOff>
    </xdr:to>
    <xdr:pic>
      <xdr:nvPicPr>
        <xdr:cNvPr id="10" name="Picture 9">
          <a:hlinkClick xmlns:r="http://schemas.openxmlformats.org/officeDocument/2006/relationships" r:id="rId3"/>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4" cstate="print"/>
        <a:srcRect r="26499"/>
        <a:stretch>
          <a:fillRect/>
        </a:stretch>
      </xdr:blipFill>
      <xdr:spPr bwMode="auto">
        <a:xfrm>
          <a:off x="84605" y="171450"/>
          <a:ext cx="1662730" cy="438150"/>
        </a:xfrm>
        <a:prstGeom prst="rect">
          <a:avLst/>
        </a:prstGeom>
        <a:noFill/>
        <a:ln w="9525">
          <a:noFill/>
          <a:miter lim="800000"/>
          <a:headEnd/>
          <a:tailEnd/>
        </a:ln>
      </xdr:spPr>
    </xdr:pic>
    <xdr:clientData/>
  </xdr:twoCellAnchor>
  <xdr:twoCellAnchor editAs="oneCell">
    <xdr:from>
      <xdr:col>5</xdr:col>
      <xdr:colOff>95251</xdr:colOff>
      <xdr:row>163</xdr:row>
      <xdr:rowOff>95251</xdr:rowOff>
    </xdr:from>
    <xdr:to>
      <xdr:col>10</xdr:col>
      <xdr:colOff>632841</xdr:colOff>
      <xdr:row>163</xdr:row>
      <xdr:rowOff>97409</xdr:rowOff>
    </xdr:to>
    <xdr:pic>
      <xdr:nvPicPr>
        <xdr:cNvPr id="3" name="Picture 21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467351" y="15116176"/>
          <a:ext cx="4019549" cy="653471"/>
        </a:xfrm>
        <a:prstGeom prst="rect">
          <a:avLst/>
        </a:prstGeom>
        <a:noFill/>
      </xdr:spPr>
    </xdr:pic>
    <xdr:clientData/>
  </xdr:twoCellAnchor>
  <xdr:twoCellAnchor>
    <xdr:from>
      <xdr:col>16</xdr:col>
      <xdr:colOff>714375</xdr:colOff>
      <xdr:row>0</xdr:row>
      <xdr:rowOff>114871</xdr:rowOff>
    </xdr:from>
    <xdr:to>
      <xdr:col>16</xdr:col>
      <xdr:colOff>2247900</xdr:colOff>
      <xdr:row>0</xdr:row>
      <xdr:rowOff>516906</xdr:rowOff>
    </xdr:to>
    <xdr:pic>
      <xdr:nvPicPr>
        <xdr:cNvPr id="11" name="Picture 84">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0982325" y="114871"/>
          <a:ext cx="1533525" cy="402035"/>
        </a:xfrm>
        <a:prstGeom prst="rect">
          <a:avLst/>
        </a:prstGeom>
        <a:noFill/>
        <a:ln w="1">
          <a:noFill/>
          <a:miter lim="800000"/>
          <a:headEnd/>
          <a:tailEnd type="none" w="med" len="med"/>
        </a:ln>
        <a:effectLst/>
      </xdr:spPr>
    </xdr:pic>
    <xdr:clientData/>
  </xdr:twoCellAnchor>
  <xdr:twoCellAnchor editAs="oneCell">
    <xdr:from>
      <xdr:col>8</xdr:col>
      <xdr:colOff>251141</xdr:colOff>
      <xdr:row>96</xdr:row>
      <xdr:rowOff>168903</xdr:rowOff>
    </xdr:from>
    <xdr:to>
      <xdr:col>12</xdr:col>
      <xdr:colOff>298637</xdr:colOff>
      <xdr:row>106</xdr:row>
      <xdr:rowOff>92504</xdr:rowOff>
    </xdr:to>
    <xdr:pic>
      <xdr:nvPicPr>
        <xdr:cNvPr id="1253" name="Picture 229">
          <a:extLst>
            <a:ext uri="{FF2B5EF4-FFF2-40B4-BE49-F238E27FC236}">
              <a16:creationId xmlns:a16="http://schemas.microsoft.com/office/drawing/2014/main" id="{00000000-0008-0000-0100-0000E504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8077329" y="15713703"/>
          <a:ext cx="2862414" cy="1806189"/>
        </a:xfrm>
        <a:prstGeom prst="rect">
          <a:avLst/>
        </a:prstGeom>
        <a:noFill/>
      </xdr:spPr>
    </xdr:pic>
    <xdr:clientData/>
  </xdr:twoCellAnchor>
  <xdr:twoCellAnchor editAs="oneCell">
    <xdr:from>
      <xdr:col>8</xdr:col>
      <xdr:colOff>354105</xdr:colOff>
      <xdr:row>109</xdr:row>
      <xdr:rowOff>68918</xdr:rowOff>
    </xdr:from>
    <xdr:to>
      <xdr:col>12</xdr:col>
      <xdr:colOff>397249</xdr:colOff>
      <xdr:row>119</xdr:row>
      <xdr:rowOff>20973</xdr:rowOff>
    </xdr:to>
    <xdr:pic>
      <xdr:nvPicPr>
        <xdr:cNvPr id="1254" name="Picture 230">
          <a:extLst>
            <a:ext uri="{FF2B5EF4-FFF2-40B4-BE49-F238E27FC236}">
              <a16:creationId xmlns:a16="http://schemas.microsoft.com/office/drawing/2014/main" id="{00000000-0008-0000-0100-0000E604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723093" y="17550094"/>
          <a:ext cx="2858062" cy="1834643"/>
        </a:xfrm>
        <a:prstGeom prst="rect">
          <a:avLst/>
        </a:prstGeom>
        <a:noFill/>
      </xdr:spPr>
    </xdr:pic>
    <xdr:clientData/>
  </xdr:twoCellAnchor>
  <xdr:twoCellAnchor editAs="oneCell">
    <xdr:from>
      <xdr:col>8</xdr:col>
      <xdr:colOff>72838</xdr:colOff>
      <xdr:row>3</xdr:row>
      <xdr:rowOff>160243</xdr:rowOff>
    </xdr:from>
    <xdr:to>
      <xdr:col>10</xdr:col>
      <xdr:colOff>7843</xdr:colOff>
      <xdr:row>9</xdr:row>
      <xdr:rowOff>188143</xdr:rowOff>
    </xdr:to>
    <xdr:pic>
      <xdr:nvPicPr>
        <xdr:cNvPr id="17" name="Picture 16" descr="LM25066IA IC photo.jpg">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9" cstate="print"/>
        <a:stretch>
          <a:fillRect/>
        </a:stretch>
      </xdr:blipFill>
      <xdr:spPr>
        <a:xfrm>
          <a:off x="7441826" y="1298761"/>
          <a:ext cx="1432112" cy="1067806"/>
        </a:xfrm>
        <a:prstGeom prst="rect">
          <a:avLst/>
        </a:prstGeom>
      </xdr:spPr>
    </xdr:pic>
    <xdr:clientData/>
  </xdr:twoCellAnchor>
  <xdr:twoCellAnchor>
    <xdr:from>
      <xdr:col>7</xdr:col>
      <xdr:colOff>274321</xdr:colOff>
      <xdr:row>51</xdr:row>
      <xdr:rowOff>76201</xdr:rowOff>
    </xdr:from>
    <xdr:to>
      <xdr:col>38</xdr:col>
      <xdr:colOff>209550</xdr:colOff>
      <xdr:row>66</xdr:row>
      <xdr:rowOff>107950</xdr:rowOff>
    </xdr:to>
    <xdr:graphicFrame macro="">
      <xdr:nvGraphicFramePr>
        <xdr:cNvPr id="19" name="Chart 100">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8</xdr:col>
      <xdr:colOff>53340</xdr:colOff>
      <xdr:row>43</xdr:row>
      <xdr:rowOff>175260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726680" y="519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220084</xdr:colOff>
      <xdr:row>68</xdr:row>
      <xdr:rowOff>94131</xdr:rowOff>
    </xdr:from>
    <xdr:to>
      <xdr:col>38</xdr:col>
      <xdr:colOff>215153</xdr:colOff>
      <xdr:row>82</xdr:row>
      <xdr:rowOff>71718</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11</xdr:col>
      <xdr:colOff>434340</xdr:colOff>
      <xdr:row>57</xdr:row>
      <xdr:rowOff>91440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309860" y="7741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227938</xdr:colOff>
      <xdr:row>82</xdr:row>
      <xdr:rowOff>116542</xdr:rowOff>
    </xdr:from>
    <xdr:to>
      <xdr:col>38</xdr:col>
      <xdr:colOff>318052</xdr:colOff>
      <xdr:row>93</xdr:row>
      <xdr:rowOff>51646</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12</xdr:col>
      <xdr:colOff>662940</xdr:colOff>
      <xdr:row>70</xdr:row>
      <xdr:rowOff>30480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193780" y="986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8</xdr:col>
      <xdr:colOff>425823</xdr:colOff>
      <xdr:row>37</xdr:row>
      <xdr:rowOff>168088</xdr:rowOff>
    </xdr:from>
    <xdr:to>
      <xdr:col>12</xdr:col>
      <xdr:colOff>280147</xdr:colOff>
      <xdr:row>49</xdr:row>
      <xdr:rowOff>38824</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8034617" y="8101853"/>
          <a:ext cx="2577354" cy="2156736"/>
          <a:chOff x="8068234" y="4549588"/>
          <a:chExt cx="2599765" cy="2156736"/>
        </a:xfrm>
      </xdr:grpSpPr>
      <xdr:grpSp>
        <xdr:nvGrpSpPr>
          <xdr:cNvPr id="20" name="Group 19">
            <a:extLst>
              <a:ext uri="{FF2B5EF4-FFF2-40B4-BE49-F238E27FC236}">
                <a16:creationId xmlns:a16="http://schemas.microsoft.com/office/drawing/2014/main" id="{00000000-0008-0000-0100-000014000000}"/>
              </a:ext>
            </a:extLst>
          </xdr:cNvPr>
          <xdr:cNvGrpSpPr/>
        </xdr:nvGrpSpPr>
        <xdr:grpSpPr>
          <a:xfrm>
            <a:off x="8068234" y="4549588"/>
            <a:ext cx="2599765" cy="2156736"/>
            <a:chOff x="8000997" y="4398069"/>
            <a:chExt cx="2861885" cy="2548942"/>
          </a:xfrm>
        </xdr:grpSpPr>
        <xdr:grpSp>
          <xdr:nvGrpSpPr>
            <xdr:cNvPr id="21" name="Group 20">
              <a:extLst>
                <a:ext uri="{FF2B5EF4-FFF2-40B4-BE49-F238E27FC236}">
                  <a16:creationId xmlns:a16="http://schemas.microsoft.com/office/drawing/2014/main" id="{00000000-0008-0000-0100-000015000000}"/>
                </a:ext>
              </a:extLst>
            </xdr:cNvPr>
            <xdr:cNvGrpSpPr/>
          </xdr:nvGrpSpPr>
          <xdr:grpSpPr>
            <a:xfrm>
              <a:off x="8000997" y="4398069"/>
              <a:ext cx="2861885" cy="2548942"/>
              <a:chOff x="7507942" y="4356356"/>
              <a:chExt cx="2857500" cy="2548942"/>
            </a:xfrm>
          </xdr:grpSpPr>
          <xdr:pic>
            <xdr:nvPicPr>
              <xdr:cNvPr id="23" name="Picture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3"/>
              <a:stretch>
                <a:fillRect/>
              </a:stretch>
            </xdr:blipFill>
            <xdr:spPr>
              <a:xfrm>
                <a:off x="7507942" y="4356356"/>
                <a:ext cx="2857500" cy="2548942"/>
              </a:xfrm>
              <a:prstGeom prst="rect">
                <a:avLst/>
              </a:prstGeom>
            </xdr:spPr>
          </xdr:pic>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8561294" y="5154706"/>
                <a:ext cx="593913" cy="24653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latin typeface="Arial" panose="020B0604020202020204" pitchFamily="34" charset="0"/>
                    <a:cs typeface="Arial" panose="020B0604020202020204" pitchFamily="34" charset="0"/>
                  </a:rPr>
                  <a:t>R</a:t>
                </a:r>
                <a:r>
                  <a:rPr lang="en-US" sz="1200" b="0" baseline="-25000">
                    <a:latin typeface="Arial" panose="020B0604020202020204" pitchFamily="34" charset="0"/>
                    <a:cs typeface="Arial" panose="020B0604020202020204" pitchFamily="34" charset="0"/>
                  </a:rPr>
                  <a:t>CL1</a:t>
                </a:r>
              </a:p>
            </xdr:txBody>
          </xdr:sp>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9397253" y="5038165"/>
                <a:ext cx="593913" cy="3776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latin typeface="Arial" panose="020B0604020202020204" pitchFamily="34" charset="0"/>
                    <a:cs typeface="Arial" panose="020B0604020202020204" pitchFamily="34" charset="0"/>
                  </a:rPr>
                  <a:t>R</a:t>
                </a:r>
                <a:r>
                  <a:rPr lang="en-US" sz="1200" b="0" baseline="-25000">
                    <a:latin typeface="Arial" panose="020B0604020202020204" pitchFamily="34" charset="0"/>
                    <a:cs typeface="Arial" panose="020B0604020202020204" pitchFamily="34" charset="0"/>
                  </a:rPr>
                  <a:t>CL2</a:t>
                </a:r>
              </a:p>
            </xdr:txBody>
          </xdr:sp>
        </xdr:grpSp>
        <xdr:sp macro="" textlink="">
          <xdr:nvSpPr>
            <xdr:cNvPr id="22" name="Rectangle 21">
              <a:extLst>
                <a:ext uri="{FF2B5EF4-FFF2-40B4-BE49-F238E27FC236}">
                  <a16:creationId xmlns:a16="http://schemas.microsoft.com/office/drawing/2014/main" id="{00000000-0008-0000-0100-000016000000}"/>
                </a:ext>
              </a:extLst>
            </xdr:cNvPr>
            <xdr:cNvSpPr/>
          </xdr:nvSpPr>
          <xdr:spPr>
            <a:xfrm>
              <a:off x="10510630" y="6493565"/>
              <a:ext cx="99392" cy="28160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4"/>
          <a:stretch>
            <a:fillRect/>
          </a:stretch>
        </xdr:blipFill>
        <xdr:spPr>
          <a:xfrm>
            <a:off x="8886264" y="6249594"/>
            <a:ext cx="1559202" cy="381326"/>
          </a:xfrm>
          <a:prstGeom prst="rect">
            <a:avLst/>
          </a:prstGeom>
        </xdr:spPr>
      </xdr:pic>
    </xdr:grpSp>
    <xdr:clientData/>
  </xdr:twoCellAnchor>
  <xdr:twoCellAnchor editAs="oneCell">
    <xdr:from>
      <xdr:col>1</xdr:col>
      <xdr:colOff>38100</xdr:colOff>
      <xdr:row>14</xdr:row>
      <xdr:rowOff>12700</xdr:rowOff>
    </xdr:from>
    <xdr:to>
      <xdr:col>1</xdr:col>
      <xdr:colOff>1738489</xdr:colOff>
      <xdr:row>21</xdr:row>
      <xdr:rowOff>197945</xdr:rowOff>
    </xdr:to>
    <xdr:pic>
      <xdr:nvPicPr>
        <xdr:cNvPr id="26" name="Picture 25">
          <a:hlinkClick xmlns:r="http://schemas.openxmlformats.org/officeDocument/2006/relationships" r:id="rId1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6"/>
        <a:stretch>
          <a:fillRect/>
        </a:stretch>
      </xdr:blipFill>
      <xdr:spPr>
        <a:xfrm>
          <a:off x="69850" y="3251200"/>
          <a:ext cx="1700389" cy="1518745"/>
        </a:xfrm>
        <a:prstGeom prst="rect">
          <a:avLst/>
        </a:prstGeom>
      </xdr:spPr>
    </xdr:pic>
    <xdr:clientData/>
  </xdr:twoCellAnchor>
  <xdr:twoCellAnchor editAs="oneCell">
    <xdr:from>
      <xdr:col>1</xdr:col>
      <xdr:colOff>38100</xdr:colOff>
      <xdr:row>27</xdr:row>
      <xdr:rowOff>12700</xdr:rowOff>
    </xdr:from>
    <xdr:to>
      <xdr:col>1</xdr:col>
      <xdr:colOff>1784585</xdr:colOff>
      <xdr:row>32</xdr:row>
      <xdr:rowOff>2755</xdr:rowOff>
    </xdr:to>
    <xdr:pic>
      <xdr:nvPicPr>
        <xdr:cNvPr id="27" name="Picture 26">
          <a:hlinkClick xmlns:r="http://schemas.openxmlformats.org/officeDocument/2006/relationships" r:id="rId17"/>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8"/>
        <a:stretch>
          <a:fillRect/>
        </a:stretch>
      </xdr:blipFill>
      <xdr:spPr>
        <a:xfrm>
          <a:off x="69850" y="6045200"/>
          <a:ext cx="1746485" cy="942555"/>
        </a:xfrm>
        <a:prstGeom prst="rect">
          <a:avLst/>
        </a:prstGeom>
      </xdr:spPr>
    </xdr:pic>
    <xdr:clientData/>
  </xdr:twoCellAnchor>
  <xdr:twoCellAnchor editAs="oneCell">
    <xdr:from>
      <xdr:col>1</xdr:col>
      <xdr:colOff>25400</xdr:colOff>
      <xdr:row>37</xdr:row>
      <xdr:rowOff>19050</xdr:rowOff>
    </xdr:from>
    <xdr:to>
      <xdr:col>1</xdr:col>
      <xdr:colOff>1771885</xdr:colOff>
      <xdr:row>42</xdr:row>
      <xdr:rowOff>9105</xdr:rowOff>
    </xdr:to>
    <xdr:pic>
      <xdr:nvPicPr>
        <xdr:cNvPr id="28" name="Picture 27">
          <a:hlinkClick xmlns:r="http://schemas.openxmlformats.org/officeDocument/2006/relationships" r:id="rId1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8"/>
        <a:stretch>
          <a:fillRect/>
        </a:stretch>
      </xdr:blipFill>
      <xdr:spPr>
        <a:xfrm>
          <a:off x="57150" y="7956550"/>
          <a:ext cx="1746485" cy="942555"/>
        </a:xfrm>
        <a:prstGeom prst="rect">
          <a:avLst/>
        </a:prstGeom>
      </xdr:spPr>
    </xdr:pic>
    <xdr:clientData/>
  </xdr:twoCellAnchor>
  <xdr:twoCellAnchor editAs="oneCell">
    <xdr:from>
      <xdr:col>1</xdr:col>
      <xdr:colOff>25400</xdr:colOff>
      <xdr:row>52</xdr:row>
      <xdr:rowOff>0</xdr:rowOff>
    </xdr:from>
    <xdr:to>
      <xdr:col>1</xdr:col>
      <xdr:colOff>1882488</xdr:colOff>
      <xdr:row>57</xdr:row>
      <xdr:rowOff>98595</xdr:rowOff>
    </xdr:to>
    <xdr:pic>
      <xdr:nvPicPr>
        <xdr:cNvPr id="29" name="Picture 28">
          <a:hlinkClick xmlns:r="http://schemas.openxmlformats.org/officeDocument/2006/relationships" r:id="rId19"/>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20"/>
        <a:stretch>
          <a:fillRect/>
        </a:stretch>
      </xdr:blipFill>
      <xdr:spPr>
        <a:xfrm>
          <a:off x="57150" y="10782300"/>
          <a:ext cx="1857088" cy="1038395"/>
        </a:xfrm>
        <a:prstGeom prst="rect">
          <a:avLst/>
        </a:prstGeom>
      </xdr:spPr>
    </xdr:pic>
    <xdr:clientData/>
  </xdr:twoCellAnchor>
  <xdr:twoCellAnchor editAs="oneCell">
    <xdr:from>
      <xdr:col>1</xdr:col>
      <xdr:colOff>57150</xdr:colOff>
      <xdr:row>69</xdr:row>
      <xdr:rowOff>25400</xdr:rowOff>
    </xdr:from>
    <xdr:to>
      <xdr:col>1</xdr:col>
      <xdr:colOff>1997680</xdr:colOff>
      <xdr:row>76</xdr:row>
      <xdr:rowOff>121025</xdr:rowOff>
    </xdr:to>
    <xdr:pic>
      <xdr:nvPicPr>
        <xdr:cNvPr id="30" name="Picture 29">
          <a:hlinkClick xmlns:r="http://schemas.openxmlformats.org/officeDocument/2006/relationships" r:id="rId21"/>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22"/>
        <a:stretch>
          <a:fillRect/>
        </a:stretch>
      </xdr:blipFill>
      <xdr:spPr>
        <a:xfrm>
          <a:off x="88900" y="14046200"/>
          <a:ext cx="1959580" cy="1213225"/>
        </a:xfrm>
        <a:prstGeom prst="rect">
          <a:avLst/>
        </a:prstGeom>
      </xdr:spPr>
    </xdr:pic>
    <xdr:clientData/>
  </xdr:twoCellAnchor>
  <xdr:twoCellAnchor editAs="oneCell">
    <xdr:from>
      <xdr:col>1</xdr:col>
      <xdr:colOff>44450</xdr:colOff>
      <xdr:row>95</xdr:row>
      <xdr:rowOff>25400</xdr:rowOff>
    </xdr:from>
    <xdr:to>
      <xdr:col>1</xdr:col>
      <xdr:colOff>1996086</xdr:colOff>
      <xdr:row>100</xdr:row>
      <xdr:rowOff>152399</xdr:rowOff>
    </xdr:to>
    <xdr:pic>
      <xdr:nvPicPr>
        <xdr:cNvPr id="31" name="Picture 30">
          <a:hlinkClick xmlns:r="http://schemas.openxmlformats.org/officeDocument/2006/relationships" r:id="rId23"/>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24"/>
        <a:stretch>
          <a:fillRect/>
        </a:stretch>
      </xdr:blipFill>
      <xdr:spPr>
        <a:xfrm>
          <a:off x="76200" y="18853150"/>
          <a:ext cx="2008786" cy="1079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123</xdr:row>
      <xdr:rowOff>76200</xdr:rowOff>
    </xdr:from>
    <xdr:to>
      <xdr:col>12</xdr:col>
      <xdr:colOff>561975</xdr:colOff>
      <xdr:row>149</xdr:row>
      <xdr:rowOff>19050</xdr:rowOff>
    </xdr:to>
    <xdr:sp macro="" textlink="">
      <xdr:nvSpPr>
        <xdr:cNvPr id="2" name="Text Box 17">
          <a:extLst>
            <a:ext uri="{FF2B5EF4-FFF2-40B4-BE49-F238E27FC236}">
              <a16:creationId xmlns:a16="http://schemas.microsoft.com/office/drawing/2014/main" id="{00000000-0008-0000-0300-000002000000}"/>
            </a:ext>
          </a:extLst>
        </xdr:cNvPr>
        <xdr:cNvSpPr txBox="1">
          <a:spLocks noChangeArrowheads="1"/>
        </xdr:cNvSpPr>
      </xdr:nvSpPr>
      <xdr:spPr bwMode="auto">
        <a:xfrm>
          <a:off x="33280350" y="7410450"/>
          <a:ext cx="4972050" cy="4343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Option A</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R1 = </a:t>
          </a:r>
          <a:r>
            <a:rPr lang="en-US" sz="1000" b="0" i="0" u="sng" strike="noStrike" baseline="0">
              <a:solidFill>
                <a:srgbClr val="000000"/>
              </a:solidFill>
              <a:latin typeface="Arial"/>
              <a:cs typeface="Arial"/>
            </a:rPr>
            <a:t> UVLO</a:t>
          </a:r>
          <a:r>
            <a:rPr lang="en-US" sz="800" b="0" i="0" u="sng" strike="noStrike" baseline="0">
              <a:solidFill>
                <a:srgbClr val="000000"/>
              </a:solidFill>
              <a:latin typeface="Arial"/>
              <a:cs typeface="Arial"/>
            </a:rPr>
            <a:t>(upper)</a:t>
          </a:r>
          <a:r>
            <a:rPr lang="en-US" sz="1000" b="0" i="0" u="sng" strike="noStrike" baseline="0">
              <a:solidFill>
                <a:srgbClr val="000000"/>
              </a:solidFill>
              <a:latin typeface="Arial"/>
              <a:cs typeface="Arial"/>
            </a:rPr>
            <a:t> - UVLO</a:t>
          </a:r>
          <a:r>
            <a:rPr lang="en-US" sz="800" b="0" i="0" u="sng" strike="noStrike" baseline="0">
              <a:solidFill>
                <a:srgbClr val="000000"/>
              </a:solidFill>
              <a:latin typeface="Arial"/>
              <a:cs typeface="Arial"/>
            </a:rPr>
            <a:t>(lower)</a:t>
          </a:r>
          <a:r>
            <a:rPr lang="en-US" sz="1000" b="0" i="0" u="sng" strike="noStrike" baseline="0">
              <a:solidFill>
                <a:srgbClr val="000000"/>
              </a:solidFill>
              <a:latin typeface="Arial"/>
              <a:cs typeface="Arial"/>
            </a:rPr>
            <a:t>  </a:t>
          </a: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23 uA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R3 = </a:t>
          </a:r>
          <a:r>
            <a:rPr lang="en-US" sz="1000" b="0" i="0" u="sng" strike="noStrike" baseline="0">
              <a:solidFill>
                <a:srgbClr val="000000"/>
              </a:solidFill>
              <a:latin typeface="Arial"/>
              <a:cs typeface="Arial"/>
            </a:rPr>
            <a:t>         1.16V x R1 x UVLO</a:t>
          </a:r>
          <a:r>
            <a:rPr lang="en-US" sz="800" b="0" i="0" u="sng" strike="noStrike" baseline="0">
              <a:solidFill>
                <a:srgbClr val="000000"/>
              </a:solidFill>
              <a:latin typeface="Arial"/>
              <a:cs typeface="Arial"/>
            </a:rPr>
            <a:t>(lower)</a:t>
          </a:r>
          <a:r>
            <a:rPr lang="en-US" sz="1000" b="0" i="0" u="sng"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OVLO</a:t>
          </a:r>
          <a:r>
            <a:rPr lang="en-US" sz="800" b="0" i="0" u="none" strike="noStrike" baseline="0">
              <a:solidFill>
                <a:srgbClr val="000000"/>
              </a:solidFill>
              <a:latin typeface="Arial"/>
              <a:cs typeface="Arial"/>
            </a:rPr>
            <a:t>(upper)</a:t>
          </a:r>
          <a:r>
            <a:rPr lang="en-US" sz="1000" b="0" i="0" u="none" strike="noStrike" baseline="0">
              <a:solidFill>
                <a:srgbClr val="000000"/>
              </a:solidFill>
              <a:latin typeface="Arial"/>
              <a:cs typeface="Arial"/>
            </a:rPr>
            <a:t> x (UVLO</a:t>
          </a:r>
          <a:r>
            <a:rPr lang="en-US" sz="800" b="0" i="0" u="none" strike="noStrike" baseline="0">
              <a:solidFill>
                <a:srgbClr val="000000"/>
              </a:solidFill>
              <a:latin typeface="Arial"/>
              <a:cs typeface="Arial"/>
            </a:rPr>
            <a:t>(lower)</a:t>
          </a:r>
          <a:r>
            <a:rPr lang="en-US" sz="1000" b="0" i="0" u="none" strike="noStrike" baseline="0">
              <a:solidFill>
                <a:srgbClr val="000000"/>
              </a:solidFill>
              <a:latin typeface="Arial"/>
              <a:cs typeface="Arial"/>
            </a:rPr>
            <a:t> - 1.16V)</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R2 =  </a:t>
          </a:r>
          <a:r>
            <a:rPr lang="en-US" sz="1000" b="0" i="0" u="sng" strike="noStrike" baseline="0">
              <a:solidFill>
                <a:srgbClr val="000000"/>
              </a:solidFill>
              <a:latin typeface="Arial"/>
              <a:cs typeface="Arial"/>
            </a:rPr>
            <a:t>       1.16V  x  R1      </a:t>
          </a:r>
          <a:r>
            <a:rPr lang="en-US" sz="1000" b="0" i="0" u="none" strike="noStrike" baseline="0">
              <a:solidFill>
                <a:srgbClr val="000000"/>
              </a:solidFill>
              <a:latin typeface="Arial"/>
              <a:cs typeface="Arial"/>
            </a:rPr>
            <a:t>  -  R3</a:t>
          </a:r>
        </a:p>
        <a:p>
          <a:pPr algn="l" rtl="0">
            <a:defRPr sz="1000"/>
          </a:pPr>
          <a:r>
            <a:rPr lang="en-US" sz="1000" b="0" i="0" u="none" strike="noStrike" baseline="0">
              <a:solidFill>
                <a:srgbClr val="000000"/>
              </a:solidFill>
              <a:latin typeface="Arial"/>
              <a:cs typeface="Arial"/>
            </a:rPr>
            <a:t>          UVLO</a:t>
          </a:r>
          <a:r>
            <a:rPr lang="en-US" sz="800" b="0" i="0" u="none" strike="noStrike" baseline="0">
              <a:solidFill>
                <a:srgbClr val="000000"/>
              </a:solidFill>
              <a:latin typeface="Arial"/>
              <a:cs typeface="Arial"/>
            </a:rPr>
            <a:t>(lower)</a:t>
          </a:r>
          <a:r>
            <a:rPr lang="en-US" sz="1000" b="0" i="0" u="none" strike="noStrike" baseline="0">
              <a:solidFill>
                <a:srgbClr val="000000"/>
              </a:solidFill>
              <a:latin typeface="Arial"/>
              <a:cs typeface="Arial"/>
            </a:rPr>
            <a:t> - 1.16V</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Typical UVLO</a:t>
          </a:r>
          <a:r>
            <a:rPr lang="en-US" sz="800" b="0" i="0" u="none" strike="noStrike" baseline="0">
              <a:solidFill>
                <a:srgbClr val="000000"/>
              </a:solidFill>
              <a:latin typeface="Arial"/>
              <a:cs typeface="Arial"/>
            </a:rPr>
            <a:t>(upper)</a:t>
          </a:r>
          <a:r>
            <a:rPr lang="en-US" sz="1000" b="0" i="0" u="none" strike="noStrike" baseline="0">
              <a:solidFill>
                <a:srgbClr val="000000"/>
              </a:solidFill>
              <a:latin typeface="Arial"/>
              <a:cs typeface="Arial"/>
            </a:rPr>
            <a:t> = 1.16V + (R1 x  </a:t>
          </a:r>
          <a:r>
            <a:rPr lang="en-US" sz="1000" b="0" i="0" u="sng" strike="noStrike" baseline="0">
              <a:solidFill>
                <a:srgbClr val="000000"/>
              </a:solidFill>
              <a:latin typeface="Arial"/>
              <a:cs typeface="Arial"/>
            </a:rPr>
            <a:t>( 1.16V     </a:t>
          </a:r>
          <a:r>
            <a:rPr lang="en-US" sz="1000" b="0" i="0" u="none" strike="noStrike" baseline="0">
              <a:solidFill>
                <a:srgbClr val="000000"/>
              </a:solidFill>
              <a:latin typeface="Arial"/>
              <a:cs typeface="Arial"/>
            </a:rPr>
            <a:t> +  23uA)</a:t>
          </a:r>
        </a:p>
        <a:p>
          <a:pPr algn="l" rtl="0">
            <a:defRPr sz="1000"/>
          </a:pPr>
          <a:r>
            <a:rPr lang="en-US" sz="1000" b="0" i="0" u="none" strike="noStrike" baseline="0">
              <a:solidFill>
                <a:srgbClr val="000000"/>
              </a:solidFill>
              <a:latin typeface="Arial"/>
              <a:cs typeface="Arial"/>
            </a:rPr>
            <a:t>                                                           (R2 + R3)</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Typical UVLO</a:t>
          </a:r>
          <a:r>
            <a:rPr lang="en-US" sz="800" b="0" i="0" u="none" strike="noStrike" baseline="0">
              <a:solidFill>
                <a:srgbClr val="000000"/>
              </a:solidFill>
              <a:latin typeface="Arial"/>
              <a:cs typeface="Arial"/>
            </a:rPr>
            <a:t>(lower)</a:t>
          </a:r>
          <a:r>
            <a:rPr lang="en-US" sz="1000" b="0" i="0" u="none" strike="noStrike" baseline="0">
              <a:solidFill>
                <a:srgbClr val="000000"/>
              </a:solidFill>
              <a:latin typeface="Arial"/>
              <a:cs typeface="Arial"/>
            </a:rPr>
            <a:t> = 1.16V x </a:t>
          </a:r>
          <a:r>
            <a:rPr lang="en-US" sz="1000" b="0" i="0" u="sng" strike="noStrike" baseline="0">
              <a:solidFill>
                <a:srgbClr val="000000"/>
              </a:solidFill>
              <a:latin typeface="Arial"/>
              <a:cs typeface="Arial"/>
            </a:rPr>
            <a:t> (R1 + R2 + R3)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(R2 + R3)</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Typical OVLO</a:t>
          </a:r>
          <a:r>
            <a:rPr lang="en-US" sz="800" b="0" i="0" u="none" strike="noStrike" baseline="0">
              <a:solidFill>
                <a:srgbClr val="000000"/>
              </a:solidFill>
              <a:latin typeface="Arial"/>
              <a:cs typeface="Arial"/>
            </a:rPr>
            <a:t>(upper)</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1.16V x (R1 + R2 + R3)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R3</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Typical OVLO</a:t>
          </a:r>
          <a:r>
            <a:rPr lang="en-US" sz="800" b="0" i="0" u="none" strike="noStrike" baseline="0">
              <a:solidFill>
                <a:srgbClr val="000000"/>
              </a:solidFill>
              <a:latin typeface="Arial"/>
              <a:cs typeface="Arial"/>
            </a:rPr>
            <a:t>(lower)</a:t>
          </a:r>
          <a:r>
            <a:rPr lang="en-US" sz="1000" b="0" i="0" u="none" strike="noStrike" baseline="0">
              <a:solidFill>
                <a:srgbClr val="000000"/>
              </a:solidFill>
              <a:latin typeface="Arial"/>
              <a:cs typeface="Arial"/>
            </a:rPr>
            <a:t> = ((R1 + R2) x ((</a:t>
          </a:r>
          <a:r>
            <a:rPr lang="en-US" sz="1000" b="0" i="0" u="sng" strike="noStrike" baseline="0">
              <a:solidFill>
                <a:srgbClr val="000000"/>
              </a:solidFill>
              <a:latin typeface="Arial"/>
              <a:cs typeface="Arial"/>
            </a:rPr>
            <a:t> 1.16V)</a:t>
          </a:r>
          <a:r>
            <a:rPr lang="en-US" sz="1000" b="0" i="0" u="none" strike="noStrike" baseline="0">
              <a:solidFill>
                <a:srgbClr val="000000"/>
              </a:solidFill>
              <a:latin typeface="Arial"/>
              <a:cs typeface="Arial"/>
            </a:rPr>
            <a:t>  -  23uA)) + 1.16V</a:t>
          </a:r>
        </a:p>
        <a:p>
          <a:pPr algn="l" rtl="0">
            <a:defRPr sz="1000"/>
          </a:pPr>
          <a:r>
            <a:rPr lang="en-US" sz="1000" b="0" i="0" u="none" strike="noStrike" baseline="0">
              <a:solidFill>
                <a:srgbClr val="000000"/>
              </a:solidFill>
              <a:latin typeface="Arial"/>
              <a:cs typeface="Arial"/>
            </a:rPr>
            <a:t>                                                            R3</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6</xdr:col>
      <xdr:colOff>38100</xdr:colOff>
      <xdr:row>174</xdr:row>
      <xdr:rowOff>133350</xdr:rowOff>
    </xdr:from>
    <xdr:to>
      <xdr:col>9</xdr:col>
      <xdr:colOff>276225</xdr:colOff>
      <xdr:row>185</xdr:row>
      <xdr:rowOff>142875</xdr:rowOff>
    </xdr:to>
    <xdr:sp macro="" textlink="">
      <xdr:nvSpPr>
        <xdr:cNvPr id="3" name="Text Box 98">
          <a:extLst>
            <a:ext uri="{FF2B5EF4-FFF2-40B4-BE49-F238E27FC236}">
              <a16:creationId xmlns:a16="http://schemas.microsoft.com/office/drawing/2014/main" id="{00000000-0008-0000-0300-000003000000}"/>
            </a:ext>
          </a:extLst>
        </xdr:cNvPr>
        <xdr:cNvSpPr txBox="1">
          <a:spLocks noChangeArrowheads="1"/>
        </xdr:cNvSpPr>
      </xdr:nvSpPr>
      <xdr:spPr bwMode="auto">
        <a:xfrm>
          <a:off x="32308800" y="16125825"/>
          <a:ext cx="2838450" cy="1790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Rpwr = 1.71 x 10</a:t>
          </a:r>
          <a:r>
            <a:rPr lang="en-US" sz="1000" b="0" i="0" u="none" strike="noStrike" baseline="30000">
              <a:solidFill>
                <a:srgbClr val="000000"/>
              </a:solidFill>
              <a:latin typeface="Arial"/>
              <a:cs typeface="Arial"/>
            </a:rPr>
            <a:t>5</a:t>
          </a:r>
          <a:r>
            <a:rPr lang="en-US" sz="1000" b="0" i="0" u="none" strike="noStrike" baseline="0">
              <a:solidFill>
                <a:srgbClr val="000000"/>
              </a:solidFill>
              <a:latin typeface="Arial"/>
              <a:cs typeface="Arial"/>
            </a:rPr>
            <a:t> x Rs x P</a:t>
          </a:r>
          <a:r>
            <a:rPr lang="en-US" sz="1000" b="0" i="0" u="none" strike="noStrike" baseline="-25000">
              <a:solidFill>
                <a:srgbClr val="000000"/>
              </a:solidFill>
              <a:latin typeface="Arial"/>
              <a:cs typeface="Arial"/>
            </a:rPr>
            <a:t>FET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t>
          </a:r>
          <a:r>
            <a:rPr lang="en-US" sz="1000" b="0" i="0" u="none" strike="noStrike" baseline="-25000">
              <a:solidFill>
                <a:srgbClr val="000000"/>
              </a:solidFill>
              <a:latin typeface="Arial"/>
              <a:cs typeface="Arial"/>
            </a:rPr>
            <a:t>FET(min)</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4.44 x 10</a:t>
          </a:r>
          <a:r>
            <a:rPr lang="en-US" sz="1000" b="0" i="0" u="sng" strike="noStrike" baseline="30000">
              <a:solidFill>
                <a:srgbClr val="000000"/>
              </a:solidFill>
              <a:latin typeface="Arial"/>
              <a:cs typeface="Arial"/>
            </a:rPr>
            <a:t>-6</a:t>
          </a:r>
          <a:r>
            <a:rPr lang="en-US" sz="1000" b="0" i="0" u="sng" strike="noStrike" baseline="0">
              <a:solidFill>
                <a:srgbClr val="000000"/>
              </a:solidFill>
              <a:latin typeface="Arial"/>
              <a:cs typeface="Arial"/>
            </a:rPr>
            <a:t> x Rpwr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t>
          </a:r>
          <a:r>
            <a:rPr lang="en-US" sz="1000" b="0" i="0" u="none" strike="noStrike" baseline="-25000">
              <a:solidFill>
                <a:srgbClr val="000000"/>
              </a:solidFill>
              <a:latin typeface="Arial"/>
              <a:cs typeface="Arial"/>
            </a:rPr>
            <a:t>FET(typ)</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5.85 x 10</a:t>
          </a:r>
          <a:r>
            <a:rPr lang="en-US" sz="1000" b="0" i="0" u="sng" strike="noStrike" baseline="30000">
              <a:solidFill>
                <a:srgbClr val="000000"/>
              </a:solidFill>
              <a:latin typeface="Arial"/>
              <a:cs typeface="Arial"/>
            </a:rPr>
            <a:t>-6</a:t>
          </a:r>
          <a:r>
            <a:rPr lang="en-US" sz="1000" b="0" i="0" u="sng" strike="noStrike" baseline="0">
              <a:solidFill>
                <a:srgbClr val="000000"/>
              </a:solidFill>
              <a:latin typeface="Arial"/>
              <a:cs typeface="Arial"/>
            </a:rPr>
            <a:t> x Rpwr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t>
          </a:r>
          <a:r>
            <a:rPr lang="en-US" sz="1000" b="0" i="0" u="none" strike="noStrike" baseline="-25000">
              <a:solidFill>
                <a:srgbClr val="000000"/>
              </a:solidFill>
              <a:latin typeface="Arial"/>
              <a:cs typeface="Arial"/>
            </a:rPr>
            <a:t>FET(max)</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7.25 x 10</a:t>
          </a:r>
          <a:r>
            <a:rPr lang="en-US" sz="1000" b="0" i="0" u="sng" strike="noStrike" baseline="30000">
              <a:solidFill>
                <a:srgbClr val="000000"/>
              </a:solidFill>
              <a:latin typeface="Arial"/>
              <a:cs typeface="Arial"/>
            </a:rPr>
            <a:t>-6</a:t>
          </a:r>
          <a:r>
            <a:rPr lang="en-US" sz="1000" b="0" i="0" u="sng" strike="noStrike" baseline="0">
              <a:solidFill>
                <a:srgbClr val="000000"/>
              </a:solidFill>
              <a:latin typeface="Arial"/>
              <a:cs typeface="Arial"/>
            </a:rPr>
            <a:t> x Rpwr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563880</xdr:colOff>
      <xdr:row>26</xdr:row>
      <xdr:rowOff>87630</xdr:rowOff>
    </xdr:from>
    <xdr:to>
      <xdr:col>28</xdr:col>
      <xdr:colOff>388620</xdr:colOff>
      <xdr:row>46</xdr:row>
      <xdr:rowOff>137160</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08.itg.ti.com/Users/a0872642/Desktop/Excell%20Tools/TPS24720_design_calc_1_14_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08.itg.ti.com/Users/a0872642/Desktop/Excell%20Tools/TPS24720_design_calc_1_14_14_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LIM_SOA_considerations"/>
      <sheetName val="Worksheet"/>
      <sheetName val="SOA"/>
      <sheetName val="Device Parmaters"/>
    </sheetNames>
    <sheetDataSet>
      <sheetData sheetId="0"/>
      <sheetData sheetId="1">
        <row r="9">
          <cell r="C9">
            <v>0.5</v>
          </cell>
        </row>
        <row r="15">
          <cell r="C15">
            <v>50</v>
          </cell>
        </row>
        <row r="23">
          <cell r="C23">
            <v>12.6</v>
          </cell>
        </row>
        <row r="25">
          <cell r="C25">
            <v>42</v>
          </cell>
        </row>
        <row r="30">
          <cell r="C30">
            <v>1</v>
          </cell>
        </row>
        <row r="40">
          <cell r="C40">
            <v>45</v>
          </cell>
        </row>
        <row r="45">
          <cell r="C45">
            <v>13.214879379662346</v>
          </cell>
        </row>
        <row r="46">
          <cell r="C46">
            <v>1.2333333333333334</v>
          </cell>
        </row>
        <row r="47">
          <cell r="C47">
            <v>14.44821271299568</v>
          </cell>
        </row>
        <row r="52">
          <cell r="C52">
            <v>61.344890223835883</v>
          </cell>
        </row>
        <row r="61">
          <cell r="C61">
            <v>1650</v>
          </cell>
        </row>
        <row r="67">
          <cell r="C67">
            <v>2.2000000000000001E-7</v>
          </cell>
        </row>
      </sheetData>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LIM_SOA_considerations"/>
      <sheetName val="Worksheet"/>
      <sheetName val="SOA"/>
    </sheetNames>
    <sheetDataSet>
      <sheetData sheetId="0"/>
      <sheetData sheetId="1">
        <row r="9">
          <cell r="C9">
            <v>0.5</v>
          </cell>
        </row>
        <row r="15">
          <cell r="C15">
            <v>50</v>
          </cell>
        </row>
        <row r="23">
          <cell r="C23">
            <v>12.6</v>
          </cell>
        </row>
        <row r="25">
          <cell r="C25">
            <v>42</v>
          </cell>
        </row>
        <row r="30">
          <cell r="C30">
            <v>1</v>
          </cell>
        </row>
        <row r="40">
          <cell r="C40">
            <v>45</v>
          </cell>
        </row>
        <row r="45">
          <cell r="C45">
            <v>13.214879379662346</v>
          </cell>
        </row>
        <row r="46">
          <cell r="C46">
            <v>0.74</v>
          </cell>
        </row>
        <row r="47">
          <cell r="C47">
            <v>13.954879379662346</v>
          </cell>
        </row>
        <row r="52">
          <cell r="C52">
            <v>62.580553546791855</v>
          </cell>
        </row>
        <row r="61">
          <cell r="C61">
            <v>1650</v>
          </cell>
        </row>
        <row r="67">
          <cell r="C67">
            <v>2.2000000000000001E-7</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i.com/lit/pdf/slva673" TargetMode="External"/><Relationship Id="rId1" Type="http://schemas.openxmlformats.org/officeDocument/2006/relationships/hyperlink" Target="http://www.ti.com/lit/gpn/lm2506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ti.com/general/docs/video/watch.tsp?entryid=4609733745001" TargetMode="External"/><Relationship Id="rId13" Type="http://schemas.openxmlformats.org/officeDocument/2006/relationships/hyperlink" Target="https://training.ti.com/node/1133677" TargetMode="External"/><Relationship Id="rId18" Type="http://schemas.openxmlformats.org/officeDocument/2006/relationships/drawing" Target="../drawings/drawing2.xml"/><Relationship Id="rId3" Type="http://schemas.openxmlformats.org/officeDocument/2006/relationships/hyperlink" Target="https://training.ti.com/node/1133677" TargetMode="External"/><Relationship Id="rId7" Type="http://schemas.openxmlformats.org/officeDocument/2006/relationships/hyperlink" Target="https://training.ti.com/node/1133681" TargetMode="External"/><Relationship Id="rId12" Type="http://schemas.openxmlformats.org/officeDocument/2006/relationships/hyperlink" Target="http://www.ti.com/product/LM25066" TargetMode="External"/><Relationship Id="rId17" Type="http://schemas.openxmlformats.org/officeDocument/2006/relationships/printerSettings" Target="../printerSettings/printerSettings2.bin"/><Relationship Id="rId2" Type="http://schemas.openxmlformats.org/officeDocument/2006/relationships/hyperlink" Target="http://e2e.ti.com/" TargetMode="External"/><Relationship Id="rId16" Type="http://schemas.openxmlformats.org/officeDocument/2006/relationships/hyperlink" Target="https://training.ti.com/node/1133681" TargetMode="External"/><Relationship Id="rId20" Type="http://schemas.openxmlformats.org/officeDocument/2006/relationships/comments" Target="../comments1.xml"/><Relationship Id="rId1" Type="http://schemas.openxmlformats.org/officeDocument/2006/relationships/hyperlink" Target="http://www.ti.com/hotswap" TargetMode="External"/><Relationship Id="rId6" Type="http://schemas.openxmlformats.org/officeDocument/2006/relationships/hyperlink" Target="https://training.ti.com/node/1133664" TargetMode="External"/><Relationship Id="rId11" Type="http://schemas.openxmlformats.org/officeDocument/2006/relationships/hyperlink" Target="http://www.ti.com/general/docs/video/watch.tsp?entryid=4607940999001" TargetMode="External"/><Relationship Id="rId5" Type="http://schemas.openxmlformats.org/officeDocument/2006/relationships/hyperlink" Target="https://training.ti.com/node/1133673" TargetMode="External"/><Relationship Id="rId15" Type="http://schemas.openxmlformats.org/officeDocument/2006/relationships/hyperlink" Target="https://training.ti.com/node/1133664" TargetMode="External"/><Relationship Id="rId10" Type="http://schemas.openxmlformats.org/officeDocument/2006/relationships/hyperlink" Target="http://www.ti.com/general/docs/video/watch.tsp?entryid=4609077027001" TargetMode="External"/><Relationship Id="rId19" Type="http://schemas.openxmlformats.org/officeDocument/2006/relationships/vmlDrawing" Target="../drawings/vmlDrawing1.vml"/><Relationship Id="rId4" Type="http://schemas.openxmlformats.org/officeDocument/2006/relationships/hyperlink" Target="https://training.ti.com/node/1133677" TargetMode="External"/><Relationship Id="rId9" Type="http://schemas.openxmlformats.org/officeDocument/2006/relationships/hyperlink" Target="http://www.ti.com/general/docs/video/watch.tsp?entryid=4609077122001" TargetMode="External"/><Relationship Id="rId14" Type="http://schemas.openxmlformats.org/officeDocument/2006/relationships/hyperlink" Target="https://training.ti.com/node/113367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7"/>
  <sheetViews>
    <sheetView topLeftCell="A10" workbookViewId="0"/>
  </sheetViews>
  <sheetFormatPr defaultRowHeight="12.75" x14ac:dyDescent="0.2"/>
  <sheetData>
    <row r="1" spans="1:16" ht="13.5" thickTop="1" x14ac:dyDescent="0.2">
      <c r="A1" s="219"/>
      <c r="B1" s="220"/>
      <c r="C1" s="220"/>
      <c r="D1" s="220"/>
      <c r="E1" s="220"/>
      <c r="F1" s="220"/>
      <c r="G1" s="220"/>
      <c r="H1" s="220"/>
      <c r="I1" s="220"/>
      <c r="J1" s="220"/>
      <c r="K1" s="220"/>
      <c r="L1" s="220"/>
      <c r="M1" s="220"/>
      <c r="N1" s="220"/>
      <c r="O1" s="220"/>
      <c r="P1" s="221"/>
    </row>
    <row r="2" spans="1:16" x14ac:dyDescent="0.2">
      <c r="A2" s="222"/>
      <c r="B2" s="223"/>
      <c r="C2" s="223"/>
      <c r="D2" s="223"/>
      <c r="E2" s="223"/>
      <c r="F2" s="223"/>
      <c r="G2" s="223"/>
      <c r="H2" s="223"/>
      <c r="I2" s="223"/>
      <c r="J2" s="223"/>
      <c r="K2" s="223"/>
      <c r="L2" s="223"/>
      <c r="M2" s="223"/>
      <c r="N2" s="223"/>
      <c r="O2" s="223"/>
      <c r="P2" s="224"/>
    </row>
    <row r="3" spans="1:16" ht="30" x14ac:dyDescent="0.4">
      <c r="A3" s="222"/>
      <c r="B3" s="223"/>
      <c r="C3" s="223"/>
      <c r="D3" s="225"/>
      <c r="E3" s="223"/>
      <c r="F3" s="223"/>
      <c r="G3" s="223"/>
      <c r="H3" s="223"/>
      <c r="I3" s="223"/>
      <c r="J3" s="223"/>
      <c r="K3" s="223"/>
      <c r="L3" s="226"/>
      <c r="M3" s="223"/>
      <c r="N3" s="223"/>
      <c r="O3" s="223"/>
      <c r="P3" s="224"/>
    </row>
    <row r="4" spans="1:16" ht="23.25" x14ac:dyDescent="0.35">
      <c r="A4" s="222"/>
      <c r="B4" s="223"/>
      <c r="C4" s="223"/>
      <c r="D4" s="227"/>
      <c r="E4" s="223"/>
      <c r="F4" s="223"/>
      <c r="G4" s="223"/>
      <c r="H4" s="223"/>
      <c r="I4" s="223"/>
      <c r="J4" s="223"/>
      <c r="K4" s="223"/>
      <c r="L4" s="223"/>
      <c r="M4" s="223"/>
      <c r="N4" s="223"/>
      <c r="O4" s="223"/>
      <c r="P4" s="224"/>
    </row>
    <row r="5" spans="1:16" x14ac:dyDescent="0.2">
      <c r="A5" s="222"/>
      <c r="B5" s="223"/>
      <c r="C5" s="223"/>
      <c r="D5" s="223"/>
      <c r="E5" s="223"/>
      <c r="F5" s="223"/>
      <c r="G5" s="223"/>
      <c r="H5" s="223"/>
      <c r="I5" s="223"/>
      <c r="J5" s="223"/>
      <c r="K5" s="223"/>
      <c r="L5" s="223"/>
      <c r="M5" s="223"/>
      <c r="N5" s="223"/>
      <c r="O5" s="223"/>
      <c r="P5" s="224"/>
    </row>
    <row r="6" spans="1:16" x14ac:dyDescent="0.2">
      <c r="A6" s="222"/>
      <c r="B6" s="223"/>
      <c r="C6" s="223"/>
      <c r="D6" s="223"/>
      <c r="E6" s="223"/>
      <c r="F6" s="223"/>
      <c r="G6" s="223"/>
      <c r="H6" s="223"/>
      <c r="I6" s="223"/>
      <c r="J6" s="223"/>
      <c r="K6" s="223"/>
      <c r="L6" s="223"/>
      <c r="M6" s="223"/>
      <c r="N6" s="223"/>
      <c r="O6" s="223"/>
      <c r="P6" s="224"/>
    </row>
    <row r="7" spans="1:16" ht="15.75" x14ac:dyDescent="0.25">
      <c r="A7" s="222"/>
      <c r="B7" s="223"/>
      <c r="C7" s="223"/>
      <c r="D7" s="223"/>
      <c r="E7" s="223"/>
      <c r="F7" s="223"/>
      <c r="G7" s="223"/>
      <c r="H7" s="223"/>
      <c r="I7" s="223"/>
      <c r="J7" s="223"/>
      <c r="K7" s="223"/>
      <c r="L7" s="223"/>
      <c r="M7" s="226" t="s">
        <v>500</v>
      </c>
      <c r="N7" s="223"/>
      <c r="O7" s="223"/>
      <c r="P7" s="224"/>
    </row>
    <row r="8" spans="1:16" ht="30" x14ac:dyDescent="0.4">
      <c r="A8" s="222"/>
      <c r="B8" s="225" t="s">
        <v>521</v>
      </c>
      <c r="C8" s="223"/>
      <c r="D8" s="223"/>
      <c r="E8" s="223"/>
      <c r="F8" s="223"/>
      <c r="G8" s="223"/>
      <c r="H8" s="223"/>
      <c r="I8" s="223"/>
      <c r="J8" s="223"/>
      <c r="K8" s="223"/>
      <c r="L8" s="223"/>
      <c r="M8" s="223"/>
      <c r="N8" s="223"/>
      <c r="O8" s="223"/>
      <c r="P8" s="224"/>
    </row>
    <row r="9" spans="1:16" x14ac:dyDescent="0.2">
      <c r="A9" s="222"/>
      <c r="B9" s="223"/>
      <c r="C9" s="223"/>
      <c r="D9" s="223"/>
      <c r="E9" s="223"/>
      <c r="F9" s="223"/>
      <c r="G9" s="223"/>
      <c r="H9" s="223"/>
      <c r="I9" s="223"/>
      <c r="J9" s="223"/>
      <c r="K9" s="223"/>
      <c r="L9" s="223"/>
      <c r="M9" s="223"/>
      <c r="N9" s="223"/>
      <c r="O9" s="223"/>
      <c r="P9" s="224"/>
    </row>
    <row r="10" spans="1:16" ht="20.25" x14ac:dyDescent="0.3">
      <c r="A10" s="222"/>
      <c r="B10" s="228" t="s">
        <v>462</v>
      </c>
      <c r="C10" s="229"/>
      <c r="D10" s="229"/>
      <c r="E10" s="229"/>
      <c r="F10" s="223"/>
      <c r="G10" s="223"/>
      <c r="H10" s="223"/>
      <c r="I10" s="223"/>
      <c r="J10" s="223"/>
      <c r="K10" s="223"/>
      <c r="L10" s="223"/>
      <c r="M10" s="223"/>
      <c r="N10" s="223"/>
      <c r="O10" s="223"/>
      <c r="P10" s="224"/>
    </row>
    <row r="11" spans="1:16" ht="14.25" x14ac:dyDescent="0.2">
      <c r="A11" s="222"/>
      <c r="B11" s="230" t="s">
        <v>463</v>
      </c>
      <c r="C11" s="231"/>
      <c r="D11" s="231"/>
      <c r="E11" s="231"/>
      <c r="F11" s="223"/>
      <c r="G11" s="223"/>
      <c r="H11" s="223"/>
      <c r="I11" s="223"/>
      <c r="J11" s="223"/>
      <c r="K11" s="223"/>
      <c r="L11" s="223"/>
      <c r="M11" s="223"/>
      <c r="N11" s="223"/>
      <c r="O11" s="223"/>
      <c r="P11" s="224"/>
    </row>
    <row r="12" spans="1:16" ht="14.25" x14ac:dyDescent="0.2">
      <c r="A12" s="222"/>
      <c r="B12" s="230" t="s">
        <v>464</v>
      </c>
      <c r="C12" s="231"/>
      <c r="D12" s="231"/>
      <c r="E12" s="231"/>
      <c r="F12" s="223"/>
      <c r="G12" s="223"/>
      <c r="H12" s="223"/>
      <c r="I12" s="223"/>
      <c r="J12" s="223"/>
      <c r="K12" s="223"/>
      <c r="L12" s="223"/>
      <c r="M12" s="223"/>
      <c r="N12" s="223"/>
      <c r="O12" s="223"/>
      <c r="P12" s="224"/>
    </row>
    <row r="13" spans="1:16" ht="14.25" x14ac:dyDescent="0.2">
      <c r="A13" s="222"/>
      <c r="B13" s="230"/>
      <c r="C13" s="231"/>
      <c r="D13" s="231"/>
      <c r="E13" s="231"/>
      <c r="F13" s="223"/>
      <c r="G13" s="223"/>
      <c r="H13" s="223"/>
      <c r="I13" s="223"/>
      <c r="J13" s="223"/>
      <c r="K13" s="223"/>
      <c r="L13" s="223"/>
      <c r="M13" s="223"/>
      <c r="N13" s="223"/>
      <c r="O13" s="223"/>
      <c r="P13" s="224"/>
    </row>
    <row r="14" spans="1:16" x14ac:dyDescent="0.2">
      <c r="A14" s="222"/>
      <c r="B14" s="349" t="s">
        <v>499</v>
      </c>
      <c r="C14" s="349"/>
      <c r="D14" s="349"/>
      <c r="E14" s="229"/>
      <c r="F14" s="223"/>
      <c r="G14" s="223"/>
      <c r="H14" s="223"/>
      <c r="I14" s="223"/>
      <c r="J14" s="223"/>
      <c r="K14" s="223"/>
      <c r="L14" s="223"/>
      <c r="M14" s="223"/>
      <c r="N14" s="223"/>
      <c r="O14" s="223"/>
      <c r="P14" s="224"/>
    </row>
    <row r="15" spans="1:16" x14ac:dyDescent="0.2">
      <c r="A15" s="222"/>
      <c r="B15" s="339" t="s">
        <v>478</v>
      </c>
      <c r="C15" s="339"/>
      <c r="D15" s="339"/>
      <c r="E15" s="339"/>
      <c r="F15" s="339"/>
      <c r="G15" s="339"/>
      <c r="H15" s="339"/>
      <c r="I15" s="339"/>
      <c r="J15" s="223"/>
      <c r="K15" s="223"/>
      <c r="L15" s="223"/>
      <c r="M15" s="223"/>
      <c r="N15" s="223"/>
      <c r="O15" s="223"/>
      <c r="P15" s="224"/>
    </row>
    <row r="16" spans="1:16" x14ac:dyDescent="0.2">
      <c r="A16" s="222"/>
      <c r="B16" s="229"/>
      <c r="C16" s="229"/>
      <c r="D16" s="229"/>
      <c r="E16" s="229"/>
      <c r="F16" s="223"/>
      <c r="G16" s="223"/>
      <c r="H16" s="223"/>
      <c r="I16" s="223"/>
      <c r="J16" s="223"/>
      <c r="K16" s="223"/>
      <c r="L16" s="223"/>
      <c r="M16" s="223"/>
      <c r="N16" s="223"/>
      <c r="O16" s="223"/>
      <c r="P16" s="224"/>
    </row>
    <row r="17" spans="1:16" x14ac:dyDescent="0.2">
      <c r="A17" s="222"/>
      <c r="B17" s="232" t="s">
        <v>465</v>
      </c>
      <c r="C17" s="229"/>
      <c r="D17" s="229"/>
      <c r="E17" s="229"/>
      <c r="F17" s="223"/>
      <c r="G17" s="223"/>
      <c r="H17" s="223"/>
      <c r="I17" s="223"/>
      <c r="J17" s="223"/>
      <c r="K17" s="223"/>
      <c r="L17" s="223"/>
      <c r="M17" s="223"/>
      <c r="N17" s="223"/>
      <c r="O17" s="223"/>
      <c r="P17" s="224"/>
    </row>
    <row r="18" spans="1:16" x14ac:dyDescent="0.2">
      <c r="A18" s="222"/>
      <c r="B18" s="233" t="s">
        <v>466</v>
      </c>
      <c r="C18" s="229"/>
      <c r="D18" s="229"/>
      <c r="E18" s="229"/>
      <c r="F18" s="223"/>
      <c r="G18" s="223"/>
      <c r="H18" s="223"/>
      <c r="I18" s="223"/>
      <c r="J18" s="223"/>
      <c r="K18" s="223"/>
      <c r="L18" s="223"/>
      <c r="M18" s="223"/>
      <c r="N18" s="223"/>
      <c r="O18" s="223"/>
      <c r="P18" s="224"/>
    </row>
    <row r="19" spans="1:16" x14ac:dyDescent="0.2">
      <c r="A19" s="222"/>
      <c r="B19" s="233" t="s">
        <v>467</v>
      </c>
      <c r="C19" s="229"/>
      <c r="D19" s="229"/>
      <c r="E19" s="229"/>
      <c r="F19" s="223"/>
      <c r="G19" s="223"/>
      <c r="H19" s="223"/>
      <c r="I19" s="223"/>
      <c r="J19" s="223"/>
      <c r="K19" s="223"/>
      <c r="L19" s="223"/>
      <c r="M19" s="223"/>
      <c r="N19" s="223"/>
      <c r="O19" s="223"/>
      <c r="P19" s="224"/>
    </row>
    <row r="20" spans="1:16" x14ac:dyDescent="0.2">
      <c r="A20" s="222"/>
      <c r="B20" s="233" t="s">
        <v>468</v>
      </c>
      <c r="C20" s="229"/>
      <c r="D20" s="229"/>
      <c r="E20" s="229"/>
      <c r="F20" s="223"/>
      <c r="G20" s="223"/>
      <c r="H20" s="223"/>
      <c r="I20" s="223"/>
      <c r="J20" s="223"/>
      <c r="K20" s="223"/>
      <c r="L20" s="223"/>
      <c r="M20" s="223"/>
      <c r="N20" s="223"/>
      <c r="O20" s="223"/>
      <c r="P20" s="224"/>
    </row>
    <row r="21" spans="1:16" x14ac:dyDescent="0.2">
      <c r="A21" s="222"/>
      <c r="B21" s="233" t="s">
        <v>469</v>
      </c>
      <c r="C21" s="229"/>
      <c r="D21" s="229"/>
      <c r="E21" s="229"/>
      <c r="F21" s="223"/>
      <c r="G21" s="223"/>
      <c r="H21" s="223"/>
      <c r="I21" s="223"/>
      <c r="J21" s="223"/>
      <c r="K21" s="223"/>
      <c r="L21" s="223"/>
      <c r="M21" s="223"/>
      <c r="N21" s="223"/>
      <c r="O21" s="223"/>
      <c r="P21" s="224"/>
    </row>
    <row r="22" spans="1:16" x14ac:dyDescent="0.2">
      <c r="A22" s="222"/>
      <c r="B22" s="233" t="s">
        <v>470</v>
      </c>
      <c r="C22" s="229"/>
      <c r="D22" s="229"/>
      <c r="E22" s="229"/>
      <c r="F22" s="223"/>
      <c r="G22" s="223"/>
      <c r="H22" s="223"/>
      <c r="I22" s="223"/>
      <c r="J22" s="223"/>
      <c r="K22" s="223"/>
      <c r="L22" s="223"/>
      <c r="M22" s="223"/>
      <c r="N22" s="223"/>
      <c r="O22" s="223"/>
      <c r="P22" s="224"/>
    </row>
    <row r="23" spans="1:16" x14ac:dyDescent="0.2">
      <c r="A23" s="222"/>
      <c r="B23" s="233" t="s">
        <v>471</v>
      </c>
      <c r="C23" s="229"/>
      <c r="D23" s="229"/>
      <c r="E23" s="229"/>
      <c r="F23" s="223"/>
      <c r="G23" s="223"/>
      <c r="H23" s="223"/>
      <c r="I23" s="223"/>
      <c r="J23" s="223"/>
      <c r="K23" s="223"/>
      <c r="L23" s="223"/>
      <c r="M23" s="223"/>
      <c r="N23" s="223"/>
      <c r="O23" s="223"/>
      <c r="P23" s="224"/>
    </row>
    <row r="24" spans="1:16" x14ac:dyDescent="0.2">
      <c r="A24" s="222"/>
      <c r="B24" s="233" t="s">
        <v>472</v>
      </c>
      <c r="C24" s="229"/>
      <c r="D24" s="229"/>
      <c r="E24" s="229"/>
      <c r="F24" s="223"/>
      <c r="G24" s="223"/>
      <c r="H24" s="223"/>
      <c r="I24" s="223"/>
      <c r="J24" s="223"/>
      <c r="K24" s="223"/>
      <c r="L24" s="223"/>
      <c r="M24" s="223"/>
      <c r="N24" s="223"/>
      <c r="O24" s="223"/>
      <c r="P24" s="224"/>
    </row>
    <row r="25" spans="1:16" x14ac:dyDescent="0.2">
      <c r="A25" s="222"/>
      <c r="B25" s="233"/>
      <c r="C25" s="229"/>
      <c r="D25" s="229"/>
      <c r="E25" s="229"/>
      <c r="F25" s="223"/>
      <c r="G25" s="223"/>
      <c r="H25" s="223"/>
      <c r="I25" s="223"/>
      <c r="J25" s="223"/>
      <c r="K25" s="223"/>
      <c r="L25" s="223"/>
      <c r="M25" s="223"/>
      <c r="N25" s="223"/>
      <c r="O25" s="223"/>
      <c r="P25" s="224"/>
    </row>
    <row r="26" spans="1:16" ht="20.25" x14ac:dyDescent="0.3">
      <c r="A26" s="222"/>
      <c r="B26" s="228" t="s">
        <v>473</v>
      </c>
      <c r="C26" s="223"/>
      <c r="D26" s="223"/>
      <c r="E26" s="223"/>
      <c r="F26" s="223"/>
      <c r="G26" s="223"/>
      <c r="H26" s="223"/>
      <c r="I26" s="223"/>
      <c r="J26" s="223"/>
      <c r="K26" s="223"/>
      <c r="L26" s="223"/>
      <c r="M26" s="223"/>
      <c r="N26" s="223"/>
      <c r="O26" s="223"/>
      <c r="P26" s="224"/>
    </row>
    <row r="27" spans="1:16" x14ac:dyDescent="0.2">
      <c r="A27" s="222"/>
      <c r="B27" s="237" t="s">
        <v>474</v>
      </c>
      <c r="C27" s="223"/>
      <c r="D27" s="223"/>
      <c r="E27" s="223"/>
      <c r="F27" s="223"/>
      <c r="G27" s="223"/>
      <c r="H27" s="223"/>
      <c r="I27" s="223"/>
      <c r="J27" s="223"/>
      <c r="K27" s="223"/>
      <c r="L27" s="223"/>
      <c r="M27" s="223"/>
      <c r="N27" s="223"/>
      <c r="O27" s="223"/>
      <c r="P27" s="224"/>
    </row>
    <row r="28" spans="1:16" x14ac:dyDescent="0.2">
      <c r="A28" s="222"/>
      <c r="B28" s="223" t="s">
        <v>475</v>
      </c>
      <c r="C28" s="223"/>
      <c r="D28" s="223"/>
      <c r="E28" s="223"/>
      <c r="F28" s="223"/>
      <c r="G28" s="223"/>
      <c r="H28" s="223"/>
      <c r="I28" s="223"/>
      <c r="J28" s="223"/>
      <c r="K28" s="223"/>
      <c r="L28" s="223"/>
      <c r="M28" s="223"/>
      <c r="N28" s="223"/>
      <c r="O28" s="223"/>
      <c r="P28" s="224"/>
    </row>
    <row r="29" spans="1:16" x14ac:dyDescent="0.2">
      <c r="A29" s="222"/>
      <c r="B29" s="223"/>
      <c r="C29" s="223"/>
      <c r="D29" s="223"/>
      <c r="E29" s="223"/>
      <c r="F29" s="223"/>
      <c r="G29" s="223"/>
      <c r="H29" s="223"/>
      <c r="I29" s="223"/>
      <c r="J29" s="223"/>
      <c r="K29" s="223"/>
      <c r="L29" s="223"/>
      <c r="M29" s="223"/>
      <c r="N29" s="223"/>
      <c r="O29" s="223"/>
      <c r="P29" s="224"/>
    </row>
    <row r="30" spans="1:16" x14ac:dyDescent="0.2">
      <c r="A30" s="222"/>
      <c r="B30" s="237" t="s">
        <v>476</v>
      </c>
      <c r="C30" s="223"/>
      <c r="D30" s="223"/>
      <c r="E30" s="223"/>
      <c r="F30" s="223"/>
      <c r="G30" s="223"/>
      <c r="H30" s="223"/>
      <c r="I30" s="223"/>
      <c r="J30" s="223"/>
      <c r="K30" s="223"/>
      <c r="L30" s="223"/>
      <c r="M30" s="223"/>
      <c r="N30" s="223"/>
      <c r="O30" s="223"/>
      <c r="P30" s="224"/>
    </row>
    <row r="31" spans="1:16" x14ac:dyDescent="0.2">
      <c r="A31" s="222"/>
      <c r="B31" s="223"/>
      <c r="C31" s="223"/>
      <c r="D31" s="223"/>
      <c r="E31" s="223"/>
      <c r="F31" s="223"/>
      <c r="G31" s="223"/>
      <c r="H31" s="223"/>
      <c r="I31" s="223"/>
      <c r="J31" s="223"/>
      <c r="K31" s="223"/>
      <c r="L31" s="223"/>
      <c r="M31" s="223"/>
      <c r="N31" s="223"/>
      <c r="O31" s="223"/>
      <c r="P31" s="224"/>
    </row>
    <row r="32" spans="1:16" x14ac:dyDescent="0.2">
      <c r="A32" s="222"/>
      <c r="B32" s="223" t="s">
        <v>477</v>
      </c>
      <c r="C32" s="223"/>
      <c r="D32" s="223"/>
      <c r="E32" s="223"/>
      <c r="F32" s="223"/>
      <c r="G32" s="223"/>
      <c r="H32" s="223"/>
      <c r="I32" s="223"/>
      <c r="J32" s="223"/>
      <c r="K32" s="223"/>
      <c r="L32" s="223"/>
      <c r="M32" s="223"/>
      <c r="N32" s="223"/>
      <c r="O32" s="223"/>
      <c r="P32" s="224"/>
    </row>
    <row r="33" spans="1:16" ht="13.5" thickBot="1" x14ac:dyDescent="0.25">
      <c r="A33" s="222"/>
      <c r="B33" s="237"/>
      <c r="C33" s="223"/>
      <c r="D33" s="223"/>
      <c r="E33" s="223"/>
      <c r="F33" s="223"/>
      <c r="G33" s="223"/>
      <c r="H33" s="223"/>
      <c r="I33" s="223"/>
      <c r="J33" s="223"/>
      <c r="K33" s="223"/>
      <c r="L33" s="223"/>
      <c r="M33" s="223"/>
      <c r="N33" s="223"/>
      <c r="O33" s="223"/>
      <c r="P33" s="224"/>
    </row>
    <row r="34" spans="1:16" x14ac:dyDescent="0.2">
      <c r="A34" s="222"/>
      <c r="B34" s="340" t="s">
        <v>494</v>
      </c>
      <c r="C34" s="341"/>
      <c r="D34" s="341"/>
      <c r="E34" s="341"/>
      <c r="F34" s="341"/>
      <c r="G34" s="341"/>
      <c r="H34" s="341"/>
      <c r="I34" s="341"/>
      <c r="J34" s="341"/>
      <c r="K34" s="341"/>
      <c r="L34" s="341"/>
      <c r="M34" s="342"/>
      <c r="N34" s="223"/>
      <c r="O34" s="223"/>
      <c r="P34" s="224"/>
    </row>
    <row r="35" spans="1:16" x14ac:dyDescent="0.2">
      <c r="A35" s="222"/>
      <c r="B35" s="343"/>
      <c r="C35" s="344"/>
      <c r="D35" s="344"/>
      <c r="E35" s="344"/>
      <c r="F35" s="344"/>
      <c r="G35" s="344"/>
      <c r="H35" s="344"/>
      <c r="I35" s="344"/>
      <c r="J35" s="344"/>
      <c r="K35" s="344"/>
      <c r="L35" s="344"/>
      <c r="M35" s="345"/>
      <c r="N35" s="223"/>
      <c r="O35" s="223"/>
      <c r="P35" s="224"/>
    </row>
    <row r="36" spans="1:16" x14ac:dyDescent="0.2">
      <c r="A36" s="222"/>
      <c r="B36" s="343"/>
      <c r="C36" s="344"/>
      <c r="D36" s="344"/>
      <c r="E36" s="344"/>
      <c r="F36" s="344"/>
      <c r="G36" s="344"/>
      <c r="H36" s="344"/>
      <c r="I36" s="344"/>
      <c r="J36" s="344"/>
      <c r="K36" s="344"/>
      <c r="L36" s="344"/>
      <c r="M36" s="345"/>
      <c r="N36" s="223"/>
      <c r="O36" s="223"/>
      <c r="P36" s="224"/>
    </row>
    <row r="37" spans="1:16" x14ac:dyDescent="0.2">
      <c r="A37" s="222"/>
      <c r="B37" s="343"/>
      <c r="C37" s="344"/>
      <c r="D37" s="344"/>
      <c r="E37" s="344"/>
      <c r="F37" s="344"/>
      <c r="G37" s="344"/>
      <c r="H37" s="344"/>
      <c r="I37" s="344"/>
      <c r="J37" s="344"/>
      <c r="K37" s="344"/>
      <c r="L37" s="344"/>
      <c r="M37" s="345"/>
      <c r="N37" s="223"/>
      <c r="O37" s="223"/>
      <c r="P37" s="224"/>
    </row>
    <row r="38" spans="1:16" x14ac:dyDescent="0.2">
      <c r="A38" s="222"/>
      <c r="B38" s="343"/>
      <c r="C38" s="344"/>
      <c r="D38" s="344"/>
      <c r="E38" s="344"/>
      <c r="F38" s="344"/>
      <c r="G38" s="344"/>
      <c r="H38" s="344"/>
      <c r="I38" s="344"/>
      <c r="J38" s="344"/>
      <c r="K38" s="344"/>
      <c r="L38" s="344"/>
      <c r="M38" s="345"/>
      <c r="N38" s="223"/>
      <c r="O38" s="223"/>
      <c r="P38" s="224"/>
    </row>
    <row r="39" spans="1:16" x14ac:dyDescent="0.2">
      <c r="A39" s="222"/>
      <c r="B39" s="343"/>
      <c r="C39" s="344"/>
      <c r="D39" s="344"/>
      <c r="E39" s="344"/>
      <c r="F39" s="344"/>
      <c r="G39" s="344"/>
      <c r="H39" s="344"/>
      <c r="I39" s="344"/>
      <c r="J39" s="344"/>
      <c r="K39" s="344"/>
      <c r="L39" s="344"/>
      <c r="M39" s="345"/>
      <c r="N39" s="223"/>
      <c r="O39" s="223"/>
      <c r="P39" s="224"/>
    </row>
    <row r="40" spans="1:16" x14ac:dyDescent="0.2">
      <c r="A40" s="222"/>
      <c r="B40" s="343"/>
      <c r="C40" s="344"/>
      <c r="D40" s="344"/>
      <c r="E40" s="344"/>
      <c r="F40" s="344"/>
      <c r="G40" s="344"/>
      <c r="H40" s="344"/>
      <c r="I40" s="344"/>
      <c r="J40" s="344"/>
      <c r="K40" s="344"/>
      <c r="L40" s="344"/>
      <c r="M40" s="345"/>
      <c r="N40" s="223"/>
      <c r="O40" s="223"/>
      <c r="P40" s="224"/>
    </row>
    <row r="41" spans="1:16" x14ac:dyDescent="0.2">
      <c r="A41" s="222"/>
      <c r="B41" s="343"/>
      <c r="C41" s="344"/>
      <c r="D41" s="344"/>
      <c r="E41" s="344"/>
      <c r="F41" s="344"/>
      <c r="G41" s="344"/>
      <c r="H41" s="344"/>
      <c r="I41" s="344"/>
      <c r="J41" s="344"/>
      <c r="K41" s="344"/>
      <c r="L41" s="344"/>
      <c r="M41" s="345"/>
      <c r="N41" s="223"/>
      <c r="O41" s="223"/>
      <c r="P41" s="224"/>
    </row>
    <row r="42" spans="1:16" x14ac:dyDescent="0.2">
      <c r="A42" s="222"/>
      <c r="B42" s="343"/>
      <c r="C42" s="344"/>
      <c r="D42" s="344"/>
      <c r="E42" s="344"/>
      <c r="F42" s="344"/>
      <c r="G42" s="344"/>
      <c r="H42" s="344"/>
      <c r="I42" s="344"/>
      <c r="J42" s="344"/>
      <c r="K42" s="344"/>
      <c r="L42" s="344"/>
      <c r="M42" s="345"/>
      <c r="N42" s="223"/>
      <c r="O42" s="223"/>
      <c r="P42" s="224"/>
    </row>
    <row r="43" spans="1:16" x14ac:dyDescent="0.2">
      <c r="A43" s="222"/>
      <c r="B43" s="343"/>
      <c r="C43" s="344"/>
      <c r="D43" s="344"/>
      <c r="E43" s="344"/>
      <c r="F43" s="344"/>
      <c r="G43" s="344"/>
      <c r="H43" s="344"/>
      <c r="I43" s="344"/>
      <c r="J43" s="344"/>
      <c r="K43" s="344"/>
      <c r="L43" s="344"/>
      <c r="M43" s="345"/>
      <c r="N43" s="223"/>
      <c r="O43" s="223"/>
      <c r="P43" s="224"/>
    </row>
    <row r="44" spans="1:16" x14ac:dyDescent="0.2">
      <c r="A44" s="222"/>
      <c r="B44" s="343"/>
      <c r="C44" s="344"/>
      <c r="D44" s="344"/>
      <c r="E44" s="344"/>
      <c r="F44" s="344"/>
      <c r="G44" s="344"/>
      <c r="H44" s="344"/>
      <c r="I44" s="344"/>
      <c r="J44" s="344"/>
      <c r="K44" s="344"/>
      <c r="L44" s="344"/>
      <c r="M44" s="345"/>
      <c r="N44" s="223"/>
      <c r="O44" s="223"/>
      <c r="P44" s="224"/>
    </row>
    <row r="45" spans="1:16" x14ac:dyDescent="0.2">
      <c r="A45" s="222"/>
      <c r="B45" s="343"/>
      <c r="C45" s="344"/>
      <c r="D45" s="344"/>
      <c r="E45" s="344"/>
      <c r="F45" s="344"/>
      <c r="G45" s="344"/>
      <c r="H45" s="344"/>
      <c r="I45" s="344"/>
      <c r="J45" s="344"/>
      <c r="K45" s="344"/>
      <c r="L45" s="344"/>
      <c r="M45" s="345"/>
      <c r="N45" s="223"/>
      <c r="O45" s="223"/>
      <c r="P45" s="224"/>
    </row>
    <row r="46" spans="1:16" x14ac:dyDescent="0.2">
      <c r="A46" s="222"/>
      <c r="B46" s="343"/>
      <c r="C46" s="344"/>
      <c r="D46" s="344"/>
      <c r="E46" s="344"/>
      <c r="F46" s="344"/>
      <c r="G46" s="344"/>
      <c r="H46" s="344"/>
      <c r="I46" s="344"/>
      <c r="J46" s="344"/>
      <c r="K46" s="344"/>
      <c r="L46" s="344"/>
      <c r="M46" s="345"/>
      <c r="N46" s="223"/>
      <c r="O46" s="223"/>
      <c r="P46" s="224"/>
    </row>
    <row r="47" spans="1:16" x14ac:dyDescent="0.2">
      <c r="A47" s="222"/>
      <c r="B47" s="343"/>
      <c r="C47" s="344"/>
      <c r="D47" s="344"/>
      <c r="E47" s="344"/>
      <c r="F47" s="344"/>
      <c r="G47" s="344"/>
      <c r="H47" s="344"/>
      <c r="I47" s="344"/>
      <c r="J47" s="344"/>
      <c r="K47" s="344"/>
      <c r="L47" s="344"/>
      <c r="M47" s="345"/>
      <c r="N47" s="223"/>
      <c r="O47" s="223"/>
      <c r="P47" s="224"/>
    </row>
    <row r="48" spans="1:16" x14ac:dyDescent="0.2">
      <c r="A48" s="222"/>
      <c r="B48" s="343"/>
      <c r="C48" s="344"/>
      <c r="D48" s="344"/>
      <c r="E48" s="344"/>
      <c r="F48" s="344"/>
      <c r="G48" s="344"/>
      <c r="H48" s="344"/>
      <c r="I48" s="344"/>
      <c r="J48" s="344"/>
      <c r="K48" s="344"/>
      <c r="L48" s="344"/>
      <c r="M48" s="345"/>
      <c r="N48" s="223"/>
      <c r="O48" s="223"/>
      <c r="P48" s="224"/>
    </row>
    <row r="49" spans="1:16" x14ac:dyDescent="0.2">
      <c r="A49" s="222"/>
      <c r="B49" s="343"/>
      <c r="C49" s="344"/>
      <c r="D49" s="344"/>
      <c r="E49" s="344"/>
      <c r="F49" s="344"/>
      <c r="G49" s="344"/>
      <c r="H49" s="344"/>
      <c r="I49" s="344"/>
      <c r="J49" s="344"/>
      <c r="K49" s="344"/>
      <c r="L49" s="344"/>
      <c r="M49" s="345"/>
      <c r="N49" s="223"/>
      <c r="O49" s="223"/>
      <c r="P49" s="224"/>
    </row>
    <row r="50" spans="1:16" x14ac:dyDescent="0.2">
      <c r="A50" s="222"/>
      <c r="B50" s="343"/>
      <c r="C50" s="344"/>
      <c r="D50" s="344"/>
      <c r="E50" s="344"/>
      <c r="F50" s="344"/>
      <c r="G50" s="344"/>
      <c r="H50" s="344"/>
      <c r="I50" s="344"/>
      <c r="J50" s="344"/>
      <c r="K50" s="344"/>
      <c r="L50" s="344"/>
      <c r="M50" s="345"/>
      <c r="N50" s="223"/>
      <c r="O50" s="223"/>
      <c r="P50" s="224"/>
    </row>
    <row r="51" spans="1:16" x14ac:dyDescent="0.2">
      <c r="A51" s="222"/>
      <c r="B51" s="343"/>
      <c r="C51" s="344"/>
      <c r="D51" s="344"/>
      <c r="E51" s="344"/>
      <c r="F51" s="344"/>
      <c r="G51" s="344"/>
      <c r="H51" s="344"/>
      <c r="I51" s="344"/>
      <c r="J51" s="344"/>
      <c r="K51" s="344"/>
      <c r="L51" s="344"/>
      <c r="M51" s="345"/>
      <c r="N51" s="223"/>
      <c r="O51" s="223"/>
      <c r="P51" s="224"/>
    </row>
    <row r="52" spans="1:16" x14ac:dyDescent="0.2">
      <c r="A52" s="222"/>
      <c r="B52" s="343"/>
      <c r="C52" s="344"/>
      <c r="D52" s="344"/>
      <c r="E52" s="344"/>
      <c r="F52" s="344"/>
      <c r="G52" s="344"/>
      <c r="H52" s="344"/>
      <c r="I52" s="344"/>
      <c r="J52" s="344"/>
      <c r="K52" s="344"/>
      <c r="L52" s="344"/>
      <c r="M52" s="345"/>
      <c r="N52" s="223"/>
      <c r="O52" s="223"/>
      <c r="P52" s="224"/>
    </row>
    <row r="53" spans="1:16" x14ac:dyDescent="0.2">
      <c r="A53" s="222"/>
      <c r="B53" s="343"/>
      <c r="C53" s="344"/>
      <c r="D53" s="344"/>
      <c r="E53" s="344"/>
      <c r="F53" s="344"/>
      <c r="G53" s="344"/>
      <c r="H53" s="344"/>
      <c r="I53" s="344"/>
      <c r="J53" s="344"/>
      <c r="K53" s="344"/>
      <c r="L53" s="344"/>
      <c r="M53" s="345"/>
      <c r="N53" s="223"/>
      <c r="O53" s="223"/>
      <c r="P53" s="224"/>
    </row>
    <row r="54" spans="1:16" x14ac:dyDescent="0.2">
      <c r="A54" s="222"/>
      <c r="B54" s="343"/>
      <c r="C54" s="344"/>
      <c r="D54" s="344"/>
      <c r="E54" s="344"/>
      <c r="F54" s="344"/>
      <c r="G54" s="344"/>
      <c r="H54" s="344"/>
      <c r="I54" s="344"/>
      <c r="J54" s="344"/>
      <c r="K54" s="344"/>
      <c r="L54" s="344"/>
      <c r="M54" s="345"/>
      <c r="N54" s="223"/>
      <c r="O54" s="223"/>
      <c r="P54" s="224"/>
    </row>
    <row r="55" spans="1:16" x14ac:dyDescent="0.2">
      <c r="A55" s="222"/>
      <c r="B55" s="343"/>
      <c r="C55" s="344"/>
      <c r="D55" s="344"/>
      <c r="E55" s="344"/>
      <c r="F55" s="344"/>
      <c r="G55" s="344"/>
      <c r="H55" s="344"/>
      <c r="I55" s="344"/>
      <c r="J55" s="344"/>
      <c r="K55" s="344"/>
      <c r="L55" s="344"/>
      <c r="M55" s="345"/>
      <c r="N55" s="223"/>
      <c r="O55" s="223"/>
      <c r="P55" s="224"/>
    </row>
    <row r="56" spans="1:16" x14ac:dyDescent="0.2">
      <c r="A56" s="222"/>
      <c r="B56" s="343"/>
      <c r="C56" s="344"/>
      <c r="D56" s="344"/>
      <c r="E56" s="344"/>
      <c r="F56" s="344"/>
      <c r="G56" s="344"/>
      <c r="H56" s="344"/>
      <c r="I56" s="344"/>
      <c r="J56" s="344"/>
      <c r="K56" s="344"/>
      <c r="L56" s="344"/>
      <c r="M56" s="345"/>
      <c r="N56" s="223"/>
      <c r="O56" s="223"/>
      <c r="P56" s="224"/>
    </row>
    <row r="57" spans="1:16" x14ac:dyDescent="0.2">
      <c r="A57" s="222"/>
      <c r="B57" s="343"/>
      <c r="C57" s="344"/>
      <c r="D57" s="344"/>
      <c r="E57" s="344"/>
      <c r="F57" s="344"/>
      <c r="G57" s="344"/>
      <c r="H57" s="344"/>
      <c r="I57" s="344"/>
      <c r="J57" s="344"/>
      <c r="K57" s="344"/>
      <c r="L57" s="344"/>
      <c r="M57" s="345"/>
      <c r="N57" s="223"/>
      <c r="O57" s="223"/>
      <c r="P57" s="224"/>
    </row>
    <row r="58" spans="1:16" x14ac:dyDescent="0.2">
      <c r="A58" s="222"/>
      <c r="B58" s="343"/>
      <c r="C58" s="344"/>
      <c r="D58" s="344"/>
      <c r="E58" s="344"/>
      <c r="F58" s="344"/>
      <c r="G58" s="344"/>
      <c r="H58" s="344"/>
      <c r="I58" s="344"/>
      <c r="J58" s="344"/>
      <c r="K58" s="344"/>
      <c r="L58" s="344"/>
      <c r="M58" s="345"/>
      <c r="N58" s="223"/>
      <c r="O58" s="223"/>
      <c r="P58" s="224"/>
    </row>
    <row r="59" spans="1:16" x14ac:dyDescent="0.2">
      <c r="A59" s="222"/>
      <c r="B59" s="343"/>
      <c r="C59" s="344"/>
      <c r="D59" s="344"/>
      <c r="E59" s="344"/>
      <c r="F59" s="344"/>
      <c r="G59" s="344"/>
      <c r="H59" s="344"/>
      <c r="I59" s="344"/>
      <c r="J59" s="344"/>
      <c r="K59" s="344"/>
      <c r="L59" s="344"/>
      <c r="M59" s="345"/>
      <c r="N59" s="223"/>
      <c r="O59" s="223"/>
      <c r="P59" s="224"/>
    </row>
    <row r="60" spans="1:16" x14ac:dyDescent="0.2">
      <c r="A60" s="222"/>
      <c r="B60" s="343"/>
      <c r="C60" s="344"/>
      <c r="D60" s="344"/>
      <c r="E60" s="344"/>
      <c r="F60" s="344"/>
      <c r="G60" s="344"/>
      <c r="H60" s="344"/>
      <c r="I60" s="344"/>
      <c r="J60" s="344"/>
      <c r="K60" s="344"/>
      <c r="L60" s="344"/>
      <c r="M60" s="345"/>
      <c r="N60" s="223"/>
      <c r="O60" s="223"/>
      <c r="P60" s="224"/>
    </row>
    <row r="61" spans="1:16" x14ac:dyDescent="0.2">
      <c r="A61" s="222"/>
      <c r="B61" s="343"/>
      <c r="C61" s="344"/>
      <c r="D61" s="344"/>
      <c r="E61" s="344"/>
      <c r="F61" s="344"/>
      <c r="G61" s="344"/>
      <c r="H61" s="344"/>
      <c r="I61" s="344"/>
      <c r="J61" s="344"/>
      <c r="K61" s="344"/>
      <c r="L61" s="344"/>
      <c r="M61" s="345"/>
      <c r="N61" s="223"/>
      <c r="O61" s="223"/>
      <c r="P61" s="224"/>
    </row>
    <row r="62" spans="1:16" x14ac:dyDescent="0.2">
      <c r="A62" s="222"/>
      <c r="B62" s="343"/>
      <c r="C62" s="344"/>
      <c r="D62" s="344"/>
      <c r="E62" s="344"/>
      <c r="F62" s="344"/>
      <c r="G62" s="344"/>
      <c r="H62" s="344"/>
      <c r="I62" s="344"/>
      <c r="J62" s="344"/>
      <c r="K62" s="344"/>
      <c r="L62" s="344"/>
      <c r="M62" s="345"/>
      <c r="N62" s="223"/>
      <c r="O62" s="223"/>
      <c r="P62" s="224"/>
    </row>
    <row r="63" spans="1:16" x14ac:dyDescent="0.2">
      <c r="A63" s="222"/>
      <c r="B63" s="343"/>
      <c r="C63" s="344"/>
      <c r="D63" s="344"/>
      <c r="E63" s="344"/>
      <c r="F63" s="344"/>
      <c r="G63" s="344"/>
      <c r="H63" s="344"/>
      <c r="I63" s="344"/>
      <c r="J63" s="344"/>
      <c r="K63" s="344"/>
      <c r="L63" s="344"/>
      <c r="M63" s="345"/>
      <c r="N63" s="223"/>
      <c r="O63" s="223"/>
      <c r="P63" s="224"/>
    </row>
    <row r="64" spans="1:16" x14ac:dyDescent="0.2">
      <c r="A64" s="222"/>
      <c r="B64" s="343"/>
      <c r="C64" s="344"/>
      <c r="D64" s="344"/>
      <c r="E64" s="344"/>
      <c r="F64" s="344"/>
      <c r="G64" s="344"/>
      <c r="H64" s="344"/>
      <c r="I64" s="344"/>
      <c r="J64" s="344"/>
      <c r="K64" s="344"/>
      <c r="L64" s="344"/>
      <c r="M64" s="345"/>
      <c r="N64" s="223"/>
      <c r="O64" s="223"/>
      <c r="P64" s="224"/>
    </row>
    <row r="65" spans="1:16" x14ac:dyDescent="0.2">
      <c r="A65" s="222"/>
      <c r="B65" s="343"/>
      <c r="C65" s="344"/>
      <c r="D65" s="344"/>
      <c r="E65" s="344"/>
      <c r="F65" s="344"/>
      <c r="G65" s="344"/>
      <c r="H65" s="344"/>
      <c r="I65" s="344"/>
      <c r="J65" s="344"/>
      <c r="K65" s="344"/>
      <c r="L65" s="344"/>
      <c r="M65" s="345"/>
      <c r="N65" s="223"/>
      <c r="O65" s="223"/>
      <c r="P65" s="224"/>
    </row>
    <row r="66" spans="1:16" x14ac:dyDescent="0.2">
      <c r="A66" s="222"/>
      <c r="B66" s="343"/>
      <c r="C66" s="344"/>
      <c r="D66" s="344"/>
      <c r="E66" s="344"/>
      <c r="F66" s="344"/>
      <c r="G66" s="344"/>
      <c r="H66" s="344"/>
      <c r="I66" s="344"/>
      <c r="J66" s="344"/>
      <c r="K66" s="344"/>
      <c r="L66" s="344"/>
      <c r="M66" s="345"/>
      <c r="N66" s="223"/>
      <c r="O66" s="223"/>
      <c r="P66" s="224"/>
    </row>
    <row r="67" spans="1:16" x14ac:dyDescent="0.2">
      <c r="A67" s="222"/>
      <c r="B67" s="343"/>
      <c r="C67" s="344"/>
      <c r="D67" s="344"/>
      <c r="E67" s="344"/>
      <c r="F67" s="344"/>
      <c r="G67" s="344"/>
      <c r="H67" s="344"/>
      <c r="I67" s="344"/>
      <c r="J67" s="344"/>
      <c r="K67" s="344"/>
      <c r="L67" s="344"/>
      <c r="M67" s="345"/>
      <c r="N67" s="223"/>
      <c r="O67" s="223"/>
      <c r="P67" s="224"/>
    </row>
    <row r="68" spans="1:16" x14ac:dyDescent="0.2">
      <c r="A68" s="222"/>
      <c r="B68" s="343"/>
      <c r="C68" s="344"/>
      <c r="D68" s="344"/>
      <c r="E68" s="344"/>
      <c r="F68" s="344"/>
      <c r="G68" s="344"/>
      <c r="H68" s="344"/>
      <c r="I68" s="344"/>
      <c r="J68" s="344"/>
      <c r="K68" s="344"/>
      <c r="L68" s="344"/>
      <c r="M68" s="345"/>
      <c r="N68" s="223"/>
      <c r="O68" s="223"/>
      <c r="P68" s="224"/>
    </row>
    <row r="69" spans="1:16" x14ac:dyDescent="0.2">
      <c r="A69" s="222"/>
      <c r="B69" s="343"/>
      <c r="C69" s="344"/>
      <c r="D69" s="344"/>
      <c r="E69" s="344"/>
      <c r="F69" s="344"/>
      <c r="G69" s="344"/>
      <c r="H69" s="344"/>
      <c r="I69" s="344"/>
      <c r="J69" s="344"/>
      <c r="K69" s="344"/>
      <c r="L69" s="344"/>
      <c r="M69" s="345"/>
      <c r="N69" s="223"/>
      <c r="O69" s="223"/>
      <c r="P69" s="224"/>
    </row>
    <row r="70" spans="1:16" x14ac:dyDescent="0.2">
      <c r="A70" s="222"/>
      <c r="B70" s="343"/>
      <c r="C70" s="344"/>
      <c r="D70" s="344"/>
      <c r="E70" s="344"/>
      <c r="F70" s="344"/>
      <c r="G70" s="344"/>
      <c r="H70" s="344"/>
      <c r="I70" s="344"/>
      <c r="J70" s="344"/>
      <c r="K70" s="344"/>
      <c r="L70" s="344"/>
      <c r="M70" s="345"/>
      <c r="N70" s="223"/>
      <c r="O70" s="223"/>
      <c r="P70" s="224"/>
    </row>
    <row r="71" spans="1:16" x14ac:dyDescent="0.2">
      <c r="A71" s="222"/>
      <c r="B71" s="343"/>
      <c r="C71" s="344"/>
      <c r="D71" s="344"/>
      <c r="E71" s="344"/>
      <c r="F71" s="344"/>
      <c r="G71" s="344"/>
      <c r="H71" s="344"/>
      <c r="I71" s="344"/>
      <c r="J71" s="344"/>
      <c r="K71" s="344"/>
      <c r="L71" s="344"/>
      <c r="M71" s="345"/>
      <c r="N71" s="223"/>
      <c r="O71" s="223"/>
      <c r="P71" s="224"/>
    </row>
    <row r="72" spans="1:16" x14ac:dyDescent="0.2">
      <c r="A72" s="222"/>
      <c r="B72" s="343"/>
      <c r="C72" s="344"/>
      <c r="D72" s="344"/>
      <c r="E72" s="344"/>
      <c r="F72" s="344"/>
      <c r="G72" s="344"/>
      <c r="H72" s="344"/>
      <c r="I72" s="344"/>
      <c r="J72" s="344"/>
      <c r="K72" s="344"/>
      <c r="L72" s="344"/>
      <c r="M72" s="345"/>
      <c r="N72" s="223"/>
      <c r="O72" s="223"/>
      <c r="P72" s="224"/>
    </row>
    <row r="73" spans="1:16" x14ac:dyDescent="0.2">
      <c r="A73" s="222"/>
      <c r="B73" s="343"/>
      <c r="C73" s="344"/>
      <c r="D73" s="344"/>
      <c r="E73" s="344"/>
      <c r="F73" s="344"/>
      <c r="G73" s="344"/>
      <c r="H73" s="344"/>
      <c r="I73" s="344"/>
      <c r="J73" s="344"/>
      <c r="K73" s="344"/>
      <c r="L73" s="344"/>
      <c r="M73" s="345"/>
      <c r="N73" s="223"/>
      <c r="O73" s="223"/>
      <c r="P73" s="224"/>
    </row>
    <row r="74" spans="1:16" x14ac:dyDescent="0.2">
      <c r="A74" s="222"/>
      <c r="B74" s="343"/>
      <c r="C74" s="344"/>
      <c r="D74" s="344"/>
      <c r="E74" s="344"/>
      <c r="F74" s="344"/>
      <c r="G74" s="344"/>
      <c r="H74" s="344"/>
      <c r="I74" s="344"/>
      <c r="J74" s="344"/>
      <c r="K74" s="344"/>
      <c r="L74" s="344"/>
      <c r="M74" s="345"/>
      <c r="N74" s="223"/>
      <c r="O74" s="223"/>
      <c r="P74" s="224"/>
    </row>
    <row r="75" spans="1:16" x14ac:dyDescent="0.2">
      <c r="A75" s="222"/>
      <c r="B75" s="343"/>
      <c r="C75" s="344"/>
      <c r="D75" s="344"/>
      <c r="E75" s="344"/>
      <c r="F75" s="344"/>
      <c r="G75" s="344"/>
      <c r="H75" s="344"/>
      <c r="I75" s="344"/>
      <c r="J75" s="344"/>
      <c r="K75" s="344"/>
      <c r="L75" s="344"/>
      <c r="M75" s="345"/>
      <c r="N75" s="223"/>
      <c r="O75" s="223"/>
      <c r="P75" s="224"/>
    </row>
    <row r="76" spans="1:16" x14ac:dyDescent="0.2">
      <c r="A76" s="222"/>
      <c r="B76" s="343"/>
      <c r="C76" s="344"/>
      <c r="D76" s="344"/>
      <c r="E76" s="344"/>
      <c r="F76" s="344"/>
      <c r="G76" s="344"/>
      <c r="H76" s="344"/>
      <c r="I76" s="344"/>
      <c r="J76" s="344"/>
      <c r="K76" s="344"/>
      <c r="L76" s="344"/>
      <c r="M76" s="345"/>
      <c r="N76" s="223"/>
      <c r="O76" s="223"/>
      <c r="P76" s="224"/>
    </row>
    <row r="77" spans="1:16" x14ac:dyDescent="0.2">
      <c r="A77" s="222"/>
      <c r="B77" s="343"/>
      <c r="C77" s="344"/>
      <c r="D77" s="344"/>
      <c r="E77" s="344"/>
      <c r="F77" s="344"/>
      <c r="G77" s="344"/>
      <c r="H77" s="344"/>
      <c r="I77" s="344"/>
      <c r="J77" s="344"/>
      <c r="K77" s="344"/>
      <c r="L77" s="344"/>
      <c r="M77" s="345"/>
      <c r="N77" s="223"/>
      <c r="O77" s="223"/>
      <c r="P77" s="224"/>
    </row>
    <row r="78" spans="1:16" x14ac:dyDescent="0.2">
      <c r="A78" s="222"/>
      <c r="B78" s="343"/>
      <c r="C78" s="344"/>
      <c r="D78" s="344"/>
      <c r="E78" s="344"/>
      <c r="F78" s="344"/>
      <c r="G78" s="344"/>
      <c r="H78" s="344"/>
      <c r="I78" s="344"/>
      <c r="J78" s="344"/>
      <c r="K78" s="344"/>
      <c r="L78" s="344"/>
      <c r="M78" s="345"/>
      <c r="N78" s="223"/>
      <c r="O78" s="223"/>
      <c r="P78" s="224"/>
    </row>
    <row r="79" spans="1:16" x14ac:dyDescent="0.2">
      <c r="A79" s="222"/>
      <c r="B79" s="343"/>
      <c r="C79" s="344"/>
      <c r="D79" s="344"/>
      <c r="E79" s="344"/>
      <c r="F79" s="344"/>
      <c r="G79" s="344"/>
      <c r="H79" s="344"/>
      <c r="I79" s="344"/>
      <c r="J79" s="344"/>
      <c r="K79" s="344"/>
      <c r="L79" s="344"/>
      <c r="M79" s="345"/>
      <c r="N79" s="223"/>
      <c r="O79" s="223"/>
      <c r="P79" s="224"/>
    </row>
    <row r="80" spans="1:16" x14ac:dyDescent="0.2">
      <c r="A80" s="222"/>
      <c r="B80" s="343"/>
      <c r="C80" s="344"/>
      <c r="D80" s="344"/>
      <c r="E80" s="344"/>
      <c r="F80" s="344"/>
      <c r="G80" s="344"/>
      <c r="H80" s="344"/>
      <c r="I80" s="344"/>
      <c r="J80" s="344"/>
      <c r="K80" s="344"/>
      <c r="L80" s="344"/>
      <c r="M80" s="345"/>
      <c r="N80" s="223"/>
      <c r="O80" s="223"/>
      <c r="P80" s="224"/>
    </row>
    <row r="81" spans="1:16" x14ac:dyDescent="0.2">
      <c r="A81" s="222"/>
      <c r="B81" s="343"/>
      <c r="C81" s="344"/>
      <c r="D81" s="344"/>
      <c r="E81" s="344"/>
      <c r="F81" s="344"/>
      <c r="G81" s="344"/>
      <c r="H81" s="344"/>
      <c r="I81" s="344"/>
      <c r="J81" s="344"/>
      <c r="K81" s="344"/>
      <c r="L81" s="344"/>
      <c r="M81" s="345"/>
      <c r="N81" s="223"/>
      <c r="O81" s="223"/>
      <c r="P81" s="224"/>
    </row>
    <row r="82" spans="1:16" x14ac:dyDescent="0.2">
      <c r="A82" s="222"/>
      <c r="B82" s="343"/>
      <c r="C82" s="344"/>
      <c r="D82" s="344"/>
      <c r="E82" s="344"/>
      <c r="F82" s="344"/>
      <c r="G82" s="344"/>
      <c r="H82" s="344"/>
      <c r="I82" s="344"/>
      <c r="J82" s="344"/>
      <c r="K82" s="344"/>
      <c r="L82" s="344"/>
      <c r="M82" s="345"/>
      <c r="N82" s="223"/>
      <c r="O82" s="223"/>
      <c r="P82" s="224"/>
    </row>
    <row r="83" spans="1:16" x14ac:dyDescent="0.2">
      <c r="A83" s="222"/>
      <c r="B83" s="343"/>
      <c r="C83" s="344"/>
      <c r="D83" s="344"/>
      <c r="E83" s="344"/>
      <c r="F83" s="344"/>
      <c r="G83" s="344"/>
      <c r="H83" s="344"/>
      <c r="I83" s="344"/>
      <c r="J83" s="344"/>
      <c r="K83" s="344"/>
      <c r="L83" s="344"/>
      <c r="M83" s="345"/>
      <c r="N83" s="223"/>
      <c r="O83" s="223"/>
      <c r="P83" s="224"/>
    </row>
    <row r="84" spans="1:16" x14ac:dyDescent="0.2">
      <c r="A84" s="222"/>
      <c r="B84" s="343"/>
      <c r="C84" s="344"/>
      <c r="D84" s="344"/>
      <c r="E84" s="344"/>
      <c r="F84" s="344"/>
      <c r="G84" s="344"/>
      <c r="H84" s="344"/>
      <c r="I84" s="344"/>
      <c r="J84" s="344"/>
      <c r="K84" s="344"/>
      <c r="L84" s="344"/>
      <c r="M84" s="345"/>
      <c r="N84" s="223"/>
      <c r="O84" s="223"/>
      <c r="P84" s="224"/>
    </row>
    <row r="85" spans="1:16" x14ac:dyDescent="0.2">
      <c r="A85" s="222"/>
      <c r="B85" s="343"/>
      <c r="C85" s="344"/>
      <c r="D85" s="344"/>
      <c r="E85" s="344"/>
      <c r="F85" s="344"/>
      <c r="G85" s="344"/>
      <c r="H85" s="344"/>
      <c r="I85" s="344"/>
      <c r="J85" s="344"/>
      <c r="K85" s="344"/>
      <c r="L85" s="344"/>
      <c r="M85" s="345"/>
      <c r="N85" s="223"/>
      <c r="O85" s="223"/>
      <c r="P85" s="224"/>
    </row>
    <row r="86" spans="1:16" x14ac:dyDescent="0.2">
      <c r="A86" s="222"/>
      <c r="B86" s="343"/>
      <c r="C86" s="344"/>
      <c r="D86" s="344"/>
      <c r="E86" s="344"/>
      <c r="F86" s="344"/>
      <c r="G86" s="344"/>
      <c r="H86" s="344"/>
      <c r="I86" s="344"/>
      <c r="J86" s="344"/>
      <c r="K86" s="344"/>
      <c r="L86" s="344"/>
      <c r="M86" s="345"/>
      <c r="N86" s="223"/>
      <c r="O86" s="223"/>
      <c r="P86" s="224"/>
    </row>
    <row r="87" spans="1:16" x14ac:dyDescent="0.2">
      <c r="A87" s="222"/>
      <c r="B87" s="343"/>
      <c r="C87" s="344"/>
      <c r="D87" s="344"/>
      <c r="E87" s="344"/>
      <c r="F87" s="344"/>
      <c r="G87" s="344"/>
      <c r="H87" s="344"/>
      <c r="I87" s="344"/>
      <c r="J87" s="344"/>
      <c r="K87" s="344"/>
      <c r="L87" s="344"/>
      <c r="M87" s="345"/>
      <c r="N87" s="223"/>
      <c r="O87" s="223"/>
      <c r="P87" s="224"/>
    </row>
    <row r="88" spans="1:16" x14ac:dyDescent="0.2">
      <c r="A88" s="222"/>
      <c r="B88" s="343"/>
      <c r="C88" s="344"/>
      <c r="D88" s="344"/>
      <c r="E88" s="344"/>
      <c r="F88" s="344"/>
      <c r="G88" s="344"/>
      <c r="H88" s="344"/>
      <c r="I88" s="344"/>
      <c r="J88" s="344"/>
      <c r="K88" s="344"/>
      <c r="L88" s="344"/>
      <c r="M88" s="345"/>
      <c r="N88" s="223"/>
      <c r="O88" s="223"/>
      <c r="P88" s="224"/>
    </row>
    <row r="89" spans="1:16" x14ac:dyDescent="0.2">
      <c r="A89" s="222"/>
      <c r="B89" s="343"/>
      <c r="C89" s="344"/>
      <c r="D89" s="344"/>
      <c r="E89" s="344"/>
      <c r="F89" s="344"/>
      <c r="G89" s="344"/>
      <c r="H89" s="344"/>
      <c r="I89" s="344"/>
      <c r="J89" s="344"/>
      <c r="K89" s="344"/>
      <c r="L89" s="344"/>
      <c r="M89" s="345"/>
      <c r="N89" s="223"/>
      <c r="O89" s="223"/>
      <c r="P89" s="224"/>
    </row>
    <row r="90" spans="1:16" x14ac:dyDescent="0.2">
      <c r="A90" s="222"/>
      <c r="B90" s="343"/>
      <c r="C90" s="344"/>
      <c r="D90" s="344"/>
      <c r="E90" s="344"/>
      <c r="F90" s="344"/>
      <c r="G90" s="344"/>
      <c r="H90" s="344"/>
      <c r="I90" s="344"/>
      <c r="J90" s="344"/>
      <c r="K90" s="344"/>
      <c r="L90" s="344"/>
      <c r="M90" s="345"/>
      <c r="N90" s="223"/>
      <c r="O90" s="223"/>
      <c r="P90" s="224"/>
    </row>
    <row r="91" spans="1:16" x14ac:dyDescent="0.2">
      <c r="A91" s="222"/>
      <c r="B91" s="343"/>
      <c r="C91" s="344"/>
      <c r="D91" s="344"/>
      <c r="E91" s="344"/>
      <c r="F91" s="344"/>
      <c r="G91" s="344"/>
      <c r="H91" s="344"/>
      <c r="I91" s="344"/>
      <c r="J91" s="344"/>
      <c r="K91" s="344"/>
      <c r="L91" s="344"/>
      <c r="M91" s="345"/>
      <c r="N91" s="223"/>
      <c r="O91" s="223"/>
      <c r="P91" s="224"/>
    </row>
    <row r="92" spans="1:16" x14ac:dyDescent="0.2">
      <c r="A92" s="222"/>
      <c r="B92" s="343"/>
      <c r="C92" s="344"/>
      <c r="D92" s="344"/>
      <c r="E92" s="344"/>
      <c r="F92" s="344"/>
      <c r="G92" s="344"/>
      <c r="H92" s="344"/>
      <c r="I92" s="344"/>
      <c r="J92" s="344"/>
      <c r="K92" s="344"/>
      <c r="L92" s="344"/>
      <c r="M92" s="345"/>
      <c r="N92" s="223"/>
      <c r="O92" s="223"/>
      <c r="P92" s="224"/>
    </row>
    <row r="93" spans="1:16" x14ac:dyDescent="0.2">
      <c r="A93" s="222"/>
      <c r="B93" s="343"/>
      <c r="C93" s="344"/>
      <c r="D93" s="344"/>
      <c r="E93" s="344"/>
      <c r="F93" s="344"/>
      <c r="G93" s="344"/>
      <c r="H93" s="344"/>
      <c r="I93" s="344"/>
      <c r="J93" s="344"/>
      <c r="K93" s="344"/>
      <c r="L93" s="344"/>
      <c r="M93" s="345"/>
      <c r="N93" s="223"/>
      <c r="O93" s="223"/>
      <c r="P93" s="224"/>
    </row>
    <row r="94" spans="1:16" x14ac:dyDescent="0.2">
      <c r="A94" s="222"/>
      <c r="B94" s="343"/>
      <c r="C94" s="344"/>
      <c r="D94" s="344"/>
      <c r="E94" s="344"/>
      <c r="F94" s="344"/>
      <c r="G94" s="344"/>
      <c r="H94" s="344"/>
      <c r="I94" s="344"/>
      <c r="J94" s="344"/>
      <c r="K94" s="344"/>
      <c r="L94" s="344"/>
      <c r="M94" s="345"/>
      <c r="N94" s="223"/>
      <c r="O94" s="223"/>
      <c r="P94" s="224"/>
    </row>
    <row r="95" spans="1:16" x14ac:dyDescent="0.2">
      <c r="A95" s="222"/>
      <c r="B95" s="343"/>
      <c r="C95" s="344"/>
      <c r="D95" s="344"/>
      <c r="E95" s="344"/>
      <c r="F95" s="344"/>
      <c r="G95" s="344"/>
      <c r="H95" s="344"/>
      <c r="I95" s="344"/>
      <c r="J95" s="344"/>
      <c r="K95" s="344"/>
      <c r="L95" s="344"/>
      <c r="M95" s="345"/>
      <c r="N95" s="223"/>
      <c r="O95" s="223"/>
      <c r="P95" s="224"/>
    </row>
    <row r="96" spans="1:16" ht="13.5" thickBot="1" x14ac:dyDescent="0.25">
      <c r="A96" s="234"/>
      <c r="B96" s="346"/>
      <c r="C96" s="347"/>
      <c r="D96" s="347"/>
      <c r="E96" s="347"/>
      <c r="F96" s="347"/>
      <c r="G96" s="347"/>
      <c r="H96" s="347"/>
      <c r="I96" s="347"/>
      <c r="J96" s="347"/>
      <c r="K96" s="347"/>
      <c r="L96" s="347"/>
      <c r="M96" s="348"/>
      <c r="N96" s="235"/>
      <c r="O96" s="235"/>
      <c r="P96" s="236"/>
    </row>
    <row r="97" spans="1:16" ht="13.5" thickTop="1" x14ac:dyDescent="0.2">
      <c r="A97" s="218"/>
      <c r="B97" s="218"/>
      <c r="C97" s="218"/>
      <c r="D97" s="218"/>
      <c r="E97" s="218"/>
      <c r="F97" s="218"/>
      <c r="G97" s="218"/>
      <c r="H97" s="218"/>
      <c r="I97" s="218"/>
      <c r="J97" s="218"/>
      <c r="K97" s="218"/>
      <c r="L97" s="218"/>
      <c r="M97" s="218"/>
      <c r="N97" s="218"/>
      <c r="O97" s="218"/>
      <c r="P97" s="218"/>
    </row>
  </sheetData>
  <mergeCells count="3">
    <mergeCell ref="B15:I15"/>
    <mergeCell ref="B34:M96"/>
    <mergeCell ref="B14:D14"/>
  </mergeCells>
  <hyperlinks>
    <hyperlink ref="B15:I15" r:id="rId1" display="LM5069 Datasheet (See &quot;Design-In Procedure&quot;)" xr:uid="{00000000-0004-0000-0000-000000000000}"/>
    <hyperlink ref="B14" r:id="rId2"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R229"/>
  <sheetViews>
    <sheetView tabSelected="1" topLeftCell="A34" zoomScale="85" zoomScaleNormal="85" zoomScaleSheetLayoutView="100" workbookViewId="0">
      <selection activeCell="AP27" sqref="AP27"/>
    </sheetView>
  </sheetViews>
  <sheetFormatPr defaultRowHeight="12.75" x14ac:dyDescent="0.2"/>
  <cols>
    <col min="1" max="1" width="0.42578125" customWidth="1"/>
    <col min="2" max="2" width="30" customWidth="1"/>
    <col min="3" max="3" width="15.28515625" customWidth="1"/>
    <col min="4" max="4" width="16.5703125" customWidth="1"/>
    <col min="5" max="5" width="20.7109375" customWidth="1"/>
    <col min="6" max="6" width="15.7109375" customWidth="1"/>
    <col min="7" max="7" width="5.5703125" style="166" customWidth="1"/>
    <col min="8" max="8" width="9.5703125" customWidth="1"/>
    <col min="9" max="9" width="12.7109375" customWidth="1"/>
    <col min="11" max="11" width="10.28515625" customWidth="1"/>
    <col min="12" max="12" width="8.7109375" customWidth="1"/>
    <col min="13" max="13" width="9.7109375" customWidth="1"/>
    <col min="14" max="19" width="0" hidden="1" customWidth="1"/>
    <col min="20" max="20" width="2.7109375" hidden="1" customWidth="1"/>
    <col min="21" max="21" width="3" hidden="1" customWidth="1"/>
    <col min="22" max="22" width="1.28515625" hidden="1" customWidth="1"/>
    <col min="23" max="23" width="3.7109375" hidden="1" customWidth="1"/>
    <col min="24" max="38" width="0" hidden="1" customWidth="1"/>
    <col min="39" max="39" width="11.7109375" customWidth="1"/>
    <col min="40" max="40" width="6.7109375" customWidth="1"/>
    <col min="41" max="41" width="9.28515625" customWidth="1"/>
    <col min="42" max="42" width="12.28515625" customWidth="1"/>
    <col min="43" max="43" width="12" hidden="1" customWidth="1"/>
    <col min="44" max="44" width="13.42578125" customWidth="1"/>
    <col min="45" max="45" width="14.5703125" customWidth="1"/>
    <col min="46" max="46" width="14.7109375" customWidth="1"/>
    <col min="47" max="47" width="11.28515625" customWidth="1"/>
    <col min="48" max="48" width="13" customWidth="1"/>
    <col min="49" max="49" width="13.42578125" customWidth="1"/>
    <col min="50" max="50" width="14.7109375" customWidth="1"/>
    <col min="51" max="51" width="14.28515625" customWidth="1"/>
    <col min="52" max="52" width="12.7109375" customWidth="1"/>
    <col min="53" max="53" width="12.5703125" customWidth="1"/>
    <col min="54" max="54" width="9.7109375" customWidth="1"/>
    <col min="55" max="55" width="12.7109375" customWidth="1"/>
    <col min="56" max="57" width="13.7109375" customWidth="1"/>
    <col min="58" max="59" width="14.42578125" customWidth="1"/>
    <col min="60" max="60" width="15.42578125" customWidth="1"/>
    <col min="61" max="61" width="15.28515625" customWidth="1"/>
    <col min="62" max="62" width="15.7109375" customWidth="1"/>
    <col min="63" max="63" width="12.5703125" customWidth="1"/>
    <col min="64" max="64" width="16.7109375" customWidth="1"/>
    <col min="65" max="65" width="15.42578125" customWidth="1"/>
    <col min="66" max="66" width="14.5703125" customWidth="1"/>
    <col min="67" max="67" width="10" customWidth="1"/>
    <col min="68" max="68" width="6.28515625" customWidth="1"/>
    <col min="69" max="69" width="7.28515625" customWidth="1"/>
    <col min="70" max="70" width="8.28515625" customWidth="1"/>
    <col min="71" max="71" width="4.7109375" customWidth="1"/>
  </cols>
  <sheetData>
    <row r="1" spans="1:43" s="118" customFormat="1" ht="60.75" customHeight="1" x14ac:dyDescent="0.2">
      <c r="A1" s="352" t="s">
        <v>492</v>
      </c>
      <c r="B1" s="353"/>
      <c r="C1" s="353"/>
      <c r="D1" s="353"/>
      <c r="E1" s="353"/>
      <c r="F1" s="353"/>
      <c r="G1" s="353"/>
      <c r="H1" s="353"/>
      <c r="I1" s="353"/>
      <c r="J1" s="353"/>
      <c r="K1" s="353"/>
      <c r="L1" s="353"/>
      <c r="M1" s="353"/>
      <c r="N1" s="42"/>
      <c r="O1" s="42"/>
      <c r="P1" s="42"/>
      <c r="Q1" s="42"/>
      <c r="R1" s="40"/>
      <c r="S1" s="41"/>
      <c r="T1" s="39"/>
      <c r="U1" s="39"/>
      <c r="V1" s="39"/>
      <c r="W1" s="39"/>
      <c r="X1" s="39"/>
      <c r="Y1" s="39"/>
      <c r="Z1" s="39"/>
      <c r="AA1" s="39"/>
      <c r="AB1" s="39"/>
      <c r="AC1" s="39"/>
      <c r="AD1" s="39"/>
      <c r="AE1" s="39"/>
      <c r="AF1" s="39"/>
      <c r="AG1" s="39"/>
      <c r="AH1" s="39"/>
      <c r="AI1" s="39"/>
      <c r="AJ1" s="39"/>
      <c r="AK1" s="39"/>
      <c r="AL1" s="39"/>
      <c r="AM1" s="39"/>
    </row>
    <row r="2" spans="1:43" ht="15.75" x14ac:dyDescent="0.2">
      <c r="A2" s="19"/>
      <c r="B2" s="38" t="s">
        <v>110</v>
      </c>
      <c r="C2" s="19"/>
      <c r="D2" s="19"/>
      <c r="E2" s="19"/>
      <c r="F2" s="20"/>
      <c r="G2" s="20"/>
      <c r="H2" s="19"/>
      <c r="I2" s="19"/>
      <c r="J2" s="19"/>
      <c r="K2" s="19"/>
      <c r="L2" s="351"/>
      <c r="M2" s="351"/>
      <c r="N2" s="19"/>
      <c r="O2" s="19"/>
      <c r="P2" s="19"/>
      <c r="Q2" s="19"/>
      <c r="R2" s="19"/>
      <c r="S2" s="19"/>
      <c r="T2" s="19"/>
      <c r="U2" s="19"/>
      <c r="V2" s="19"/>
      <c r="W2" s="19"/>
      <c r="X2" s="19"/>
      <c r="Y2" s="19"/>
      <c r="Z2" s="19"/>
      <c r="AA2" s="19"/>
      <c r="AB2" s="19"/>
      <c r="AC2" s="19"/>
      <c r="AD2" s="19"/>
      <c r="AE2" s="19"/>
      <c r="AF2" s="19"/>
      <c r="AG2" s="19"/>
      <c r="AH2" s="19"/>
      <c r="AI2" s="19"/>
      <c r="AJ2" s="19"/>
      <c r="AK2" s="19"/>
      <c r="AL2" s="19"/>
      <c r="AM2" s="19"/>
    </row>
    <row r="3" spans="1:43" x14ac:dyDescent="0.2">
      <c r="A3" s="19"/>
      <c r="B3" s="19"/>
      <c r="C3" s="19"/>
      <c r="D3" s="19"/>
      <c r="E3" s="19"/>
      <c r="F3" s="19"/>
      <c r="G3" s="20"/>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3" x14ac:dyDescent="0.2">
      <c r="A4" s="19"/>
      <c r="B4" s="19"/>
      <c r="C4" s="19"/>
      <c r="D4" s="19"/>
      <c r="E4" s="19"/>
      <c r="F4" s="19"/>
      <c r="G4" s="20"/>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43" x14ac:dyDescent="0.2">
      <c r="A5" s="19"/>
      <c r="B5" s="19"/>
      <c r="C5" s="19"/>
      <c r="D5" s="19"/>
      <c r="E5" s="19"/>
      <c r="F5" s="19"/>
      <c r="G5" s="20"/>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43" x14ac:dyDescent="0.2">
      <c r="A6" s="19"/>
      <c r="B6" s="19"/>
      <c r="C6" s="19"/>
      <c r="D6" s="19"/>
      <c r="E6" s="19"/>
      <c r="F6" s="19"/>
      <c r="G6" s="20"/>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row>
    <row r="7" spans="1:43" x14ac:dyDescent="0.2">
      <c r="A7" s="19"/>
      <c r="B7" s="19"/>
      <c r="C7" s="19"/>
      <c r="D7" s="19"/>
      <c r="E7" s="19"/>
      <c r="F7" s="19"/>
      <c r="G7" s="20"/>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row>
    <row r="8" spans="1:43" x14ac:dyDescent="0.2">
      <c r="A8" s="19"/>
      <c r="B8" s="19"/>
      <c r="C8" s="19"/>
      <c r="D8" s="19"/>
      <c r="E8" s="19"/>
      <c r="F8" s="19"/>
      <c r="G8" s="20"/>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43" ht="15" customHeight="1" x14ac:dyDescent="0.2">
      <c r="A9" s="19"/>
      <c r="B9" s="24"/>
      <c r="C9" s="212"/>
      <c r="D9" s="204" t="s">
        <v>402</v>
      </c>
      <c r="E9" s="110"/>
      <c r="F9" s="19"/>
      <c r="G9" s="20"/>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row>
    <row r="10" spans="1:43" ht="15" customHeight="1" x14ac:dyDescent="0.2">
      <c r="A10" s="19"/>
      <c r="B10" s="25"/>
      <c r="C10" s="21"/>
      <c r="D10" s="19" t="s">
        <v>109</v>
      </c>
      <c r="E10" s="111"/>
      <c r="F10" s="19"/>
      <c r="G10" s="20"/>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row>
    <row r="11" spans="1:43" ht="22.9" customHeight="1" x14ac:dyDescent="0.2">
      <c r="A11" s="19"/>
      <c r="B11" s="25"/>
      <c r="C11" s="217"/>
      <c r="D11" s="354" t="s">
        <v>460</v>
      </c>
      <c r="E11" s="355"/>
      <c r="F11" s="19"/>
      <c r="G11" s="20"/>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row>
    <row r="12" spans="1:43" ht="21.6" customHeight="1" x14ac:dyDescent="0.2">
      <c r="A12" s="19"/>
      <c r="B12" s="25"/>
      <c r="C12" s="216"/>
      <c r="D12" s="354"/>
      <c r="E12" s="355"/>
      <c r="F12" s="19"/>
      <c r="G12" s="20"/>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row>
    <row r="13" spans="1:43" ht="15" customHeight="1" thickBot="1" x14ac:dyDescent="0.25">
      <c r="A13" s="19"/>
      <c r="B13" s="19"/>
      <c r="C13" s="19"/>
      <c r="D13" s="19"/>
      <c r="E13" s="19"/>
      <c r="F13" s="31"/>
      <c r="G13" s="20"/>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row>
    <row r="14" spans="1:43" ht="15" customHeight="1" x14ac:dyDescent="0.25">
      <c r="A14" s="19"/>
      <c r="B14" s="316" t="s">
        <v>509</v>
      </c>
      <c r="C14" s="327"/>
      <c r="D14" s="356" t="s">
        <v>510</v>
      </c>
      <c r="E14" s="356"/>
      <c r="F14" s="356"/>
      <c r="G14" s="356"/>
      <c r="H14" s="324"/>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14"/>
    </row>
    <row r="15" spans="1:43" ht="15" customHeight="1" x14ac:dyDescent="0.25">
      <c r="A15" s="19"/>
      <c r="B15" s="317"/>
      <c r="C15" s="326"/>
      <c r="D15" s="357"/>
      <c r="E15" s="357"/>
      <c r="F15" s="357"/>
      <c r="G15" s="357"/>
      <c r="H15" s="325"/>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12"/>
    </row>
    <row r="16" spans="1:43" ht="15" customHeight="1" x14ac:dyDescent="0.2">
      <c r="A16" s="19"/>
      <c r="B16" s="366"/>
      <c r="C16" s="318"/>
      <c r="D16" s="360" t="s">
        <v>511</v>
      </c>
      <c r="E16" s="360"/>
      <c r="F16" s="360"/>
      <c r="G16" s="360"/>
      <c r="H16" s="360"/>
      <c r="I16" s="360"/>
      <c r="J16" s="321"/>
      <c r="K16" s="315"/>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12"/>
      <c r="AQ16" s="33" t="s">
        <v>211</v>
      </c>
    </row>
    <row r="17" spans="1:43" ht="15" customHeight="1" x14ac:dyDescent="0.2">
      <c r="A17" s="19"/>
      <c r="B17" s="366"/>
      <c r="C17" s="318"/>
      <c r="D17" s="360" t="s">
        <v>512</v>
      </c>
      <c r="E17" s="360"/>
      <c r="F17" s="360"/>
      <c r="G17" s="360"/>
      <c r="H17" s="360"/>
      <c r="I17" s="360"/>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12"/>
      <c r="AQ17" s="33" t="s">
        <v>209</v>
      </c>
    </row>
    <row r="18" spans="1:43" ht="15" customHeight="1" x14ac:dyDescent="0.2">
      <c r="A18" s="19"/>
      <c r="B18" s="366"/>
      <c r="C18" s="318"/>
      <c r="D18" s="360" t="s">
        <v>513</v>
      </c>
      <c r="E18" s="360"/>
      <c r="F18" s="360"/>
      <c r="G18" s="360"/>
      <c r="H18" s="360"/>
      <c r="I18" s="360"/>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12"/>
    </row>
    <row r="19" spans="1:43" ht="15" customHeight="1" x14ac:dyDescent="0.2">
      <c r="A19" s="19"/>
      <c r="B19" s="366"/>
      <c r="C19" s="318"/>
      <c r="D19" s="360" t="s">
        <v>514</v>
      </c>
      <c r="E19" s="360"/>
      <c r="F19" s="360"/>
      <c r="G19" s="360"/>
      <c r="H19" s="360"/>
      <c r="I19" s="360"/>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12"/>
    </row>
    <row r="20" spans="1:43" ht="15" customHeight="1" x14ac:dyDescent="0.2">
      <c r="A20" s="19"/>
      <c r="B20" s="322"/>
      <c r="C20" s="318"/>
      <c r="D20" s="338" t="s">
        <v>518</v>
      </c>
      <c r="E20" s="336"/>
      <c r="F20" s="337"/>
      <c r="G20" s="337"/>
      <c r="H20" s="337"/>
      <c r="I20" s="337"/>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12"/>
    </row>
    <row r="21" spans="1:43" ht="15" customHeight="1" thickBot="1" x14ac:dyDescent="0.25">
      <c r="A21" s="19"/>
      <c r="B21" s="309"/>
      <c r="C21" s="306"/>
      <c r="D21" s="306"/>
      <c r="E21" s="307"/>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12"/>
    </row>
    <row r="22" spans="1:43" ht="31.5" customHeight="1" thickBot="1" x14ac:dyDescent="0.25">
      <c r="A22" s="19"/>
      <c r="B22" s="309"/>
      <c r="C22" s="306"/>
      <c r="D22" s="367" t="s">
        <v>515</v>
      </c>
      <c r="E22" s="368"/>
      <c r="F22" s="369"/>
      <c r="G22" s="329" t="s">
        <v>211</v>
      </c>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12"/>
    </row>
    <row r="23" spans="1:43" ht="28.15" customHeight="1" thickBot="1" x14ac:dyDescent="0.3">
      <c r="A23" s="19"/>
      <c r="B23" s="309"/>
      <c r="C23" s="306"/>
      <c r="D23" s="363" t="s">
        <v>516</v>
      </c>
      <c r="E23" s="364"/>
      <c r="F23" s="365"/>
      <c r="G23" s="330" t="s">
        <v>211</v>
      </c>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12"/>
    </row>
    <row r="24" spans="1:43" ht="10.5" customHeight="1" x14ac:dyDescent="0.2">
      <c r="A24" s="19"/>
      <c r="B24" s="309"/>
      <c r="C24" s="306"/>
      <c r="D24" s="370" t="s">
        <v>517</v>
      </c>
      <c r="E24" s="370"/>
      <c r="F24" s="370"/>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12"/>
    </row>
    <row r="25" spans="1:43" ht="15" customHeight="1" x14ac:dyDescent="0.2">
      <c r="A25" s="19"/>
      <c r="B25" s="309"/>
      <c r="C25" s="306"/>
      <c r="D25" s="370"/>
      <c r="E25" s="370"/>
      <c r="F25" s="370"/>
      <c r="G25" s="323"/>
      <c r="H25" s="306"/>
      <c r="I25" s="306"/>
      <c r="J25" s="315"/>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12"/>
    </row>
    <row r="26" spans="1:43" ht="15" customHeight="1" thickBot="1" x14ac:dyDescent="0.25">
      <c r="A26" s="19"/>
      <c r="B26" s="310"/>
      <c r="C26" s="311"/>
      <c r="D26" s="328"/>
      <c r="E26" s="328"/>
      <c r="F26" s="328"/>
      <c r="G26" s="319"/>
      <c r="H26" s="311"/>
      <c r="I26" s="311"/>
      <c r="J26" s="320"/>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3"/>
    </row>
    <row r="27" spans="1:43" ht="15" customHeight="1" x14ac:dyDescent="0.25">
      <c r="A27" s="19"/>
      <c r="B27" s="150" t="s">
        <v>162</v>
      </c>
      <c r="C27" s="83"/>
      <c r="D27" s="83"/>
      <c r="E27" s="84" t="s">
        <v>121</v>
      </c>
      <c r="F27" s="201">
        <v>11.5</v>
      </c>
      <c r="G27" s="177" t="s">
        <v>92</v>
      </c>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119"/>
    </row>
    <row r="28" spans="1:43" ht="15" customHeight="1" x14ac:dyDescent="0.25">
      <c r="A28" s="19"/>
      <c r="B28" s="85"/>
      <c r="C28" s="23"/>
      <c r="D28" s="23"/>
      <c r="E28" s="67" t="s">
        <v>132</v>
      </c>
      <c r="F28" s="202">
        <v>12</v>
      </c>
      <c r="G28" s="178" t="s">
        <v>92</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98"/>
    </row>
    <row r="29" spans="1:43" ht="15" customHeight="1" x14ac:dyDescent="0.2">
      <c r="A29" s="19"/>
      <c r="B29" s="86"/>
      <c r="C29" s="23"/>
      <c r="D29" s="23"/>
      <c r="E29" s="67" t="s">
        <v>122</v>
      </c>
      <c r="F29" s="202">
        <v>12.5</v>
      </c>
      <c r="G29" s="178" t="s">
        <v>92</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98"/>
    </row>
    <row r="30" spans="1:43" ht="15" customHeight="1" x14ac:dyDescent="0.2">
      <c r="A30" s="19"/>
      <c r="B30" s="86"/>
      <c r="C30" s="23"/>
      <c r="D30" s="23"/>
      <c r="E30" s="67" t="s">
        <v>134</v>
      </c>
      <c r="F30" s="202">
        <v>60</v>
      </c>
      <c r="G30" s="178" t="s">
        <v>28</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98"/>
    </row>
    <row r="31" spans="1:43" ht="15" customHeight="1" x14ac:dyDescent="0.2">
      <c r="A31" s="19"/>
      <c r="B31" s="86"/>
      <c r="C31" s="23"/>
      <c r="D31" s="23"/>
      <c r="E31" s="67" t="s">
        <v>256</v>
      </c>
      <c r="F31" s="202">
        <v>1000</v>
      </c>
      <c r="G31" s="179" t="s">
        <v>89</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98"/>
    </row>
    <row r="32" spans="1:43" ht="15" customHeight="1" x14ac:dyDescent="0.2">
      <c r="A32" s="19"/>
      <c r="B32" s="86"/>
      <c r="C32" s="23"/>
      <c r="D32" s="23"/>
      <c r="E32" s="67" t="s">
        <v>133</v>
      </c>
      <c r="F32" s="331">
        <v>55</v>
      </c>
      <c r="G32" s="178" t="s">
        <v>138</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98"/>
    </row>
    <row r="33" spans="1:40" ht="15" customHeight="1" x14ac:dyDescent="0.2">
      <c r="A33" s="19"/>
      <c r="B33" s="371" t="s">
        <v>519</v>
      </c>
      <c r="C33" s="23"/>
      <c r="D33" s="23"/>
      <c r="E33" s="67"/>
      <c r="F33" s="331"/>
      <c r="G33" s="178"/>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98"/>
    </row>
    <row r="34" spans="1:40" ht="15" customHeight="1" x14ac:dyDescent="0.2">
      <c r="A34" s="19"/>
      <c r="B34" s="371"/>
      <c r="C34" s="23"/>
      <c r="D34" s="23"/>
      <c r="E34" s="67"/>
      <c r="F34" s="331"/>
      <c r="G34" s="178"/>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98"/>
    </row>
    <row r="35" spans="1:40" ht="15" customHeight="1" x14ac:dyDescent="0.2">
      <c r="A35" s="19"/>
      <c r="B35" s="86"/>
      <c r="C35" s="23"/>
      <c r="D35" s="23"/>
      <c r="E35" s="67"/>
      <c r="F35" s="331"/>
      <c r="G35" s="178"/>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98"/>
    </row>
    <row r="36" spans="1:40" ht="15" customHeight="1" thickBot="1" x14ac:dyDescent="0.25">
      <c r="A36" s="19"/>
      <c r="B36" s="87"/>
      <c r="C36" s="88"/>
      <c r="D36" s="88"/>
      <c r="E36" s="89"/>
      <c r="F36" s="203"/>
      <c r="G36" s="180"/>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102"/>
    </row>
    <row r="37" spans="1:40" ht="15" customHeight="1" x14ac:dyDescent="0.25">
      <c r="A37" s="19"/>
      <c r="B37" s="150" t="s">
        <v>247</v>
      </c>
      <c r="C37" s="132"/>
      <c r="D37" s="83"/>
      <c r="E37" s="84" t="s">
        <v>294</v>
      </c>
      <c r="F37" s="205" t="s">
        <v>88</v>
      </c>
      <c r="G37" s="181"/>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119"/>
      <c r="AN37" s="33" t="s">
        <v>88</v>
      </c>
    </row>
    <row r="38" spans="1:40" ht="15" customHeight="1" x14ac:dyDescent="0.2">
      <c r="A38" s="19"/>
      <c r="B38" s="90"/>
      <c r="C38" s="23"/>
      <c r="D38" s="23"/>
      <c r="E38" s="67" t="s">
        <v>296</v>
      </c>
      <c r="F38" s="62">
        <f>Equations!F20</f>
        <v>0.37953795379537952</v>
      </c>
      <c r="G38" s="178" t="s">
        <v>91</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98"/>
      <c r="AN38" s="33" t="s">
        <v>364</v>
      </c>
    </row>
    <row r="39" spans="1:40" ht="15" customHeight="1" x14ac:dyDescent="0.2">
      <c r="A39" s="19"/>
      <c r="B39" s="86"/>
      <c r="C39" s="23"/>
      <c r="D39" s="23"/>
      <c r="E39" s="67" t="s">
        <v>214</v>
      </c>
      <c r="F39" s="206" t="s">
        <v>209</v>
      </c>
      <c r="G39" s="178"/>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98"/>
      <c r="AN39" s="33" t="s">
        <v>211</v>
      </c>
    </row>
    <row r="40" spans="1:40" ht="15" customHeight="1" x14ac:dyDescent="0.2">
      <c r="A40" s="19"/>
      <c r="B40" s="86"/>
      <c r="C40" s="23"/>
      <c r="D40" s="23"/>
      <c r="E40" s="67" t="s">
        <v>115</v>
      </c>
      <c r="F40" s="207">
        <v>0.33</v>
      </c>
      <c r="G40" s="178" t="s">
        <v>91</v>
      </c>
      <c r="H40" s="120"/>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98"/>
      <c r="AN40" s="33" t="s">
        <v>209</v>
      </c>
    </row>
    <row r="41" spans="1:40" ht="15" customHeight="1" x14ac:dyDescent="0.2">
      <c r="A41" s="19"/>
      <c r="B41" s="86"/>
      <c r="C41" s="23"/>
      <c r="D41" s="23"/>
      <c r="E41" s="67" t="s">
        <v>217</v>
      </c>
      <c r="F41" s="95" t="str">
        <f>Equations!F21</f>
        <v>NA</v>
      </c>
      <c r="G41" s="182" t="s">
        <v>93</v>
      </c>
      <c r="H41" s="21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98"/>
    </row>
    <row r="42" spans="1:40" ht="15" customHeight="1" x14ac:dyDescent="0.2">
      <c r="A42" s="19"/>
      <c r="B42" s="86"/>
      <c r="C42" s="23"/>
      <c r="D42" s="23"/>
      <c r="E42" s="67" t="s">
        <v>218</v>
      </c>
      <c r="F42" s="94" t="str">
        <f>Equations!F22</f>
        <v>NA</v>
      </c>
      <c r="G42" s="182" t="s">
        <v>93</v>
      </c>
      <c r="H42" s="21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98"/>
    </row>
    <row r="43" spans="1:40" ht="15" customHeight="1" x14ac:dyDescent="0.2">
      <c r="A43" s="19"/>
      <c r="B43" s="372" t="s">
        <v>519</v>
      </c>
      <c r="C43" s="23"/>
      <c r="D43" s="23"/>
      <c r="E43" s="67" t="s">
        <v>219</v>
      </c>
      <c r="F43" s="206">
        <v>10</v>
      </c>
      <c r="G43" s="182" t="s">
        <v>93</v>
      </c>
      <c r="H43" s="213"/>
      <c r="I43" s="23"/>
      <c r="J43" s="120"/>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98"/>
      <c r="AN43" t="b">
        <f>AND(F39="No")</f>
        <v>1</v>
      </c>
    </row>
    <row r="44" spans="1:40" ht="15" customHeight="1" x14ac:dyDescent="0.2">
      <c r="A44" s="19"/>
      <c r="B44" s="372"/>
      <c r="C44" s="23"/>
      <c r="D44" s="23"/>
      <c r="E44" s="67" t="s">
        <v>220</v>
      </c>
      <c r="F44" s="206">
        <v>2.2000000000000002</v>
      </c>
      <c r="G44" s="182" t="s">
        <v>93</v>
      </c>
      <c r="H44" s="21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98"/>
    </row>
    <row r="45" spans="1:40" ht="15" customHeight="1" x14ac:dyDescent="0.2">
      <c r="A45" s="19"/>
      <c r="B45" s="372"/>
      <c r="C45" s="23"/>
      <c r="D45" s="23"/>
      <c r="E45" s="67" t="s">
        <v>295</v>
      </c>
      <c r="F45" s="94">
        <f>RsEFF</f>
        <v>0.33</v>
      </c>
      <c r="G45" s="178" t="s">
        <v>91</v>
      </c>
      <c r="H45" s="21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98"/>
    </row>
    <row r="46" spans="1:40" ht="15" customHeight="1" x14ac:dyDescent="0.2">
      <c r="A46" s="19"/>
      <c r="B46" s="86"/>
      <c r="C46" s="23"/>
      <c r="D46" s="113"/>
      <c r="E46" s="114" t="s">
        <v>105</v>
      </c>
      <c r="F46" s="65">
        <f>CLMIN</f>
        <v>69.696969696969688</v>
      </c>
      <c r="G46" s="178" t="s">
        <v>28</v>
      </c>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98"/>
    </row>
    <row r="47" spans="1:40" ht="15" customHeight="1" x14ac:dyDescent="0.2">
      <c r="A47" s="19"/>
      <c r="B47" s="86"/>
      <c r="C47" s="23"/>
      <c r="D47" s="115"/>
      <c r="E47" s="116" t="s">
        <v>106</v>
      </c>
      <c r="F47" s="65">
        <f>CLNOM</f>
        <v>75.757575757575751</v>
      </c>
      <c r="G47" s="178" t="s">
        <v>28</v>
      </c>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98"/>
    </row>
    <row r="48" spans="1:40" ht="15" customHeight="1" x14ac:dyDescent="0.2">
      <c r="A48" s="19"/>
      <c r="B48" s="86"/>
      <c r="C48" s="23"/>
      <c r="D48" s="147"/>
      <c r="E48" s="148" t="s">
        <v>107</v>
      </c>
      <c r="F48" s="65">
        <f>CLMAX</f>
        <v>81.818181818181813</v>
      </c>
      <c r="G48" s="178" t="s">
        <v>28</v>
      </c>
      <c r="H48" s="23"/>
      <c r="I48" s="9"/>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98"/>
      <c r="AN48" s="33" t="s">
        <v>273</v>
      </c>
    </row>
    <row r="49" spans="1:44" ht="15" customHeight="1" x14ac:dyDescent="0.2">
      <c r="A49" s="19"/>
      <c r="B49" s="86"/>
      <c r="C49" s="23"/>
      <c r="D49" s="23"/>
      <c r="E49" s="67" t="s">
        <v>123</v>
      </c>
      <c r="F49" s="48">
        <f>Equations!F27/1000</f>
        <v>2.209090909090909</v>
      </c>
      <c r="G49" s="178" t="s">
        <v>93</v>
      </c>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98"/>
      <c r="AN49" s="33" t="s">
        <v>274</v>
      </c>
    </row>
    <row r="50" spans="1:44" ht="15" customHeight="1" x14ac:dyDescent="0.2">
      <c r="A50" s="19"/>
      <c r="B50" s="86"/>
      <c r="C50" s="23"/>
      <c r="D50" s="23"/>
      <c r="E50" s="67" t="s">
        <v>272</v>
      </c>
      <c r="F50" s="299" t="s">
        <v>273</v>
      </c>
      <c r="G50" s="178"/>
      <c r="H50" s="120"/>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98"/>
      <c r="AN50" s="33" t="s">
        <v>251</v>
      </c>
    </row>
    <row r="51" spans="1:44" ht="15" customHeight="1" thickBot="1" x14ac:dyDescent="0.25">
      <c r="A51" s="19"/>
      <c r="B51" s="87"/>
      <c r="C51" s="88"/>
      <c r="D51" s="88"/>
      <c r="E51" s="129" t="s">
        <v>248</v>
      </c>
      <c r="F51" s="300" t="s">
        <v>251</v>
      </c>
      <c r="G51" s="180"/>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102"/>
      <c r="AN51" s="33" t="s">
        <v>250</v>
      </c>
    </row>
    <row r="52" spans="1:44" ht="15" x14ac:dyDescent="0.25">
      <c r="A52" s="19"/>
      <c r="B52" s="150" t="s">
        <v>135</v>
      </c>
      <c r="C52" s="83"/>
      <c r="D52" s="83"/>
      <c r="E52" s="91" t="s">
        <v>480</v>
      </c>
      <c r="F52" s="205" t="s">
        <v>522</v>
      </c>
      <c r="G52" s="1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119"/>
    </row>
    <row r="53" spans="1:44" ht="15.75" x14ac:dyDescent="0.3">
      <c r="A53" s="19"/>
      <c r="B53" s="86"/>
      <c r="C53" s="23"/>
      <c r="D53" s="23"/>
      <c r="E53" s="37" t="s">
        <v>291</v>
      </c>
      <c r="F53" s="242">
        <v>20</v>
      </c>
      <c r="G53" s="178" t="s">
        <v>139</v>
      </c>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98"/>
      <c r="AN53">
        <f>((((TJMAX-TAMB)/ThetaJA)/(CLMAX^2))*1000)*NUMFETS^2</f>
        <v>0.70956790123456792</v>
      </c>
      <c r="AO53">
        <f>((TJMAX-TAMB)/ThetaJA)</f>
        <v>4.75</v>
      </c>
    </row>
    <row r="54" spans="1:44" x14ac:dyDescent="0.2">
      <c r="A54" s="19"/>
      <c r="B54" s="86"/>
      <c r="C54" s="23"/>
      <c r="D54" s="23"/>
      <c r="E54" s="37" t="s">
        <v>136</v>
      </c>
      <c r="F54" s="207">
        <v>1</v>
      </c>
      <c r="G54" s="178" t="s">
        <v>137</v>
      </c>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98"/>
      <c r="AN54" s="27" t="s">
        <v>292</v>
      </c>
    </row>
    <row r="55" spans="1:44" ht="15.75" x14ac:dyDescent="0.3">
      <c r="A55" s="19"/>
      <c r="B55" s="86"/>
      <c r="C55" s="23"/>
      <c r="D55" s="23"/>
      <c r="E55" s="37" t="s">
        <v>298</v>
      </c>
      <c r="F55" s="207">
        <v>1</v>
      </c>
      <c r="G55" s="178" t="s">
        <v>91</v>
      </c>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98"/>
      <c r="AN55" s="33">
        <f>F55</f>
        <v>1</v>
      </c>
    </row>
    <row r="56" spans="1:44" ht="14.25" x14ac:dyDescent="0.2">
      <c r="A56" s="19"/>
      <c r="B56" s="86"/>
      <c r="C56" s="23"/>
      <c r="D56" s="23"/>
      <c r="E56" s="37" t="s">
        <v>140</v>
      </c>
      <c r="F56" s="207">
        <v>150</v>
      </c>
      <c r="G56" s="178" t="s">
        <v>201</v>
      </c>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98"/>
      <c r="AN56" s="33">
        <f t="shared" ref="AN56:AN61" si="0">F56</f>
        <v>150</v>
      </c>
    </row>
    <row r="57" spans="1:44" ht="15.75" x14ac:dyDescent="0.3">
      <c r="A57" s="19"/>
      <c r="B57" s="332"/>
      <c r="C57" s="23"/>
      <c r="D57" s="23"/>
      <c r="E57" s="37" t="s">
        <v>411</v>
      </c>
      <c r="F57" s="208">
        <v>90</v>
      </c>
      <c r="G57" s="178" t="s">
        <v>28</v>
      </c>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98"/>
      <c r="AN57" s="33">
        <f t="shared" si="0"/>
        <v>90</v>
      </c>
    </row>
    <row r="58" spans="1:44" ht="15.75" x14ac:dyDescent="0.3">
      <c r="A58" s="19"/>
      <c r="B58" s="332"/>
      <c r="C58" s="23"/>
      <c r="D58" s="23"/>
      <c r="E58" s="37" t="s">
        <v>412</v>
      </c>
      <c r="F58" s="208">
        <v>30</v>
      </c>
      <c r="G58" s="178" t="s">
        <v>28</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98"/>
      <c r="AN58" s="33">
        <f t="shared" si="0"/>
        <v>30</v>
      </c>
    </row>
    <row r="59" spans="1:44" ht="15.75" x14ac:dyDescent="0.3">
      <c r="A59" s="19"/>
      <c r="B59" s="335" t="s">
        <v>135</v>
      </c>
      <c r="C59" s="23"/>
      <c r="D59" s="23"/>
      <c r="E59" s="37" t="s">
        <v>413</v>
      </c>
      <c r="F59" s="208">
        <v>12</v>
      </c>
      <c r="G59" s="178" t="s">
        <v>28</v>
      </c>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98"/>
      <c r="AN59" s="33">
        <f t="shared" si="0"/>
        <v>12</v>
      </c>
      <c r="AR59" s="350"/>
    </row>
    <row r="60" spans="1:44" ht="15.75" x14ac:dyDescent="0.3">
      <c r="A60" s="19"/>
      <c r="B60" s="332"/>
      <c r="C60" s="23"/>
      <c r="D60" s="23"/>
      <c r="E60" s="37" t="s">
        <v>414</v>
      </c>
      <c r="F60" s="208">
        <v>4</v>
      </c>
      <c r="G60" s="178" t="s">
        <v>28</v>
      </c>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98"/>
      <c r="AN60" s="33">
        <f t="shared" si="0"/>
        <v>4</v>
      </c>
      <c r="AR60" s="350"/>
    </row>
    <row r="61" spans="1:44" ht="15.75" x14ac:dyDescent="0.3">
      <c r="A61" s="19"/>
      <c r="B61" s="332"/>
      <c r="C61" s="23"/>
      <c r="D61" s="23"/>
      <c r="E61" s="37" t="s">
        <v>415</v>
      </c>
      <c r="F61" s="208">
        <v>1.5</v>
      </c>
      <c r="G61" s="178" t="s">
        <v>28</v>
      </c>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98"/>
      <c r="AN61" s="33">
        <f t="shared" si="0"/>
        <v>1.5</v>
      </c>
      <c r="AR61" s="350"/>
    </row>
    <row r="62" spans="1:44" ht="15" customHeight="1" x14ac:dyDescent="0.2">
      <c r="A62" s="19"/>
      <c r="B62" s="350" t="s">
        <v>479</v>
      </c>
      <c r="C62" s="23"/>
      <c r="D62" s="23"/>
      <c r="E62" s="37" t="s">
        <v>359</v>
      </c>
      <c r="F62" s="171">
        <v>1</v>
      </c>
      <c r="G62" s="178" t="s">
        <v>93</v>
      </c>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98"/>
      <c r="AR62" s="350"/>
    </row>
    <row r="63" spans="1:44" ht="15" customHeight="1" x14ac:dyDescent="0.3">
      <c r="A63" s="19"/>
      <c r="B63" s="350"/>
      <c r="C63" s="23"/>
      <c r="D63" s="23"/>
      <c r="E63" s="37" t="s">
        <v>297</v>
      </c>
      <c r="F63" s="171">
        <f>TAMB+(FETPDISS*ThetaJA)</f>
        <v>75</v>
      </c>
      <c r="G63" s="178" t="s">
        <v>138</v>
      </c>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98"/>
      <c r="AR63" s="350"/>
    </row>
    <row r="64" spans="1:44" ht="15" customHeight="1" x14ac:dyDescent="0.2">
      <c r="A64" s="19"/>
      <c r="B64" s="350"/>
      <c r="C64" s="23"/>
      <c r="D64" s="23"/>
      <c r="E64" s="67" t="s">
        <v>501</v>
      </c>
      <c r="F64" s="171">
        <f>Equations!F38</f>
        <v>151.51515151515153</v>
      </c>
      <c r="G64" s="178" t="s">
        <v>93</v>
      </c>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98"/>
      <c r="AR64" s="350"/>
    </row>
    <row r="65" spans="1:44" ht="15" customHeight="1" x14ac:dyDescent="0.2">
      <c r="A65" s="19"/>
      <c r="B65" s="350"/>
      <c r="C65" s="23"/>
      <c r="D65" s="23"/>
      <c r="E65" s="67" t="s">
        <v>315</v>
      </c>
      <c r="F65" s="208">
        <v>112</v>
      </c>
      <c r="G65" s="178" t="s">
        <v>93</v>
      </c>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98"/>
      <c r="AR65" s="350"/>
    </row>
    <row r="66" spans="1:44" ht="15" customHeight="1" x14ac:dyDescent="0.2">
      <c r="A66" s="19"/>
      <c r="B66" s="350"/>
      <c r="C66" s="23"/>
      <c r="D66" s="23"/>
      <c r="E66" s="67" t="s">
        <v>316</v>
      </c>
      <c r="F66" s="146">
        <f>Equations!F40</f>
        <v>2.0777400000000004</v>
      </c>
      <c r="G66" s="184" t="s">
        <v>90</v>
      </c>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98"/>
    </row>
    <row r="67" spans="1:44" ht="15" customHeight="1" x14ac:dyDescent="0.2">
      <c r="A67" s="19"/>
      <c r="B67" s="350"/>
      <c r="C67" s="23"/>
      <c r="D67" s="23"/>
      <c r="E67" s="67" t="s">
        <v>319</v>
      </c>
      <c r="F67" s="207">
        <v>5.23</v>
      </c>
      <c r="G67" s="184" t="s">
        <v>90</v>
      </c>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98"/>
      <c r="AO67" s="128" t="s">
        <v>523</v>
      </c>
    </row>
    <row r="68" spans="1:44" ht="24" customHeight="1" thickBot="1" x14ac:dyDescent="0.25">
      <c r="A68" s="19"/>
      <c r="B68" s="350"/>
      <c r="C68" s="23"/>
      <c r="D68" s="23"/>
      <c r="E68" s="67" t="s">
        <v>322</v>
      </c>
      <c r="F68" s="146">
        <f>Equations!F42</f>
        <v>161.23867541393315</v>
      </c>
      <c r="G68" s="178" t="s">
        <v>93</v>
      </c>
      <c r="H68" s="23"/>
      <c r="I68" s="358" t="s">
        <v>520</v>
      </c>
      <c r="J68" s="359"/>
      <c r="K68" s="359"/>
      <c r="L68" s="359"/>
      <c r="M68" s="359"/>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98"/>
    </row>
    <row r="69" spans="1:44" ht="15" x14ac:dyDescent="0.25">
      <c r="A69" s="19"/>
      <c r="B69" s="150" t="s">
        <v>146</v>
      </c>
      <c r="C69" s="83"/>
      <c r="D69" s="83"/>
      <c r="E69" s="91" t="s">
        <v>204</v>
      </c>
      <c r="F69" s="209">
        <v>0</v>
      </c>
      <c r="G69" s="183" t="s">
        <v>92</v>
      </c>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119"/>
      <c r="AN69" s="33"/>
    </row>
    <row r="70" spans="1:44" x14ac:dyDescent="0.2">
      <c r="A70" s="19"/>
      <c r="B70" s="92"/>
      <c r="C70" s="23"/>
      <c r="D70" s="23"/>
      <c r="E70" s="37" t="s">
        <v>147</v>
      </c>
      <c r="F70" s="207" t="s">
        <v>149</v>
      </c>
      <c r="G70" s="179"/>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98"/>
      <c r="AN70" s="33"/>
    </row>
    <row r="71" spans="1:44" x14ac:dyDescent="0.2">
      <c r="A71" s="19"/>
      <c r="B71" s="86"/>
      <c r="C71" s="23"/>
      <c r="D71" s="23"/>
      <c r="E71" s="37" t="s">
        <v>148</v>
      </c>
      <c r="F71" s="207">
        <v>0</v>
      </c>
      <c r="G71" s="179" t="str">
        <f>IF(F70="Constant Current","A","Ohms")</f>
        <v>A</v>
      </c>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98"/>
      <c r="AN71" t="s">
        <v>149</v>
      </c>
    </row>
    <row r="72" spans="1:44" x14ac:dyDescent="0.2">
      <c r="A72" s="19"/>
      <c r="B72" s="86"/>
      <c r="C72" s="23"/>
      <c r="D72" s="23"/>
      <c r="E72" s="67" t="s">
        <v>210</v>
      </c>
      <c r="F72" s="206" t="s">
        <v>211</v>
      </c>
      <c r="G72" s="179"/>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98"/>
      <c r="AN72" t="s">
        <v>150</v>
      </c>
    </row>
    <row r="73" spans="1:44" x14ac:dyDescent="0.2">
      <c r="A73" s="19"/>
      <c r="B73" s="86"/>
      <c r="C73" s="23"/>
      <c r="D73" s="23"/>
      <c r="E73" s="37" t="s">
        <v>338</v>
      </c>
      <c r="F73" s="56">
        <f>Start_up!M2</f>
        <v>56.818181818181792</v>
      </c>
      <c r="G73" s="178" t="s">
        <v>8</v>
      </c>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98"/>
      <c r="AN73" s="33"/>
    </row>
    <row r="74" spans="1:44" x14ac:dyDescent="0.2">
      <c r="A74" s="19"/>
      <c r="B74" s="86"/>
      <c r="C74" s="23"/>
      <c r="D74" s="23"/>
      <c r="E74" s="37" t="s">
        <v>345</v>
      </c>
      <c r="F74" s="167">
        <f>Start_up!O2</f>
        <v>1</v>
      </c>
      <c r="G74" s="178"/>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98"/>
      <c r="AN74" s="33"/>
    </row>
    <row r="75" spans="1:44" ht="13.15" customHeight="1" x14ac:dyDescent="0.2">
      <c r="A75" s="19"/>
      <c r="B75" s="92"/>
      <c r="C75" s="23"/>
      <c r="D75" s="109"/>
      <c r="E75" s="174" t="s">
        <v>339</v>
      </c>
      <c r="F75" s="56">
        <f>Equations!F55</f>
        <v>99.43181818181813</v>
      </c>
      <c r="G75" s="179" t="s">
        <v>8</v>
      </c>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98"/>
    </row>
    <row r="76" spans="1:44" ht="12.6" customHeight="1" x14ac:dyDescent="0.2">
      <c r="A76" s="19"/>
      <c r="B76" s="86"/>
      <c r="C76" s="23"/>
      <c r="D76" s="109"/>
      <c r="E76" s="175" t="s">
        <v>343</v>
      </c>
      <c r="F76" s="56">
        <f>Equations!F56</f>
        <v>5264.0374331550775</v>
      </c>
      <c r="G76" s="178" t="s">
        <v>131</v>
      </c>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98"/>
    </row>
    <row r="77" spans="1:44" ht="15" customHeight="1" x14ac:dyDescent="0.2">
      <c r="A77" s="19"/>
      <c r="B77" s="86"/>
      <c r="C77" s="23"/>
      <c r="D77" s="109"/>
      <c r="E77" s="175" t="s">
        <v>346</v>
      </c>
      <c r="F77" s="207">
        <v>120</v>
      </c>
      <c r="G77" s="178" t="s">
        <v>131</v>
      </c>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98"/>
    </row>
    <row r="78" spans="1:44" ht="15" customHeight="1" x14ac:dyDescent="0.2">
      <c r="A78" s="19"/>
      <c r="B78" s="334" t="s">
        <v>146</v>
      </c>
      <c r="C78" s="23"/>
      <c r="D78" s="109"/>
      <c r="E78" s="175" t="s">
        <v>399</v>
      </c>
      <c r="F78" s="56">
        <f>Equations!F58</f>
        <v>2.2666666666666666</v>
      </c>
      <c r="G78" s="178" t="s">
        <v>8</v>
      </c>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98"/>
    </row>
    <row r="79" spans="1:44" ht="15" customHeight="1" x14ac:dyDescent="0.2">
      <c r="A79" s="19"/>
      <c r="B79" s="86"/>
      <c r="C79" s="23"/>
      <c r="D79" s="109"/>
      <c r="E79" s="175" t="s">
        <v>354</v>
      </c>
      <c r="F79" s="56">
        <f>Equations!F59</f>
        <v>2.1216486344388841</v>
      </c>
      <c r="G79" s="178"/>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98"/>
    </row>
    <row r="80" spans="1:44" ht="15" customHeight="1" x14ac:dyDescent="0.2">
      <c r="A80" s="19"/>
      <c r="B80" s="86"/>
      <c r="C80" s="23"/>
      <c r="D80" s="109"/>
      <c r="E80" s="175" t="s">
        <v>404</v>
      </c>
      <c r="F80" s="206" t="s">
        <v>211</v>
      </c>
      <c r="G80" s="178"/>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98"/>
    </row>
    <row r="81" spans="1:40" ht="15" customHeight="1" x14ac:dyDescent="0.2">
      <c r="A81" s="19"/>
      <c r="B81" s="86"/>
      <c r="C81" s="23"/>
      <c r="D81" s="109"/>
      <c r="E81" s="175" t="s">
        <v>409</v>
      </c>
      <c r="F81" s="56">
        <f>dv_dt_recommendations!J28</f>
        <v>13.662394164676858</v>
      </c>
      <c r="G81" s="178" t="s">
        <v>362</v>
      </c>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98"/>
    </row>
    <row r="82" spans="1:40" ht="15" customHeight="1" x14ac:dyDescent="0.2">
      <c r="A82" s="19"/>
      <c r="B82" s="86"/>
      <c r="C82" s="23"/>
      <c r="D82" s="109"/>
      <c r="E82" s="175" t="s">
        <v>410</v>
      </c>
      <c r="F82" s="56">
        <f>dv_dt_recommendations!J29</f>
        <v>5.2699401826768279E-2</v>
      </c>
      <c r="G82" s="178" t="s">
        <v>362</v>
      </c>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98"/>
    </row>
    <row r="83" spans="1:40" ht="15" customHeight="1" x14ac:dyDescent="0.2">
      <c r="A83" s="19"/>
      <c r="B83" s="361" t="s">
        <v>493</v>
      </c>
      <c r="C83" s="362"/>
      <c r="D83" s="109"/>
      <c r="E83" s="34" t="s">
        <v>396</v>
      </c>
      <c r="F83" s="207">
        <v>0.25</v>
      </c>
      <c r="G83" s="178" t="s">
        <v>362</v>
      </c>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98"/>
    </row>
    <row r="84" spans="1:40" ht="15" customHeight="1" x14ac:dyDescent="0.2">
      <c r="A84" s="19"/>
      <c r="B84" s="361"/>
      <c r="C84" s="362"/>
      <c r="D84" s="109"/>
      <c r="E84" s="34" t="s">
        <v>386</v>
      </c>
      <c r="F84" s="56">
        <f>Equations!F63</f>
        <v>88</v>
      </c>
      <c r="G84" s="176" t="s">
        <v>131</v>
      </c>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98"/>
    </row>
    <row r="85" spans="1:40" ht="15" customHeight="1" x14ac:dyDescent="0.2">
      <c r="A85" s="19"/>
      <c r="B85" s="361"/>
      <c r="C85" s="362"/>
      <c r="D85" s="109"/>
      <c r="E85" s="34" t="s">
        <v>387</v>
      </c>
      <c r="F85" s="207">
        <v>100</v>
      </c>
      <c r="G85" s="178" t="s">
        <v>131</v>
      </c>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98"/>
    </row>
    <row r="86" spans="1:40" ht="15" customHeight="1" x14ac:dyDescent="0.2">
      <c r="A86" s="19"/>
      <c r="B86" s="361"/>
      <c r="C86" s="362"/>
      <c r="D86" s="109"/>
      <c r="E86" s="34" t="s">
        <v>397</v>
      </c>
      <c r="F86" s="56">
        <f>Equations!F65</f>
        <v>0.22</v>
      </c>
      <c r="G86" s="178" t="s">
        <v>362</v>
      </c>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98"/>
    </row>
    <row r="87" spans="1:40" ht="16.899999999999999" customHeight="1" x14ac:dyDescent="0.2">
      <c r="A87" s="19"/>
      <c r="B87" s="361"/>
      <c r="C87" s="362"/>
      <c r="D87" s="109"/>
      <c r="E87" s="34" t="s">
        <v>392</v>
      </c>
      <c r="F87" s="56">
        <f>Equations!F72</f>
        <v>19.978263537717176</v>
      </c>
      <c r="G87" s="178"/>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98"/>
    </row>
    <row r="88" spans="1:40" ht="16.899999999999999" customHeight="1" x14ac:dyDescent="0.2">
      <c r="A88" s="19"/>
      <c r="B88" s="86"/>
      <c r="C88" s="23"/>
      <c r="D88" s="109"/>
      <c r="E88" s="34" t="s">
        <v>389</v>
      </c>
      <c r="F88" s="207">
        <v>0.4</v>
      </c>
      <c r="G88" s="178" t="s">
        <v>8</v>
      </c>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98"/>
    </row>
    <row r="89" spans="1:40" ht="16.899999999999999" customHeight="1" x14ac:dyDescent="0.2">
      <c r="A89" s="19"/>
      <c r="B89" s="86"/>
      <c r="C89" s="23"/>
      <c r="D89" s="109"/>
      <c r="E89" s="34" t="s">
        <v>390</v>
      </c>
      <c r="F89" s="56">
        <f>Equations!F77</f>
        <v>21.176470588235297</v>
      </c>
      <c r="G89" s="178" t="s">
        <v>131</v>
      </c>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98"/>
    </row>
    <row r="90" spans="1:40" ht="16.899999999999999" customHeight="1" x14ac:dyDescent="0.3">
      <c r="A90" s="19"/>
      <c r="B90" s="86"/>
      <c r="C90" s="23"/>
      <c r="D90" s="109"/>
      <c r="E90" s="198" t="s">
        <v>461</v>
      </c>
      <c r="F90" s="207">
        <v>22</v>
      </c>
      <c r="G90" s="178" t="s">
        <v>131</v>
      </c>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98"/>
    </row>
    <row r="91" spans="1:40" ht="15" customHeight="1" x14ac:dyDescent="0.2">
      <c r="A91" s="19"/>
      <c r="B91" s="86"/>
      <c r="C91" s="23"/>
      <c r="D91" s="109"/>
      <c r="E91" s="175" t="s">
        <v>395</v>
      </c>
      <c r="F91" s="56">
        <f>Equations!F79</f>
        <v>0.41555555555555557</v>
      </c>
      <c r="G91" s="178" t="s">
        <v>8</v>
      </c>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103" t="s">
        <v>293</v>
      </c>
    </row>
    <row r="92" spans="1:40" ht="15" customHeight="1" x14ac:dyDescent="0.2">
      <c r="A92" s="19"/>
      <c r="B92" s="86"/>
      <c r="C92" s="23"/>
      <c r="D92" s="109"/>
      <c r="E92" s="175" t="s">
        <v>400</v>
      </c>
      <c r="F92" s="56">
        <f>Equations!F81</f>
        <v>2.1216486344388841</v>
      </c>
      <c r="G92" s="179"/>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103"/>
    </row>
    <row r="93" spans="1:40" ht="14.65" customHeight="1" x14ac:dyDescent="0.2">
      <c r="A93" s="19"/>
      <c r="B93" s="86"/>
      <c r="C93" s="23"/>
      <c r="D93" s="109"/>
      <c r="E93" s="174" t="s">
        <v>213</v>
      </c>
      <c r="F93" s="63">
        <f>Equations!F108</f>
        <v>6.8</v>
      </c>
      <c r="G93" s="179" t="s">
        <v>8</v>
      </c>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98"/>
    </row>
    <row r="94" spans="1:40" ht="15" customHeight="1" thickBot="1" x14ac:dyDescent="0.25">
      <c r="A94" s="19"/>
      <c r="B94" s="86"/>
      <c r="C94" s="23"/>
      <c r="D94" s="109"/>
      <c r="E94" s="174" t="s">
        <v>97</v>
      </c>
      <c r="F94" s="56">
        <f>Equations!F111</f>
        <v>50.69777777777778</v>
      </c>
      <c r="G94" s="178" t="s">
        <v>8</v>
      </c>
      <c r="H94" s="120"/>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98"/>
    </row>
    <row r="95" spans="1:40" ht="15" customHeight="1" x14ac:dyDescent="0.25">
      <c r="A95" s="19"/>
      <c r="B95" s="150" t="s">
        <v>228</v>
      </c>
      <c r="C95" s="132"/>
      <c r="D95" s="83"/>
      <c r="E95" s="97" t="s">
        <v>24</v>
      </c>
      <c r="F95" s="209" t="s">
        <v>23</v>
      </c>
      <c r="G95" s="185"/>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119"/>
      <c r="AN95" s="33" t="s">
        <v>22</v>
      </c>
    </row>
    <row r="96" spans="1:40" ht="15" customHeight="1" x14ac:dyDescent="0.2">
      <c r="A96" s="19"/>
      <c r="B96" s="86"/>
      <c r="C96" s="23"/>
      <c r="D96" s="23"/>
      <c r="E96" s="67" t="s">
        <v>98</v>
      </c>
      <c r="F96" s="210">
        <v>10</v>
      </c>
      <c r="G96" s="186" t="s">
        <v>92</v>
      </c>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98"/>
      <c r="AN96" s="33" t="s">
        <v>23</v>
      </c>
    </row>
    <row r="97" spans="1:39" ht="15" customHeight="1" x14ac:dyDescent="0.2">
      <c r="A97" s="19"/>
      <c r="B97" s="86"/>
      <c r="C97" s="23"/>
      <c r="D97" s="23"/>
      <c r="E97" s="67" t="s">
        <v>99</v>
      </c>
      <c r="F97" s="210">
        <v>9</v>
      </c>
      <c r="G97" s="186" t="s">
        <v>92</v>
      </c>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98"/>
    </row>
    <row r="98" spans="1:39" ht="15" customHeight="1" x14ac:dyDescent="0.2">
      <c r="A98" s="19"/>
      <c r="B98" s="86"/>
      <c r="C98" s="23"/>
      <c r="D98" s="23"/>
      <c r="E98" s="67" t="s">
        <v>108</v>
      </c>
      <c r="F98" s="210">
        <v>15</v>
      </c>
      <c r="G98" s="186" t="s">
        <v>92</v>
      </c>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98"/>
    </row>
    <row r="99" spans="1:39" ht="15" customHeight="1" x14ac:dyDescent="0.2">
      <c r="A99" s="19"/>
      <c r="B99" s="86"/>
      <c r="C99" s="23"/>
      <c r="D99" s="23"/>
      <c r="E99" s="108" t="s">
        <v>100</v>
      </c>
      <c r="F99" s="149">
        <v>14</v>
      </c>
      <c r="G99" s="186" t="s">
        <v>92</v>
      </c>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98"/>
    </row>
    <row r="100" spans="1:39" ht="15" customHeight="1" x14ac:dyDescent="0.2">
      <c r="A100" s="19"/>
      <c r="B100" s="86"/>
      <c r="C100" s="23"/>
      <c r="D100" s="23"/>
      <c r="E100" s="107" t="s">
        <v>289</v>
      </c>
      <c r="F100" s="61">
        <f>IF(F95="Option A",Equations!F129,Equations!G129)</f>
        <v>43.478260869565219</v>
      </c>
      <c r="G100" s="187" t="s">
        <v>90</v>
      </c>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98"/>
    </row>
    <row r="101" spans="1:39" ht="15" customHeight="1" x14ac:dyDescent="0.2">
      <c r="A101" s="19"/>
      <c r="B101" s="86"/>
      <c r="C101" s="23"/>
      <c r="D101" s="23"/>
      <c r="E101" s="106" t="s">
        <v>25</v>
      </c>
      <c r="F101" s="61">
        <f>IF(F95="Option A",Equations!F130,Equations!G130)</f>
        <v>6.4330079858030169</v>
      </c>
      <c r="G101" s="187" t="s">
        <v>90</v>
      </c>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98"/>
    </row>
    <row r="102" spans="1:39" ht="15" customHeight="1" x14ac:dyDescent="0.2">
      <c r="A102" s="19"/>
      <c r="B102" s="333" t="s">
        <v>228</v>
      </c>
      <c r="C102" s="23"/>
      <c r="D102" s="23"/>
      <c r="E102" s="106" t="s">
        <v>26</v>
      </c>
      <c r="F102" s="61">
        <f>IF(F95="Option A",Equations!F131,Equations!G131)</f>
        <v>43.478260869565219</v>
      </c>
      <c r="G102" s="187" t="s">
        <v>90</v>
      </c>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98"/>
    </row>
    <row r="103" spans="1:39" ht="15" customHeight="1" x14ac:dyDescent="0.2">
      <c r="A103" s="19"/>
      <c r="B103" s="86"/>
      <c r="C103" s="23"/>
      <c r="D103" s="23"/>
      <c r="E103" s="106" t="s">
        <v>27</v>
      </c>
      <c r="F103" s="61">
        <f>IF(F95="Option A",Equations!F132,Equations!G132)</f>
        <v>3.6441316913797435</v>
      </c>
      <c r="G103" s="186" t="s">
        <v>90</v>
      </c>
      <c r="H103" s="23"/>
      <c r="I103" s="23"/>
      <c r="J103" s="101"/>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98"/>
    </row>
    <row r="104" spans="1:39" ht="15" customHeight="1" x14ac:dyDescent="0.2">
      <c r="A104" s="19"/>
      <c r="B104" s="86"/>
      <c r="C104" s="23"/>
      <c r="D104" s="23"/>
      <c r="E104" s="67" t="s">
        <v>111</v>
      </c>
      <c r="F104" s="210">
        <v>43.2</v>
      </c>
      <c r="G104" s="187" t="s">
        <v>90</v>
      </c>
      <c r="H104" s="23"/>
      <c r="I104" s="23"/>
      <c r="J104" s="101"/>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98"/>
    </row>
    <row r="105" spans="1:39" ht="15" customHeight="1" x14ac:dyDescent="0.2">
      <c r="A105" s="19"/>
      <c r="B105" s="86"/>
      <c r="C105" s="23"/>
      <c r="D105" s="23"/>
      <c r="E105" s="67" t="s">
        <v>112</v>
      </c>
      <c r="F105" s="210">
        <v>6.49</v>
      </c>
      <c r="G105" s="187" t="s">
        <v>90</v>
      </c>
      <c r="H105" s="23"/>
      <c r="I105" s="23"/>
      <c r="J105" s="101"/>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98"/>
    </row>
    <row r="106" spans="1:39" ht="15" customHeight="1" x14ac:dyDescent="0.2">
      <c r="A106" s="19"/>
      <c r="B106" s="86"/>
      <c r="C106" s="23"/>
      <c r="D106" s="23"/>
      <c r="E106" s="67" t="s">
        <v>113</v>
      </c>
      <c r="F106" s="210">
        <v>43.2</v>
      </c>
      <c r="G106" s="187" t="s">
        <v>90</v>
      </c>
      <c r="H106" s="23"/>
      <c r="I106" s="23"/>
      <c r="J106" s="101"/>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98"/>
    </row>
    <row r="107" spans="1:39" ht="15" customHeight="1" x14ac:dyDescent="0.2">
      <c r="A107" s="19"/>
      <c r="B107" s="86"/>
      <c r="C107" s="23"/>
      <c r="D107" s="23"/>
      <c r="E107" s="67" t="s">
        <v>114</v>
      </c>
      <c r="F107" s="149">
        <v>3.65</v>
      </c>
      <c r="G107" s="187" t="s">
        <v>90</v>
      </c>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98"/>
    </row>
    <row r="108" spans="1:39" ht="15" customHeight="1" x14ac:dyDescent="0.2">
      <c r="A108" s="19"/>
      <c r="B108" s="86"/>
      <c r="C108" s="23"/>
      <c r="D108" s="23"/>
      <c r="E108" s="23"/>
      <c r="F108" s="23"/>
      <c r="G108" s="188"/>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98"/>
    </row>
    <row r="109" spans="1:39" ht="15" customHeight="1" thickBot="1" x14ac:dyDescent="0.25">
      <c r="A109" s="19"/>
      <c r="B109" s="86"/>
      <c r="C109" s="99" t="s">
        <v>57</v>
      </c>
      <c r="D109" s="100" t="s">
        <v>38</v>
      </c>
      <c r="E109" s="100" t="s">
        <v>39</v>
      </c>
      <c r="F109" s="100" t="s">
        <v>40</v>
      </c>
      <c r="G109" s="188"/>
      <c r="H109" s="109"/>
      <c r="I109" s="109"/>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98"/>
    </row>
    <row r="110" spans="1:39" ht="15" customHeight="1" x14ac:dyDescent="0.2">
      <c r="A110" s="19"/>
      <c r="B110" s="86"/>
      <c r="C110" s="37" t="s">
        <v>101</v>
      </c>
      <c r="D110" s="52">
        <f>IF($F$95="Option A",Equations!F133,Equations!G133)</f>
        <v>9.5594844375963017</v>
      </c>
      <c r="E110" s="53">
        <f>IF($F$95="Option A",Equations!F134,Equations!G134)</f>
        <v>9.8750175654853614</v>
      </c>
      <c r="F110" s="54">
        <f>IF($F$95="Option A",Equations!F135,Equations!G135)</f>
        <v>10.190550693374423</v>
      </c>
      <c r="G110" s="186" t="s">
        <v>92</v>
      </c>
      <c r="H110" s="109"/>
      <c r="I110" s="109"/>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98"/>
    </row>
    <row r="111" spans="1:39" ht="15" customHeight="1" x14ac:dyDescent="0.2">
      <c r="A111" s="19"/>
      <c r="B111" s="86"/>
      <c r="C111" s="37" t="s">
        <v>102</v>
      </c>
      <c r="D111" s="55">
        <f>IF($F$95="Option A",Equations!F136,Equations!G136)</f>
        <v>8.7818844375963039</v>
      </c>
      <c r="E111" s="56">
        <f>IF($F$95="Option A",Equations!F137,Equations!G137)</f>
        <v>8.8814175654853624</v>
      </c>
      <c r="F111" s="57">
        <f>IF($F$95="Option A",Equations!F138,Equations!G138)</f>
        <v>8.9809506933744228</v>
      </c>
      <c r="G111" s="186" t="s">
        <v>92</v>
      </c>
      <c r="H111" s="109"/>
      <c r="I111" s="109"/>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98"/>
    </row>
    <row r="112" spans="1:39" ht="15" customHeight="1" x14ac:dyDescent="0.2">
      <c r="A112" s="19"/>
      <c r="B112" s="86"/>
      <c r="C112" s="37" t="s">
        <v>103</v>
      </c>
      <c r="D112" s="55">
        <f>IF($F$95="Option A",Equations!F139,Equations!G139)</f>
        <v>14.645438356164385</v>
      </c>
      <c r="E112" s="56">
        <f>IF($F$95="Option A",Equations!F140,Equations!G140)</f>
        <v>14.889315068493151</v>
      </c>
      <c r="F112" s="57">
        <f>IF($F$95="Option A",Equations!F141,Equations!G141)</f>
        <v>15.210205479452057</v>
      </c>
      <c r="G112" s="186" t="s">
        <v>92</v>
      </c>
      <c r="H112" s="109"/>
      <c r="I112" s="109"/>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98"/>
    </row>
    <row r="113" spans="1:39" ht="15" customHeight="1" thickBot="1" x14ac:dyDescent="0.25">
      <c r="A113" s="19"/>
      <c r="B113" s="86"/>
      <c r="C113" s="37" t="s">
        <v>104</v>
      </c>
      <c r="D113" s="58">
        <f>IF($F$95="Option A",Equations!F142,Equations!G142)</f>
        <v>13.435838356164384</v>
      </c>
      <c r="E113" s="59">
        <f>IF($F$95="Option A",Equations!F143,Equations!G143)</f>
        <v>13.89571506849315</v>
      </c>
      <c r="F113" s="60">
        <f>IF($F$95="Option A",Equations!F144,Equations!G144)</f>
        <v>14.432605479452056</v>
      </c>
      <c r="G113" s="186" t="s">
        <v>92</v>
      </c>
      <c r="H113" s="109"/>
      <c r="I113" s="109"/>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98"/>
    </row>
    <row r="114" spans="1:39" ht="15" customHeight="1" x14ac:dyDescent="0.2">
      <c r="A114" s="19"/>
      <c r="B114" s="86"/>
      <c r="C114" s="101" t="s">
        <v>224</v>
      </c>
      <c r="D114" s="9"/>
      <c r="E114" s="23"/>
      <c r="F114" s="23"/>
      <c r="G114" s="188"/>
      <c r="H114" s="109"/>
      <c r="I114" s="109"/>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98"/>
    </row>
    <row r="115" spans="1:39" ht="15" customHeight="1" x14ac:dyDescent="0.3">
      <c r="A115" s="19"/>
      <c r="B115" s="85"/>
      <c r="C115" s="23"/>
      <c r="D115" s="23"/>
      <c r="E115" s="37" t="s">
        <v>125</v>
      </c>
      <c r="F115" s="211">
        <v>10</v>
      </c>
      <c r="G115" s="189" t="s">
        <v>90</v>
      </c>
      <c r="H115" s="23"/>
      <c r="I115" s="9"/>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98"/>
    </row>
    <row r="116" spans="1:39" ht="15" customHeight="1" x14ac:dyDescent="0.2">
      <c r="A116" s="19"/>
      <c r="B116" s="86"/>
      <c r="C116" s="23"/>
      <c r="D116" s="23"/>
      <c r="E116" s="37" t="s">
        <v>126</v>
      </c>
      <c r="F116" s="211">
        <v>9</v>
      </c>
      <c r="G116" s="190" t="s">
        <v>92</v>
      </c>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98"/>
    </row>
    <row r="117" spans="1:39" ht="15" customHeight="1" x14ac:dyDescent="0.2">
      <c r="A117" s="19"/>
      <c r="B117" s="86"/>
      <c r="C117" s="23"/>
      <c r="D117" s="23"/>
      <c r="E117" s="37" t="s">
        <v>127</v>
      </c>
      <c r="F117" s="211">
        <v>0.3</v>
      </c>
      <c r="G117" s="190" t="s">
        <v>92</v>
      </c>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98"/>
    </row>
    <row r="118" spans="1:39" ht="15" customHeight="1" x14ac:dyDescent="0.3">
      <c r="A118" s="19"/>
      <c r="B118" s="86"/>
      <c r="C118" s="23"/>
      <c r="D118" s="23"/>
      <c r="E118" s="112" t="s">
        <v>290</v>
      </c>
      <c r="F118" s="64">
        <f>F117/('Device Parmaters'!D52/1000)</f>
        <v>12.5</v>
      </c>
      <c r="G118" s="189" t="s">
        <v>90</v>
      </c>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98"/>
    </row>
    <row r="119" spans="1:39" ht="15" customHeight="1" x14ac:dyDescent="0.3">
      <c r="A119" s="19"/>
      <c r="B119" s="86"/>
      <c r="C119" s="23"/>
      <c r="D119" s="23"/>
      <c r="E119" s="112" t="s">
        <v>116</v>
      </c>
      <c r="F119" s="130">
        <f>F118*'Device Parmaters'!D51/(F116-'Device Parmaters'!D51)</f>
        <v>1.862313289927231</v>
      </c>
      <c r="G119" s="189" t="s">
        <v>90</v>
      </c>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98"/>
    </row>
    <row r="120" spans="1:39" ht="15" customHeight="1" x14ac:dyDescent="0.3">
      <c r="A120" s="19"/>
      <c r="B120" s="86"/>
      <c r="C120" s="23"/>
      <c r="D120" s="23"/>
      <c r="E120" s="37" t="s">
        <v>249</v>
      </c>
      <c r="F120" s="211">
        <v>10</v>
      </c>
      <c r="G120" s="189" t="s">
        <v>90</v>
      </c>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98"/>
    </row>
    <row r="121" spans="1:39" ht="15" customHeight="1" x14ac:dyDescent="0.3">
      <c r="A121" s="19"/>
      <c r="B121" s="86"/>
      <c r="C121" s="23"/>
      <c r="D121" s="23"/>
      <c r="E121" s="112" t="s">
        <v>116</v>
      </c>
      <c r="F121" s="211">
        <v>1.5</v>
      </c>
      <c r="G121" s="189" t="s">
        <v>90</v>
      </c>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98"/>
    </row>
    <row r="122" spans="1:39" ht="15" customHeight="1" x14ac:dyDescent="0.2">
      <c r="A122" s="19"/>
      <c r="B122" s="86"/>
      <c r="C122" s="23"/>
      <c r="D122" s="23"/>
      <c r="E122" s="112" t="s">
        <v>259</v>
      </c>
      <c r="F122" s="134">
        <f>Equations!F114</f>
        <v>8.947000000000001</v>
      </c>
      <c r="G122" s="190" t="s">
        <v>92</v>
      </c>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98"/>
    </row>
    <row r="123" spans="1:39" ht="15" customHeight="1" thickBot="1" x14ac:dyDescent="0.25">
      <c r="A123" s="19"/>
      <c r="B123" s="86"/>
      <c r="C123" s="88"/>
      <c r="D123" s="88"/>
      <c r="E123" s="112" t="s">
        <v>260</v>
      </c>
      <c r="F123" s="134">
        <f>Equations!F117</f>
        <v>240</v>
      </c>
      <c r="G123" s="190" t="s">
        <v>184</v>
      </c>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102"/>
    </row>
    <row r="124" spans="1:39" ht="18.75" customHeight="1" x14ac:dyDescent="0.25">
      <c r="A124" s="19"/>
      <c r="B124" s="150" t="s">
        <v>233</v>
      </c>
      <c r="C124" s="83"/>
      <c r="D124" s="83"/>
      <c r="E124" s="121" t="s">
        <v>120</v>
      </c>
      <c r="F124" s="96">
        <f>Rs</f>
        <v>0.33</v>
      </c>
      <c r="G124" s="191" t="s">
        <v>91</v>
      </c>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119"/>
    </row>
    <row r="125" spans="1:39" ht="15" customHeight="1" x14ac:dyDescent="0.25">
      <c r="A125" s="19"/>
      <c r="B125" s="85"/>
      <c r="C125" s="23"/>
      <c r="D125" s="23"/>
      <c r="E125" s="104" t="s">
        <v>231</v>
      </c>
      <c r="F125" s="105" t="str">
        <f>IF(RsMAX&gt;Rs,"Open",RDIV1)</f>
        <v>Open</v>
      </c>
      <c r="G125" s="192" t="s">
        <v>93</v>
      </c>
      <c r="H125" s="23"/>
      <c r="I125" s="23"/>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51"/>
    </row>
    <row r="126" spans="1:39" ht="14.25" customHeight="1" thickBot="1" x14ac:dyDescent="0.3">
      <c r="A126" s="19"/>
      <c r="B126" s="85"/>
      <c r="C126" s="23"/>
      <c r="D126" s="23"/>
      <c r="E126" s="104" t="s">
        <v>232</v>
      </c>
      <c r="F126" s="105">
        <f>IF(RsMAX&gt;Rs,0,RDIV2)</f>
        <v>0</v>
      </c>
      <c r="G126" s="192" t="s">
        <v>93</v>
      </c>
      <c r="H126" s="23"/>
      <c r="I126" s="23"/>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51"/>
    </row>
    <row r="127" spans="1:39" ht="15" customHeight="1" x14ac:dyDescent="0.2">
      <c r="A127" s="19"/>
      <c r="B127" s="86"/>
      <c r="C127" s="23"/>
      <c r="D127" s="23"/>
      <c r="E127" s="66" t="s">
        <v>19</v>
      </c>
      <c r="F127" s="45">
        <f>F67</f>
        <v>5.23</v>
      </c>
      <c r="G127" s="193" t="s">
        <v>90</v>
      </c>
      <c r="H127" s="23"/>
      <c r="I127" s="290"/>
      <c r="J127" s="291"/>
      <c r="K127" s="292" t="s">
        <v>39</v>
      </c>
      <c r="L127" s="293" t="s">
        <v>173</v>
      </c>
      <c r="M127" s="100"/>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98"/>
    </row>
    <row r="128" spans="1:39" ht="15" customHeight="1" x14ac:dyDescent="0.2">
      <c r="A128" s="19"/>
      <c r="B128" s="86"/>
      <c r="C128" s="23"/>
      <c r="D128" s="23"/>
      <c r="E128" s="66" t="s">
        <v>20</v>
      </c>
      <c r="F128" s="56">
        <f>IF(F72="YES", F90, F77)</f>
        <v>22</v>
      </c>
      <c r="G128" s="194" t="s">
        <v>131</v>
      </c>
      <c r="H128" s="23"/>
      <c r="I128" s="294"/>
      <c r="J128" s="287" t="s">
        <v>234</v>
      </c>
      <c r="K128" s="131">
        <f>F47</f>
        <v>75.757575757575751</v>
      </c>
      <c r="L128" s="295" t="s">
        <v>28</v>
      </c>
      <c r="M128" s="238"/>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98"/>
    </row>
    <row r="129" spans="1:40" ht="15" customHeight="1" x14ac:dyDescent="0.2">
      <c r="A129" s="19"/>
      <c r="B129" s="86"/>
      <c r="C129" s="23"/>
      <c r="D129" s="23"/>
      <c r="E129" s="66" t="s">
        <v>13</v>
      </c>
      <c r="F129" s="46">
        <f>F104</f>
        <v>43.2</v>
      </c>
      <c r="G129" s="193" t="s">
        <v>90</v>
      </c>
      <c r="H129" s="23"/>
      <c r="I129" s="294"/>
      <c r="J129" s="287" t="s">
        <v>183</v>
      </c>
      <c r="K129" s="126">
        <f>F68</f>
        <v>161.23867541393315</v>
      </c>
      <c r="L129" s="295" t="s">
        <v>93</v>
      </c>
      <c r="M129" s="239"/>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98"/>
    </row>
    <row r="130" spans="1:40" ht="15" customHeight="1" x14ac:dyDescent="0.2">
      <c r="A130" s="19"/>
      <c r="B130" s="86"/>
      <c r="C130" s="23"/>
      <c r="D130" s="23"/>
      <c r="E130" s="66" t="s">
        <v>14</v>
      </c>
      <c r="F130" s="46">
        <f>F105</f>
        <v>6.49</v>
      </c>
      <c r="G130" s="193" t="s">
        <v>90</v>
      </c>
      <c r="H130" s="23"/>
      <c r="I130" s="294"/>
      <c r="J130" s="288" t="s">
        <v>244</v>
      </c>
      <c r="K130" s="131">
        <f xml:space="preserve"> IF(F51="1.8 x Current Limit",'Device Parmaters'!D34*'Design Calculator'!K128,'Device Parmaters'!D36*'Design Calculator'!K128)</f>
        <v>136.36363636363635</v>
      </c>
      <c r="L130" s="295" t="s">
        <v>28</v>
      </c>
      <c r="M130" s="238"/>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98"/>
    </row>
    <row r="131" spans="1:40" ht="15" customHeight="1" x14ac:dyDescent="0.2">
      <c r="A131" s="19"/>
      <c r="B131" s="86"/>
      <c r="C131" s="23"/>
      <c r="D131" s="23"/>
      <c r="E131" s="66" t="s">
        <v>15</v>
      </c>
      <c r="F131" s="46">
        <f>F106</f>
        <v>43.2</v>
      </c>
      <c r="G131" s="193" t="s">
        <v>90</v>
      </c>
      <c r="H131" s="23"/>
      <c r="I131" s="294"/>
      <c r="J131" s="287" t="s">
        <v>235</v>
      </c>
      <c r="K131" s="133">
        <f>IF(F72="YES",Equations!F67,Start_up!M2)</f>
        <v>56.81818181818182</v>
      </c>
      <c r="L131" s="295" t="s">
        <v>8</v>
      </c>
      <c r="M131" s="240"/>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98"/>
    </row>
    <row r="132" spans="1:40" ht="15" customHeight="1" x14ac:dyDescent="0.2">
      <c r="A132" s="19"/>
      <c r="B132" s="86"/>
      <c r="C132" s="23"/>
      <c r="D132" s="23"/>
      <c r="E132" s="66" t="s">
        <v>16</v>
      </c>
      <c r="F132" s="47">
        <f>IF(F95="Option A","N/A",F107)</f>
        <v>3.65</v>
      </c>
      <c r="G132" s="193" t="s">
        <v>90</v>
      </c>
      <c r="H132" s="23"/>
      <c r="I132" s="294"/>
      <c r="J132" s="287" t="s">
        <v>236</v>
      </c>
      <c r="K132" s="131">
        <f>TINSERT</f>
        <v>6.8</v>
      </c>
      <c r="L132" s="295" t="s">
        <v>8</v>
      </c>
      <c r="M132" s="238"/>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98"/>
    </row>
    <row r="133" spans="1:40" ht="15" customHeight="1" x14ac:dyDescent="0.2">
      <c r="A133" s="19"/>
      <c r="B133" s="86"/>
      <c r="C133" s="23"/>
      <c r="D133" s="23"/>
      <c r="E133" s="67" t="s">
        <v>117</v>
      </c>
      <c r="F133" s="48">
        <f>F120</f>
        <v>10</v>
      </c>
      <c r="G133" s="193" t="s">
        <v>90</v>
      </c>
      <c r="H133" s="23"/>
      <c r="I133" s="294"/>
      <c r="J133" s="287" t="s">
        <v>237</v>
      </c>
      <c r="K133" s="127">
        <f>IF(F72="YES", F91,F78)</f>
        <v>0.41555555555555557</v>
      </c>
      <c r="L133" s="295" t="s">
        <v>8</v>
      </c>
      <c r="M133" s="241"/>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98"/>
    </row>
    <row r="134" spans="1:40" ht="15" customHeight="1" x14ac:dyDescent="0.2">
      <c r="A134" s="19"/>
      <c r="B134" s="86"/>
      <c r="C134" s="23"/>
      <c r="D134" s="23"/>
      <c r="E134" s="67" t="s">
        <v>118</v>
      </c>
      <c r="F134" s="48">
        <f>F121</f>
        <v>1.5</v>
      </c>
      <c r="G134" s="193" t="s">
        <v>90</v>
      </c>
      <c r="H134" s="23"/>
      <c r="I134" s="294"/>
      <c r="J134" s="287" t="s">
        <v>238</v>
      </c>
      <c r="K134" s="127">
        <f>F94</f>
        <v>50.69777777777778</v>
      </c>
      <c r="L134" s="295" t="s">
        <v>8</v>
      </c>
      <c r="M134" s="241"/>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98"/>
    </row>
    <row r="135" spans="1:40" ht="15" customHeight="1" x14ac:dyDescent="0.2">
      <c r="A135" s="19"/>
      <c r="B135" s="86"/>
      <c r="C135" s="23"/>
      <c r="D135" s="23"/>
      <c r="E135" s="66" t="s">
        <v>59</v>
      </c>
      <c r="F135" s="50">
        <f>F115</f>
        <v>10</v>
      </c>
      <c r="G135" s="193" t="s">
        <v>90</v>
      </c>
      <c r="H135" s="23"/>
      <c r="I135" s="294"/>
      <c r="J135" s="289" t="s">
        <v>239</v>
      </c>
      <c r="K135" s="127">
        <f>E110</f>
        <v>9.8750175654853614</v>
      </c>
      <c r="L135" s="295" t="s">
        <v>92</v>
      </c>
      <c r="M135" s="241"/>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98"/>
    </row>
    <row r="136" spans="1:40" ht="15" customHeight="1" x14ac:dyDescent="0.2">
      <c r="A136" s="19"/>
      <c r="B136" s="86"/>
      <c r="C136" s="23"/>
      <c r="D136" s="23"/>
      <c r="E136" s="66" t="s">
        <v>58</v>
      </c>
      <c r="F136" s="49">
        <v>0.01</v>
      </c>
      <c r="G136" s="193" t="s">
        <v>89</v>
      </c>
      <c r="H136" s="23"/>
      <c r="I136" s="294"/>
      <c r="J136" s="289" t="s">
        <v>241</v>
      </c>
      <c r="K136" s="127">
        <f>E111</f>
        <v>8.8814175654853624</v>
      </c>
      <c r="L136" s="295" t="s">
        <v>92</v>
      </c>
      <c r="M136" s="241"/>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98"/>
    </row>
    <row r="137" spans="1:40" ht="15" customHeight="1" x14ac:dyDescent="0.2">
      <c r="A137" s="19"/>
      <c r="B137" s="86"/>
      <c r="C137" s="23"/>
      <c r="D137" s="23"/>
      <c r="E137" s="67" t="s">
        <v>229</v>
      </c>
      <c r="F137" s="51">
        <v>1</v>
      </c>
      <c r="G137" s="193" t="s">
        <v>89</v>
      </c>
      <c r="H137" s="23"/>
      <c r="I137" s="294"/>
      <c r="J137" s="289" t="s">
        <v>242</v>
      </c>
      <c r="K137" s="127">
        <f>E112</f>
        <v>14.889315068493151</v>
      </c>
      <c r="L137" s="295" t="s">
        <v>92</v>
      </c>
      <c r="M137" s="241"/>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98"/>
    </row>
    <row r="138" spans="1:40" ht="15" customHeight="1" x14ac:dyDescent="0.2">
      <c r="A138" s="19"/>
      <c r="B138" s="86"/>
      <c r="C138" s="23"/>
      <c r="D138" s="23"/>
      <c r="E138" s="67" t="s">
        <v>230</v>
      </c>
      <c r="F138" s="51">
        <v>1</v>
      </c>
      <c r="G138" s="193" t="s">
        <v>89</v>
      </c>
      <c r="H138" s="23"/>
      <c r="I138" s="294"/>
      <c r="J138" s="289" t="s">
        <v>240</v>
      </c>
      <c r="K138" s="127">
        <f>E113</f>
        <v>13.89571506849315</v>
      </c>
      <c r="L138" s="295" t="s">
        <v>92</v>
      </c>
      <c r="M138" s="241"/>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98"/>
    </row>
    <row r="139" spans="1:40" ht="15" customHeight="1" x14ac:dyDescent="0.2">
      <c r="A139" s="19"/>
      <c r="B139" s="86"/>
      <c r="C139" s="23"/>
      <c r="D139" s="23"/>
      <c r="E139" s="67" t="s">
        <v>508</v>
      </c>
      <c r="F139" s="51" t="s">
        <v>497</v>
      </c>
      <c r="G139" s="194"/>
      <c r="H139" s="23"/>
      <c r="I139" s="294"/>
      <c r="J139" s="289" t="s">
        <v>245</v>
      </c>
      <c r="K139" s="21">
        <f>Equations!F114</f>
        <v>8.947000000000001</v>
      </c>
      <c r="L139" s="295" t="s">
        <v>92</v>
      </c>
      <c r="M139" s="195"/>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98"/>
    </row>
    <row r="140" spans="1:40" ht="15" customHeight="1" x14ac:dyDescent="0.2">
      <c r="A140" s="19"/>
      <c r="B140" s="86"/>
      <c r="C140" s="23"/>
      <c r="D140" s="23"/>
      <c r="E140" s="67" t="s">
        <v>502</v>
      </c>
      <c r="F140" s="51" t="s">
        <v>503</v>
      </c>
      <c r="G140" s="194"/>
      <c r="H140" s="23"/>
      <c r="I140" s="302"/>
      <c r="J140" s="303"/>
      <c r="K140" s="304"/>
      <c r="L140" s="305"/>
      <c r="M140" s="195"/>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98"/>
    </row>
    <row r="141" spans="1:40" ht="15" customHeight="1" thickBot="1" x14ac:dyDescent="0.25">
      <c r="A141" s="19"/>
      <c r="B141" s="86"/>
      <c r="C141" s="23"/>
      <c r="D141" s="23"/>
      <c r="E141" s="67" t="s">
        <v>496</v>
      </c>
      <c r="F141" s="51">
        <f>IF(F72="YES", F85, "DNP")</f>
        <v>100</v>
      </c>
      <c r="G141" s="194" t="s">
        <v>131</v>
      </c>
      <c r="H141" s="23"/>
      <c r="I141" s="296"/>
      <c r="J141" s="297" t="s">
        <v>243</v>
      </c>
      <c r="K141" s="125">
        <f>Equations!F117</f>
        <v>240</v>
      </c>
      <c r="L141" s="298" t="s">
        <v>184</v>
      </c>
      <c r="M141" s="195"/>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98"/>
    </row>
    <row r="142" spans="1:40" ht="15" customHeight="1" x14ac:dyDescent="0.2">
      <c r="A142" s="19"/>
      <c r="B142" s="86"/>
      <c r="C142" s="23"/>
      <c r="D142" s="23"/>
      <c r="E142" s="67" t="s">
        <v>258</v>
      </c>
      <c r="F142" s="46" t="str">
        <f>IF(F37="25 mV","GND","VDD")</f>
        <v>GND</v>
      </c>
      <c r="G142" s="193" t="s">
        <v>89</v>
      </c>
      <c r="H142" s="23"/>
      <c r="I142" s="120"/>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98"/>
    </row>
    <row r="143" spans="1:40" ht="15" customHeight="1" x14ac:dyDescent="0.2">
      <c r="A143" s="19"/>
      <c r="B143" s="86"/>
      <c r="C143" s="23"/>
      <c r="D143" s="23"/>
      <c r="E143" s="67" t="s">
        <v>257</v>
      </c>
      <c r="F143" s="51" t="str">
        <f>IF(F51="1.8 x Current Limit","GND","VDD")</f>
        <v>GND</v>
      </c>
      <c r="G143" s="193" t="s">
        <v>89</v>
      </c>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98"/>
    </row>
    <row r="144" spans="1:40" ht="15" customHeight="1" x14ac:dyDescent="0.2">
      <c r="A144" s="19"/>
      <c r="B144" s="86"/>
      <c r="C144" s="23"/>
      <c r="D144" s="23"/>
      <c r="E144" s="67" t="s">
        <v>261</v>
      </c>
      <c r="F144" s="117" t="str">
        <f>IF(F50="Retry","GND","VDD")</f>
        <v>GND</v>
      </c>
      <c r="G144" s="193" t="s">
        <v>89</v>
      </c>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98"/>
      <c r="AN144" s="33"/>
    </row>
    <row r="145" spans="1:40" ht="15" customHeight="1" x14ac:dyDescent="0.2">
      <c r="A145" s="19"/>
      <c r="B145" s="86"/>
      <c r="C145" s="23"/>
      <c r="D145" s="23"/>
      <c r="E145" s="283" t="s">
        <v>504</v>
      </c>
      <c r="F145" s="286" t="str">
        <f>F52</f>
        <v>SiRA00DP</v>
      </c>
      <c r="G145" s="194"/>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98"/>
      <c r="AN145" s="33"/>
    </row>
    <row r="146" spans="1:40" ht="15" customHeight="1" x14ac:dyDescent="0.2">
      <c r="A146" s="19"/>
      <c r="B146" s="86"/>
      <c r="C146" s="23"/>
      <c r="D146" s="23"/>
      <c r="E146" s="285" t="s">
        <v>505</v>
      </c>
      <c r="F146" s="286" t="s">
        <v>490</v>
      </c>
      <c r="G146" s="194"/>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98"/>
      <c r="AN146" s="33"/>
    </row>
    <row r="147" spans="1:40" ht="15" customHeight="1" x14ac:dyDescent="0.2">
      <c r="A147" s="19"/>
      <c r="B147" s="86"/>
      <c r="C147" s="23"/>
      <c r="E147" s="285" t="s">
        <v>506</v>
      </c>
      <c r="F147" s="286" t="s">
        <v>498</v>
      </c>
      <c r="G147" s="194"/>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98"/>
      <c r="AN147" s="33"/>
    </row>
    <row r="148" spans="1:40" ht="15" customHeight="1" x14ac:dyDescent="0.2">
      <c r="A148" s="19"/>
      <c r="B148" s="86"/>
      <c r="C148" s="23"/>
      <c r="D148" s="23"/>
      <c r="E148" s="284" t="s">
        <v>507</v>
      </c>
      <c r="F148" s="286" t="s">
        <v>495</v>
      </c>
      <c r="G148" s="194"/>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98"/>
      <c r="AN148" s="33"/>
    </row>
    <row r="149" spans="1:40" ht="15" customHeight="1" x14ac:dyDescent="0.2">
      <c r="A149" s="19"/>
      <c r="B149" s="86"/>
      <c r="C149" s="23"/>
      <c r="D149" s="23"/>
      <c r="E149" s="285"/>
      <c r="F149" s="194"/>
      <c r="G149" s="194"/>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98"/>
      <c r="AN149" s="33"/>
    </row>
    <row r="150" spans="1:40" ht="15" customHeight="1" x14ac:dyDescent="0.2">
      <c r="A150" s="19"/>
      <c r="B150" s="86"/>
      <c r="C150" s="23"/>
      <c r="D150" s="23"/>
      <c r="E150" s="67"/>
      <c r="F150" s="135"/>
      <c r="G150" s="194"/>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98"/>
      <c r="AN150" s="33"/>
    </row>
    <row r="151" spans="1:40" ht="15.75" x14ac:dyDescent="0.3">
      <c r="A151" s="19"/>
      <c r="B151" s="282" t="s">
        <v>21</v>
      </c>
      <c r="C151" s="35" t="s">
        <v>96</v>
      </c>
      <c r="D151" s="22"/>
      <c r="E151" s="35"/>
      <c r="F151" s="122"/>
      <c r="G151" s="194"/>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98"/>
      <c r="AN151" s="33"/>
    </row>
    <row r="152" spans="1:40" x14ac:dyDescent="0.2">
      <c r="A152" s="19"/>
      <c r="B152" s="86"/>
      <c r="C152" s="35" t="s">
        <v>119</v>
      </c>
      <c r="D152" s="23"/>
      <c r="E152" s="35"/>
      <c r="F152" s="23"/>
      <c r="G152" s="194"/>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98"/>
    </row>
    <row r="153" spans="1:40" x14ac:dyDescent="0.2">
      <c r="A153" s="19"/>
      <c r="B153" s="86"/>
      <c r="C153" s="35" t="s">
        <v>288</v>
      </c>
      <c r="D153" s="23"/>
      <c r="E153" s="35"/>
      <c r="F153" s="23"/>
      <c r="G153" s="194"/>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98"/>
    </row>
    <row r="154" spans="1:40" ht="13.5" thickBot="1" x14ac:dyDescent="0.25">
      <c r="A154" s="19"/>
      <c r="B154" s="87"/>
      <c r="C154" s="88"/>
      <c r="D154" s="88"/>
      <c r="E154" s="123"/>
      <c r="F154" s="88"/>
      <c r="G154" s="196"/>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102"/>
    </row>
    <row r="155" spans="1:40" x14ac:dyDescent="0.2">
      <c r="A155" s="19"/>
      <c r="B155" s="19"/>
      <c r="C155" s="19"/>
      <c r="D155" s="19"/>
      <c r="E155" s="19"/>
      <c r="F155" s="32"/>
      <c r="G155" s="20"/>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row>
    <row r="156" spans="1:40" ht="15" x14ac:dyDescent="0.25">
      <c r="A156" s="19"/>
      <c r="B156" s="43"/>
      <c r="C156" s="19"/>
      <c r="D156" s="19"/>
      <c r="E156" s="19"/>
      <c r="F156" s="36"/>
      <c r="G156" s="195"/>
      <c r="H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row>
    <row r="157" spans="1:40" x14ac:dyDescent="0.2">
      <c r="A157" s="19"/>
      <c r="B157" s="19"/>
      <c r="C157" s="19"/>
      <c r="D157" s="19"/>
      <c r="E157" s="19"/>
      <c r="F157" s="36"/>
      <c r="G157" s="195"/>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row>
    <row r="158" spans="1:40" x14ac:dyDescent="0.2">
      <c r="A158" s="19"/>
      <c r="B158" s="19"/>
      <c r="C158" s="19"/>
      <c r="D158" s="19"/>
      <c r="E158" s="19"/>
      <c r="F158" s="36"/>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row>
    <row r="159" spans="1:40" x14ac:dyDescent="0.2">
      <c r="A159" s="19"/>
      <c r="B159" s="19"/>
      <c r="C159" s="19"/>
      <c r="D159" s="19"/>
      <c r="E159" s="19"/>
      <c r="F159" s="36"/>
      <c r="G159" s="197"/>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row>
    <row r="160" spans="1:40" x14ac:dyDescent="0.2">
      <c r="A160" s="19"/>
      <c r="B160" s="19"/>
      <c r="C160" s="19"/>
      <c r="D160" s="19"/>
      <c r="E160" s="19"/>
      <c r="F160" s="36"/>
      <c r="G160" s="197"/>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row>
    <row r="161" spans="1:39" x14ac:dyDescent="0.2">
      <c r="A161" s="19"/>
      <c r="B161" s="19"/>
      <c r="C161" s="19"/>
      <c r="D161" s="19"/>
      <c r="E161" s="19"/>
      <c r="F161" s="36"/>
      <c r="G161" s="197"/>
      <c r="H161" s="36"/>
      <c r="I161" s="36"/>
      <c r="J161" s="36"/>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row>
    <row r="162" spans="1:39" x14ac:dyDescent="0.2">
      <c r="A162" s="19"/>
      <c r="B162" s="19"/>
      <c r="C162" s="19"/>
      <c r="D162" s="19"/>
      <c r="E162" s="19"/>
      <c r="F162" s="36"/>
      <c r="G162" s="197"/>
      <c r="H162" s="36"/>
      <c r="I162" s="36"/>
      <c r="J162" s="36"/>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row>
    <row r="163" spans="1:39" x14ac:dyDescent="0.2">
      <c r="A163" s="19"/>
      <c r="B163" s="19"/>
      <c r="C163" s="19"/>
      <c r="D163" s="19"/>
      <c r="E163" s="19"/>
      <c r="F163" s="36"/>
      <c r="G163" s="197"/>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row>
    <row r="164" spans="1:39" x14ac:dyDescent="0.2">
      <c r="A164" s="19"/>
      <c r="B164" s="19"/>
      <c r="C164" s="19"/>
      <c r="D164" s="19"/>
      <c r="E164" s="19"/>
      <c r="F164" s="19"/>
      <c r="G164" s="197"/>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row>
    <row r="165" spans="1:39" x14ac:dyDescent="0.2">
      <c r="A165" s="19"/>
      <c r="B165" s="19"/>
      <c r="C165" s="19"/>
      <c r="D165" s="19"/>
      <c r="E165" s="19"/>
      <c r="F165" s="36"/>
      <c r="G165" s="197"/>
      <c r="H165" s="36"/>
      <c r="I165" s="36"/>
      <c r="J165" s="36"/>
      <c r="K165" s="36"/>
      <c r="L165" s="36"/>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row>
    <row r="166" spans="1:39" x14ac:dyDescent="0.2">
      <c r="A166" s="19"/>
      <c r="B166" s="19"/>
      <c r="C166" s="19"/>
      <c r="D166" s="19"/>
      <c r="E166" s="19"/>
      <c r="F166" s="36"/>
      <c r="G166" s="197"/>
      <c r="H166" s="36"/>
      <c r="I166" s="36"/>
      <c r="J166" s="36"/>
      <c r="K166" s="36"/>
      <c r="L166" s="36"/>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row>
    <row r="167" spans="1:39" x14ac:dyDescent="0.2">
      <c r="A167" s="19"/>
      <c r="B167" s="19"/>
      <c r="C167" s="19"/>
      <c r="D167" s="19"/>
      <c r="E167" s="19"/>
      <c r="F167" s="36"/>
      <c r="G167" s="20"/>
      <c r="H167" s="36"/>
      <c r="I167" s="36"/>
      <c r="J167" s="36"/>
      <c r="K167" s="36"/>
      <c r="L167" s="36"/>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row>
    <row r="168" spans="1:39" x14ac:dyDescent="0.2">
      <c r="A168" s="19"/>
      <c r="B168" s="19"/>
      <c r="C168" s="19"/>
      <c r="D168" s="19"/>
      <c r="E168" s="19"/>
      <c r="F168" s="36"/>
      <c r="G168" s="197"/>
      <c r="H168" s="36"/>
      <c r="I168" s="36"/>
      <c r="J168" s="36"/>
      <c r="K168" s="36"/>
      <c r="L168" s="36"/>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row>
    <row r="169" spans="1:39" x14ac:dyDescent="0.2">
      <c r="A169" s="19"/>
      <c r="B169" s="19"/>
      <c r="C169" s="19"/>
      <c r="D169" s="19"/>
      <c r="E169" s="19"/>
      <c r="F169" s="36"/>
      <c r="G169" s="197"/>
      <c r="H169" s="36"/>
      <c r="I169" s="36"/>
      <c r="J169" s="36"/>
      <c r="K169" s="36"/>
      <c r="L169" s="36"/>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row>
    <row r="170" spans="1:39" x14ac:dyDescent="0.2">
      <c r="A170" s="19"/>
      <c r="B170" s="19"/>
      <c r="C170" s="19"/>
      <c r="D170" s="19"/>
      <c r="E170" s="19"/>
      <c r="F170" s="36"/>
      <c r="G170" s="197"/>
      <c r="H170" s="36"/>
      <c r="I170" s="36"/>
      <c r="J170" s="36"/>
      <c r="K170" s="36"/>
      <c r="L170" s="36"/>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row>
    <row r="171" spans="1:39" x14ac:dyDescent="0.2">
      <c r="A171" s="19"/>
      <c r="B171" s="19"/>
      <c r="C171" s="19"/>
      <c r="D171" s="19"/>
      <c r="E171" s="19"/>
      <c r="F171" s="19"/>
      <c r="G171" s="197"/>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row>
    <row r="172" spans="1:39" x14ac:dyDescent="0.2">
      <c r="A172" s="19"/>
      <c r="B172" s="19"/>
      <c r="C172" s="19"/>
      <c r="D172" s="19"/>
      <c r="E172" s="19"/>
      <c r="F172" s="19"/>
      <c r="G172" s="197"/>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row>
    <row r="173" spans="1:39" x14ac:dyDescent="0.2">
      <c r="A173" s="19"/>
      <c r="B173" s="19"/>
      <c r="C173" s="19"/>
      <c r="D173" s="19"/>
      <c r="E173" s="19"/>
      <c r="F173" s="19"/>
      <c r="G173" s="197"/>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row>
    <row r="174" spans="1:39" x14ac:dyDescent="0.2">
      <c r="A174" s="19"/>
      <c r="B174" s="19"/>
      <c r="C174" s="19"/>
      <c r="D174" s="19"/>
      <c r="E174" s="19"/>
      <c r="F174" s="19"/>
      <c r="G174" s="20"/>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row>
    <row r="175" spans="1:39" x14ac:dyDescent="0.2">
      <c r="A175" s="19"/>
      <c r="B175" s="19"/>
      <c r="C175" s="19"/>
      <c r="D175" s="19"/>
      <c r="E175" s="19"/>
      <c r="F175" s="19"/>
      <c r="G175" s="20"/>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row>
    <row r="176" spans="1:39" x14ac:dyDescent="0.2">
      <c r="A176" s="19"/>
      <c r="B176" s="19"/>
      <c r="C176" s="19"/>
      <c r="D176" s="19"/>
      <c r="E176" s="19"/>
      <c r="F176" s="19"/>
      <c r="G176" s="20"/>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row>
    <row r="177" spans="1:39" x14ac:dyDescent="0.2">
      <c r="A177" s="19"/>
      <c r="B177" s="19"/>
      <c r="C177" s="19"/>
      <c r="D177" s="19"/>
      <c r="E177" s="19"/>
      <c r="F177" s="19"/>
      <c r="G177" s="20"/>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row>
    <row r="178" spans="1:39" x14ac:dyDescent="0.2">
      <c r="A178" s="19"/>
      <c r="B178" s="19"/>
      <c r="C178" s="19"/>
      <c r="D178" s="19"/>
      <c r="E178" s="19"/>
      <c r="F178" s="19"/>
      <c r="G178" s="20"/>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row>
    <row r="179" spans="1:39" x14ac:dyDescent="0.2">
      <c r="A179" s="19"/>
      <c r="B179" s="19"/>
      <c r="C179" s="19"/>
      <c r="D179" s="19"/>
      <c r="E179" s="19"/>
      <c r="F179" s="19"/>
      <c r="G179" s="20"/>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row>
    <row r="180" spans="1:39" x14ac:dyDescent="0.2">
      <c r="A180" s="19"/>
      <c r="B180" s="19"/>
      <c r="C180" s="19"/>
      <c r="D180" s="19"/>
      <c r="E180" s="19"/>
      <c r="F180" s="19"/>
      <c r="G180" s="20"/>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row>
    <row r="181" spans="1:39" x14ac:dyDescent="0.2">
      <c r="A181" s="19"/>
      <c r="B181" s="19"/>
      <c r="C181" s="19"/>
      <c r="D181" s="19"/>
      <c r="E181" s="19"/>
      <c r="F181" s="19"/>
      <c r="G181" s="20"/>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row>
    <row r="182" spans="1:39" ht="15" x14ac:dyDescent="0.25">
      <c r="A182" s="19"/>
      <c r="B182" s="44"/>
      <c r="C182" s="19"/>
      <c r="D182" s="19"/>
      <c r="E182" s="19"/>
      <c r="F182" s="19"/>
      <c r="G182" s="20"/>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row>
    <row r="183" spans="1:39" x14ac:dyDescent="0.2">
      <c r="A183" s="19"/>
      <c r="B183" s="19"/>
      <c r="C183" s="19"/>
      <c r="D183" s="19"/>
      <c r="E183" s="19"/>
      <c r="F183" s="19"/>
      <c r="G183" s="20"/>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row>
    <row r="184" spans="1:39" x14ac:dyDescent="0.2">
      <c r="A184" s="19"/>
      <c r="B184" s="19"/>
      <c r="C184" s="19"/>
      <c r="D184" s="19"/>
      <c r="E184" s="19"/>
      <c r="F184" s="19"/>
      <c r="G184" s="20"/>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row>
    <row r="185" spans="1:39" x14ac:dyDescent="0.2">
      <c r="A185" s="19"/>
      <c r="B185" s="19"/>
      <c r="C185" s="19"/>
      <c r="D185" s="19"/>
      <c r="E185" s="19"/>
      <c r="F185" s="19"/>
      <c r="G185" s="20"/>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row>
    <row r="186" spans="1:39" x14ac:dyDescent="0.2">
      <c r="A186" s="19"/>
      <c r="B186" s="19"/>
      <c r="C186" s="19"/>
      <c r="D186" s="19"/>
      <c r="E186" s="19"/>
      <c r="F186" s="19"/>
      <c r="G186" s="20"/>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row>
    <row r="187" spans="1:39" x14ac:dyDescent="0.2">
      <c r="A187" s="19"/>
      <c r="B187" s="19"/>
      <c r="D187" s="19"/>
      <c r="E187" s="19"/>
      <c r="F187" s="19"/>
      <c r="G187" s="20"/>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row>
    <row r="188" spans="1:39" x14ac:dyDescent="0.2">
      <c r="A188" s="19"/>
      <c r="B188" s="19"/>
      <c r="C188" s="19"/>
      <c r="D188" s="19"/>
      <c r="E188" s="19"/>
      <c r="F188" s="19"/>
      <c r="G188" s="20"/>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row>
    <row r="189" spans="1:39" x14ac:dyDescent="0.2">
      <c r="A189" s="19"/>
      <c r="B189" s="19"/>
      <c r="C189" s="19"/>
      <c r="D189" s="19"/>
      <c r="E189" s="19"/>
      <c r="F189" s="19"/>
      <c r="G189" s="20"/>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row>
    <row r="190" spans="1:39" x14ac:dyDescent="0.2">
      <c r="A190" s="19"/>
      <c r="B190" s="19"/>
      <c r="C190" s="19"/>
      <c r="D190" s="19"/>
      <c r="E190" s="19"/>
      <c r="F190" s="19"/>
      <c r="G190" s="20"/>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row>
    <row r="191" spans="1:39" x14ac:dyDescent="0.2">
      <c r="A191" s="19"/>
      <c r="B191" s="19"/>
      <c r="C191" s="19"/>
      <c r="D191" s="19"/>
      <c r="E191" s="19"/>
      <c r="F191" s="19"/>
      <c r="G191" s="20"/>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row>
    <row r="192" spans="1:39" x14ac:dyDescent="0.2">
      <c r="A192" s="19"/>
      <c r="B192" s="19"/>
      <c r="C192" s="19"/>
      <c r="D192" s="19"/>
      <c r="E192" s="19"/>
      <c r="F192" s="19"/>
      <c r="G192" s="20"/>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row>
    <row r="193" spans="1:39" x14ac:dyDescent="0.2">
      <c r="A193" s="19"/>
      <c r="B193" s="19"/>
      <c r="C193" s="19"/>
      <c r="D193" s="19"/>
      <c r="E193" s="19"/>
      <c r="F193" s="19"/>
      <c r="G193" s="20"/>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row>
    <row r="194" spans="1:39" x14ac:dyDescent="0.2">
      <c r="A194" s="19"/>
      <c r="B194" s="19"/>
      <c r="C194" s="19"/>
      <c r="D194" s="19"/>
      <c r="E194" s="19"/>
      <c r="F194" s="19"/>
      <c r="G194" s="20"/>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row>
    <row r="195" spans="1:39" x14ac:dyDescent="0.2">
      <c r="A195" s="19"/>
      <c r="B195" s="19"/>
      <c r="C195" s="19"/>
      <c r="D195" s="19"/>
      <c r="E195" s="19"/>
      <c r="F195" s="19"/>
      <c r="G195" s="20"/>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row>
    <row r="196" spans="1:39" x14ac:dyDescent="0.2">
      <c r="A196" s="19"/>
      <c r="B196" s="19"/>
      <c r="C196" s="19"/>
      <c r="D196" s="19"/>
      <c r="E196" s="19"/>
      <c r="F196" s="19"/>
      <c r="G196" s="20"/>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row>
    <row r="197" spans="1:39" x14ac:dyDescent="0.2">
      <c r="A197" s="19"/>
      <c r="B197" s="19"/>
      <c r="C197" s="19"/>
      <c r="D197" s="19"/>
      <c r="E197" s="19"/>
      <c r="F197" s="19"/>
      <c r="G197" s="20"/>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row>
    <row r="198" spans="1:39" x14ac:dyDescent="0.2">
      <c r="A198" s="19"/>
      <c r="B198" s="19"/>
      <c r="C198" s="19"/>
      <c r="D198" s="19"/>
      <c r="E198" s="19"/>
      <c r="F198" s="19"/>
      <c r="G198" s="20"/>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row>
    <row r="199" spans="1:39" x14ac:dyDescent="0.2">
      <c r="A199" s="19"/>
      <c r="B199" s="19"/>
      <c r="C199" s="19"/>
      <c r="D199" s="19"/>
      <c r="E199" s="19"/>
      <c r="F199" s="19"/>
      <c r="G199" s="20"/>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row>
    <row r="200" spans="1:39" x14ac:dyDescent="0.2">
      <c r="A200" s="19"/>
      <c r="B200" s="19"/>
      <c r="C200" s="19"/>
      <c r="D200" s="19"/>
      <c r="E200" s="19"/>
      <c r="F200" s="19"/>
      <c r="G200" s="20"/>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row>
    <row r="201" spans="1:39" x14ac:dyDescent="0.2">
      <c r="A201" s="19"/>
      <c r="B201" s="19"/>
      <c r="C201" s="19"/>
      <c r="D201" s="19"/>
      <c r="E201" s="19"/>
      <c r="F201" s="19"/>
      <c r="G201" s="20"/>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row>
    <row r="202" spans="1:39" x14ac:dyDescent="0.2">
      <c r="A202" s="19"/>
      <c r="B202" s="19"/>
      <c r="C202" s="19"/>
      <c r="D202" s="19"/>
      <c r="E202" s="19"/>
      <c r="F202" s="19"/>
      <c r="G202" s="20"/>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row>
    <row r="203" spans="1:39" x14ac:dyDescent="0.2">
      <c r="A203" s="19"/>
      <c r="B203" s="19"/>
      <c r="C203" s="19"/>
      <c r="D203" s="19"/>
      <c r="E203" s="19"/>
      <c r="F203" s="19"/>
      <c r="G203" s="20"/>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row>
    <row r="204" spans="1:39" x14ac:dyDescent="0.2">
      <c r="A204" s="19"/>
      <c r="B204" s="19"/>
      <c r="C204" s="19"/>
      <c r="D204" s="19"/>
      <c r="E204" s="19"/>
      <c r="F204" s="19"/>
      <c r="G204" s="20"/>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row>
    <row r="205" spans="1:39" x14ac:dyDescent="0.2">
      <c r="A205" s="19"/>
      <c r="B205" s="19"/>
      <c r="C205" s="19"/>
      <c r="D205" s="19"/>
      <c r="E205" s="19"/>
      <c r="F205" s="19"/>
      <c r="G205" s="20"/>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row>
    <row r="206" spans="1:39" x14ac:dyDescent="0.2">
      <c r="A206" s="19"/>
      <c r="B206" s="19"/>
      <c r="C206" s="19"/>
      <c r="D206" s="19"/>
      <c r="E206" s="19"/>
      <c r="F206" s="19"/>
      <c r="G206" s="20"/>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row>
    <row r="207" spans="1:39" x14ac:dyDescent="0.2">
      <c r="A207" s="19"/>
      <c r="B207" s="19"/>
      <c r="C207" s="19"/>
      <c r="D207" s="19"/>
      <c r="E207" s="19"/>
      <c r="F207" s="19"/>
      <c r="G207" s="20"/>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row>
    <row r="208" spans="1:39" x14ac:dyDescent="0.2">
      <c r="A208" s="19"/>
      <c r="B208" s="19"/>
      <c r="C208" s="19"/>
      <c r="D208" s="19"/>
      <c r="E208" s="19"/>
      <c r="F208" s="19"/>
      <c r="G208" s="20"/>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row>
    <row r="209" spans="1:39" x14ac:dyDescent="0.2">
      <c r="A209" s="19"/>
      <c r="B209" s="19"/>
      <c r="C209" s="19"/>
      <c r="D209" s="19"/>
      <c r="E209" s="19"/>
      <c r="F209" s="19"/>
      <c r="G209" s="20"/>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row>
    <row r="210" spans="1:39" x14ac:dyDescent="0.2">
      <c r="A210" s="19"/>
      <c r="B210" s="19"/>
      <c r="C210" s="19"/>
      <c r="D210" s="19"/>
      <c r="E210" s="19"/>
      <c r="F210" s="19"/>
      <c r="G210" s="20"/>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row>
    <row r="211" spans="1:39" x14ac:dyDescent="0.2">
      <c r="A211" s="19"/>
      <c r="B211" s="19"/>
      <c r="C211" s="19"/>
      <c r="D211" s="19"/>
      <c r="E211" s="19"/>
      <c r="F211" s="19"/>
      <c r="G211" s="20"/>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row>
    <row r="212" spans="1:39" x14ac:dyDescent="0.2">
      <c r="A212" s="19"/>
      <c r="B212" s="19"/>
      <c r="C212" s="19"/>
      <c r="D212" s="19"/>
      <c r="E212" s="19"/>
      <c r="F212" s="19"/>
      <c r="G212" s="20"/>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row>
    <row r="213" spans="1:39" x14ac:dyDescent="0.2">
      <c r="A213" s="19"/>
      <c r="B213" s="19"/>
      <c r="C213" s="19"/>
      <c r="D213" s="19"/>
      <c r="E213" s="19"/>
      <c r="F213" s="19"/>
      <c r="G213" s="20"/>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row>
    <row r="214" spans="1:39" x14ac:dyDescent="0.2">
      <c r="A214" s="19"/>
      <c r="B214" s="19"/>
      <c r="C214" s="19"/>
      <c r="D214" s="19"/>
      <c r="E214" s="19"/>
      <c r="F214" s="19"/>
      <c r="G214" s="20"/>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row>
    <row r="215" spans="1:39" x14ac:dyDescent="0.2">
      <c r="A215" s="19"/>
      <c r="B215" s="19"/>
      <c r="C215" s="19"/>
      <c r="D215" s="19"/>
      <c r="E215" s="19"/>
      <c r="F215" s="19"/>
      <c r="G215" s="20"/>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row>
    <row r="216" spans="1:39" x14ac:dyDescent="0.2">
      <c r="A216" s="19"/>
      <c r="B216" s="19"/>
      <c r="C216" s="19"/>
      <c r="D216" s="19"/>
      <c r="E216" s="19"/>
      <c r="F216" s="19"/>
      <c r="G216" s="20"/>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row>
    <row r="217" spans="1:39" x14ac:dyDescent="0.2">
      <c r="A217" s="19"/>
      <c r="B217" s="19"/>
      <c r="C217" s="19"/>
      <c r="D217" s="19"/>
      <c r="E217" s="19"/>
      <c r="F217" s="19"/>
      <c r="G217" s="20"/>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row>
    <row r="218" spans="1:39" x14ac:dyDescent="0.2">
      <c r="A218" s="19"/>
      <c r="B218" s="19"/>
      <c r="C218" s="19"/>
      <c r="D218" s="19"/>
      <c r="E218" s="19"/>
      <c r="F218" s="19"/>
      <c r="G218" s="20"/>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row>
    <row r="219" spans="1:39" x14ac:dyDescent="0.2">
      <c r="A219" s="19"/>
      <c r="B219" s="19"/>
      <c r="C219" s="19"/>
      <c r="D219" s="19"/>
      <c r="E219" s="19"/>
      <c r="F219" s="19"/>
      <c r="G219" s="20"/>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row>
    <row r="220" spans="1:39" x14ac:dyDescent="0.2">
      <c r="A220" s="19"/>
      <c r="B220" s="19"/>
      <c r="C220" s="19"/>
      <c r="D220" s="19"/>
      <c r="E220" s="19"/>
      <c r="F220" s="19"/>
      <c r="G220" s="20"/>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row>
    <row r="221" spans="1:39" x14ac:dyDescent="0.2">
      <c r="A221" s="19"/>
      <c r="B221" s="19"/>
      <c r="C221" s="19"/>
      <c r="D221" s="19"/>
      <c r="E221" s="19"/>
      <c r="F221" s="19"/>
      <c r="G221" s="20"/>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row>
    <row r="222" spans="1:39" x14ac:dyDescent="0.2">
      <c r="A222" s="19"/>
      <c r="B222" s="19"/>
      <c r="C222" s="19"/>
      <c r="D222" s="19"/>
      <c r="E222" s="19"/>
      <c r="F222" s="19"/>
      <c r="G222" s="20"/>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row>
    <row r="223" spans="1:39" x14ac:dyDescent="0.2">
      <c r="A223" s="19"/>
      <c r="B223" s="19"/>
      <c r="C223" s="19"/>
      <c r="D223" s="19"/>
      <c r="E223" s="19"/>
      <c r="F223" s="19"/>
      <c r="G223" s="20"/>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row>
    <row r="224" spans="1:39" x14ac:dyDescent="0.2">
      <c r="A224" s="19"/>
      <c r="B224" s="19"/>
      <c r="C224" s="19"/>
      <c r="D224" s="19"/>
      <c r="E224" s="19"/>
      <c r="F224" s="19"/>
      <c r="G224" s="20"/>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row>
    <row r="225" spans="1:39" x14ac:dyDescent="0.2">
      <c r="A225" s="19"/>
      <c r="B225" s="19"/>
      <c r="C225" s="19"/>
      <c r="D225" s="19"/>
      <c r="E225" s="19"/>
      <c r="F225" s="19"/>
      <c r="G225" s="20"/>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row>
    <row r="226" spans="1:39" x14ac:dyDescent="0.2">
      <c r="A226" s="19"/>
      <c r="B226" s="19"/>
      <c r="C226" s="19"/>
      <c r="D226" s="19"/>
      <c r="E226" s="19"/>
      <c r="F226" s="19"/>
      <c r="G226" s="20"/>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row>
    <row r="227" spans="1:39" x14ac:dyDescent="0.2">
      <c r="G227" s="20"/>
    </row>
    <row r="228" spans="1:39" x14ac:dyDescent="0.2">
      <c r="G228" s="20"/>
    </row>
    <row r="229" spans="1:39" x14ac:dyDescent="0.2">
      <c r="G229" s="20"/>
    </row>
  </sheetData>
  <sheetProtection selectLockedCells="1"/>
  <mergeCells count="18">
    <mergeCell ref="B83:C87"/>
    <mergeCell ref="D23:F23"/>
    <mergeCell ref="B16:B19"/>
    <mergeCell ref="D22:F22"/>
    <mergeCell ref="D24:F25"/>
    <mergeCell ref="B33:B34"/>
    <mergeCell ref="B43:B45"/>
    <mergeCell ref="AR59:AR65"/>
    <mergeCell ref="B62:B68"/>
    <mergeCell ref="L2:M2"/>
    <mergeCell ref="A1:M1"/>
    <mergeCell ref="D11:E12"/>
    <mergeCell ref="D14:G15"/>
    <mergeCell ref="I68:M68"/>
    <mergeCell ref="D16:I16"/>
    <mergeCell ref="D17:I17"/>
    <mergeCell ref="D18:I18"/>
    <mergeCell ref="D19:I19"/>
  </mergeCells>
  <phoneticPr fontId="6" type="noConversion"/>
  <conditionalFormatting sqref="F97">
    <cfRule type="cellIs" dxfId="36" priority="63" stopIfTrue="1" operator="greaterThanOrEqual">
      <formula>F96</formula>
    </cfRule>
  </conditionalFormatting>
  <conditionalFormatting sqref="F99">
    <cfRule type="expression" dxfId="35" priority="64" stopIfTrue="1">
      <formula>F95="Option A"</formula>
    </cfRule>
  </conditionalFormatting>
  <conditionalFormatting sqref="G99">
    <cfRule type="expression" dxfId="34" priority="65" stopIfTrue="1">
      <formula>F95="Option A"</formula>
    </cfRule>
  </conditionalFormatting>
  <conditionalFormatting sqref="E99">
    <cfRule type="expression" dxfId="33" priority="66" stopIfTrue="1">
      <formula>F95="Option A"</formula>
    </cfRule>
  </conditionalFormatting>
  <conditionalFormatting sqref="F103">
    <cfRule type="expression" dxfId="32" priority="67" stopIfTrue="1">
      <formula>F95="Option A"</formula>
    </cfRule>
  </conditionalFormatting>
  <conditionalFormatting sqref="E103">
    <cfRule type="expression" dxfId="31" priority="69" stopIfTrue="1">
      <formula>F95="Option A"</formula>
    </cfRule>
  </conditionalFormatting>
  <conditionalFormatting sqref="F40">
    <cfRule type="cellIs" dxfId="30" priority="70" stopIfTrue="1" operator="greaterThan">
      <formula>200</formula>
    </cfRule>
  </conditionalFormatting>
  <conditionalFormatting sqref="D110:F110 D112:F113">
    <cfRule type="cellIs" dxfId="29" priority="72" stopIfTrue="1" operator="notBetween">
      <formula>2.9</formula>
      <formula>17</formula>
    </cfRule>
  </conditionalFormatting>
  <conditionalFormatting sqref="D111:F111">
    <cfRule type="cellIs" dxfId="28" priority="73" stopIfTrue="1" operator="notBetween">
      <formula>2.65</formula>
      <formula>17</formula>
    </cfRule>
  </conditionalFormatting>
  <conditionalFormatting sqref="G103">
    <cfRule type="expression" dxfId="27" priority="60">
      <formula>F95="Option A"</formula>
    </cfRule>
  </conditionalFormatting>
  <conditionalFormatting sqref="G107">
    <cfRule type="expression" dxfId="26" priority="59">
      <formula>F95="Option A"</formula>
    </cfRule>
  </conditionalFormatting>
  <conditionalFormatting sqref="F107">
    <cfRule type="expression" dxfId="25" priority="58">
      <formula>F95="Option A"</formula>
    </cfRule>
  </conditionalFormatting>
  <conditionalFormatting sqref="E107">
    <cfRule type="expression" dxfId="24" priority="57">
      <formula>F95="Option A"</formula>
    </cfRule>
  </conditionalFormatting>
  <conditionalFormatting sqref="F63">
    <cfRule type="colorScale" priority="34">
      <colorScale>
        <cfvo type="min"/>
        <cfvo type="formula" val="$AN$56*0.8"/>
        <cfvo type="num" val="$AN$56"/>
        <color theme="0"/>
        <color rgb="FFFFC000"/>
        <color rgb="FFFF0000"/>
      </colorScale>
    </cfRule>
  </conditionalFormatting>
  <conditionalFormatting sqref="F41:F42">
    <cfRule type="cellIs" dxfId="23" priority="31" operator="equal">
      <formula>"NA"</formula>
    </cfRule>
    <cfRule type="cellIs" dxfId="22" priority="37" operator="equal">
      <formula>"""NA"""</formula>
    </cfRule>
  </conditionalFormatting>
  <conditionalFormatting sqref="F74">
    <cfRule type="cellIs" dxfId="21" priority="76" operator="lessThan">
      <formula>0.25</formula>
    </cfRule>
  </conditionalFormatting>
  <conditionalFormatting sqref="F77">
    <cfRule type="cellIs" dxfId="20" priority="27" operator="lessThan">
      <formula>$F$76</formula>
    </cfRule>
  </conditionalFormatting>
  <conditionalFormatting sqref="F79">
    <cfRule type="cellIs" dxfId="19" priority="24" operator="lessThan">
      <formula>1.1</formula>
    </cfRule>
    <cfRule type="cellIs" dxfId="18" priority="25" operator="between">
      <formula>1.1</formula>
      <formula>1.3</formula>
    </cfRule>
  </conditionalFormatting>
  <conditionalFormatting sqref="E72:F72">
    <cfRule type="expression" dxfId="17" priority="74">
      <formula>#REF!="Yes"</formula>
    </cfRule>
  </conditionalFormatting>
  <conditionalFormatting sqref="G83 G85:G90">
    <cfRule type="expression" dxfId="16" priority="22">
      <formula>#REF!="Yes"</formula>
    </cfRule>
  </conditionalFormatting>
  <conditionalFormatting sqref="E73:G79">
    <cfRule type="expression" dxfId="15" priority="20" stopIfTrue="1">
      <formula>$F$72="Yes"</formula>
    </cfRule>
  </conditionalFormatting>
  <conditionalFormatting sqref="B80:G92">
    <cfRule type="expression" dxfId="14" priority="14" stopIfTrue="1">
      <formula>$F$72="NO"</formula>
    </cfRule>
  </conditionalFormatting>
  <conditionalFormatting sqref="F83 F86">
    <cfRule type="cellIs" dxfId="13" priority="15" operator="greaterThanOrEqual">
      <formula>$F$81</formula>
    </cfRule>
  </conditionalFormatting>
  <conditionalFormatting sqref="F87 F92">
    <cfRule type="cellIs" dxfId="12" priority="16" operator="between">
      <formula>1.1</formula>
      <formula>1.2999</formula>
    </cfRule>
    <cfRule type="cellIs" dxfId="11" priority="17" operator="lessThan">
      <formula>1.1</formula>
    </cfRule>
  </conditionalFormatting>
  <conditionalFormatting sqref="F68">
    <cfRule type="cellIs" dxfId="10" priority="13" operator="lessThan">
      <formula>$F$64</formula>
    </cfRule>
  </conditionalFormatting>
  <conditionalFormatting sqref="F80">
    <cfRule type="expression" dxfId="9" priority="12">
      <formula>#REF!="Yes"</formula>
    </cfRule>
  </conditionalFormatting>
  <conditionalFormatting sqref="E41:G45">
    <cfRule type="expression" dxfId="8" priority="9" stopIfTrue="1">
      <formula>IF($F$39="No", "TRUE", "FALSE")</formula>
    </cfRule>
  </conditionalFormatting>
  <conditionalFormatting sqref="F46:F48">
    <cfRule type="cellIs" dxfId="7" priority="8" operator="lessThan">
      <formula>$F$30</formula>
    </cfRule>
  </conditionalFormatting>
  <conditionalFormatting sqref="B83">
    <cfRule type="expression" dxfId="6" priority="7" stopIfTrue="1">
      <formula>$F$72="NO"</formula>
    </cfRule>
  </conditionalFormatting>
  <conditionalFormatting sqref="B27:AM61 B69:AM154 C62:AM67 C68:I68 N68:AM68">
    <cfRule type="expression" dxfId="5" priority="5">
      <formula>$G$23="No"</formula>
    </cfRule>
    <cfRule type="expression" dxfId="4" priority="6">
      <formula>$G$22="No"</formula>
    </cfRule>
  </conditionalFormatting>
  <conditionalFormatting sqref="AR59:AR65">
    <cfRule type="expression" dxfId="3" priority="3">
      <formula>$G$23="No"</formula>
    </cfRule>
    <cfRule type="expression" dxfId="2" priority="4">
      <formula>$G$22="No"</formula>
    </cfRule>
  </conditionalFormatting>
  <conditionalFormatting sqref="B62:B68">
    <cfRule type="expression" dxfId="1" priority="1">
      <formula>$G$23="No"</formula>
    </cfRule>
    <cfRule type="expression" dxfId="0" priority="2">
      <formula>$G$22="No"</formula>
    </cfRule>
  </conditionalFormatting>
  <dataValidations xWindow="815" yWindow="414" count="20">
    <dataValidation type="decimal" allowBlank="1" showInputMessage="1" showErrorMessage="1" errorTitle="Lower UVLO Violation" error="The lower UVLO threshold MUST be at least 2.65V, and  less than the upper UVLO threshold. They cannot be equal." sqref="F97" xr:uid="{00000000-0002-0000-0100-000000000000}">
      <formula1>2.65</formula1>
      <formula2>F96</formula2>
    </dataValidation>
    <dataValidation type="decimal" allowBlank="1" showInputMessage="1" showErrorMessage="1" errorTitle="Upper OVLO Threshold Violation" error="The Upper OVLO Threshold must be greater than the upper UVLO threshold, and less than 17V." sqref="F98" xr:uid="{00000000-0002-0000-0100-000001000000}">
      <formula1>F96+0.01</formula1>
      <formula2>17</formula2>
    </dataValidation>
    <dataValidation type="decimal" allowBlank="1" showInputMessage="1" showErrorMessage="1" errorTitle="Lower OVLO Threshold Violation" error="The lower OVLO threshold must be greater than the upper UVLO threshold, and less than the upper OVLO threshold." sqref="F99" xr:uid="{00000000-0002-0000-0100-000002000000}">
      <formula1>F96+0.01</formula1>
      <formula2>F98</formula2>
    </dataValidation>
    <dataValidation type="decimal" allowBlank="1" showInputMessage="1" showErrorMessage="1" errorTitle="UVLO Threshold Violation" error="The upper UVLO threshold must be no less than 2.9V, and no greater than 17V." sqref="F96" xr:uid="{00000000-0002-0000-0100-000003000000}">
      <formula1>2.9</formula1>
      <formula2>17</formula2>
    </dataValidation>
    <dataValidation type="decimal" allowBlank="1" showInputMessage="1" showErrorMessage="1" errorTitle="Minimum System Voltage Violation" error="Input voltage should be between 2.9V and 17V." sqref="F28" xr:uid="{00000000-0002-0000-0100-000004000000}">
      <formula1>F27</formula1>
      <formula2>F29</formula2>
    </dataValidation>
    <dataValidation type="decimal" operator="greaterThanOrEqual" allowBlank="1" showInputMessage="1" showErrorMessage="1" errorTitle="Load Capacitance Violation" error="A minimum load capacitance of 10 uF is required to help prevent disruptions at turn off." sqref="F31" xr:uid="{00000000-0002-0000-0100-000005000000}">
      <formula1>10</formula1>
    </dataValidation>
    <dataValidation type="decimal" operator="greaterThan" allowBlank="1" showInputMessage="1" showErrorMessage="1" errorTitle="Maximum Load Current Violation" error="Maximum Load Current must be greater than 0." sqref="F30" xr:uid="{00000000-0002-0000-0100-000006000000}">
      <formula1>0</formula1>
    </dataValidation>
    <dataValidation type="list" allowBlank="1" showInputMessage="1" showErrorMessage="1" sqref="F95" xr:uid="{00000000-0002-0000-0100-000007000000}">
      <formula1>$AN$95:$AN$96</formula1>
    </dataValidation>
    <dataValidation type="list" allowBlank="1" showInputMessage="1" showErrorMessage="1" sqref="F51" xr:uid="{00000000-0002-0000-0100-000008000000}">
      <formula1>$AN$50:$AN$51</formula1>
    </dataValidation>
    <dataValidation type="list" allowBlank="1" showInputMessage="1" showErrorMessage="1" sqref="F50" xr:uid="{00000000-0002-0000-0100-000009000000}">
      <formula1>$AN$48:$AN$49</formula1>
    </dataValidation>
    <dataValidation type="whole" allowBlank="1" showInputMessage="1" showErrorMessage="1" sqref="F54" xr:uid="{00000000-0002-0000-0100-00000A000000}">
      <formula1>1</formula1>
      <formula2>6</formula2>
    </dataValidation>
    <dataValidation type="decimal" operator="greaterThan" allowBlank="1" showInputMessage="1" showErrorMessage="1" sqref="F43 F45" xr:uid="{00000000-0002-0000-0100-00000B000000}">
      <formula1>0</formula1>
    </dataValidation>
    <dataValidation type="custom" errorStyle="information" operator="equal" allowBlank="1" showInputMessage="1" showErrorMessage="1" errorTitle="Resistor Divider" error="When using resistor divider Rs should be set larger than Rs,eff. _x000a__x000a_Otherwise switch to &quot;No resistor divider&quot;" sqref="F41" xr:uid="{00000000-0002-0000-0100-00000C000000}">
      <formula1>"""NA"""</formula1>
    </dataValidation>
    <dataValidation type="list" allowBlank="1" showInputMessage="1" showErrorMessage="1" sqref="F72 F80 F39" xr:uid="{00000000-0002-0000-0100-00000D000000}">
      <formula1>$AN$39:$AN$40</formula1>
    </dataValidation>
    <dataValidation type="list" allowBlank="1" showInputMessage="1" showErrorMessage="1" sqref="F37" xr:uid="{00000000-0002-0000-0100-00000E000000}">
      <formula1>$AN$37:$AN$38</formula1>
    </dataValidation>
    <dataValidation type="list" allowBlank="1" showInputMessage="1" showErrorMessage="1" sqref="F70" xr:uid="{00000000-0002-0000-0100-00000F000000}">
      <formula1>$AN$71:$AN$72</formula1>
    </dataValidation>
    <dataValidation type="decimal" allowBlank="1" showInputMessage="1" showErrorMessage="1" sqref="F56" xr:uid="{00000000-0002-0000-0100-000010000000}">
      <formula1>0</formula1>
      <formula2>200</formula2>
    </dataValidation>
    <dataValidation type="decimal" allowBlank="1" showInputMessage="1" showErrorMessage="1" sqref="F57:F61" xr:uid="{00000000-0002-0000-0100-000011000000}">
      <formula1>0.001</formula1>
      <formula2>400</formula2>
    </dataValidation>
    <dataValidation type="decimal" allowBlank="1" showInputMessage="1" showErrorMessage="1" error="Must enter value less than 10" sqref="F44" xr:uid="{00000000-0002-0000-0100-000012000000}">
      <formula1>0</formula1>
      <formula2>10</formula2>
    </dataValidation>
    <dataValidation type="list" allowBlank="1" showInputMessage="1" showErrorMessage="1" sqref="G22:G23" xr:uid="{00000000-0002-0000-0100-000013000000}">
      <formula1>yesno</formula1>
    </dataValidation>
  </dataValidations>
  <hyperlinks>
    <hyperlink ref="B2" r:id="rId1" xr:uid="{00000000-0004-0000-0100-000000000000}"/>
    <hyperlink ref="D24:F25" r:id="rId2" display="*For additional questions not addressed in the videos, please post on E2E.ti.com" xr:uid="{00000000-0004-0000-0100-000001000000}"/>
    <hyperlink ref="B33:B34" r:id="rId3" display="Steps 1 &amp; 2: Operating Conditions, Current Limit, &amp; Circuit Breaker" xr:uid="{00000000-0004-0000-0100-000002000000}"/>
    <hyperlink ref="B43:B45" r:id="rId4" display="Steps 1 &amp; 2: Operating Conditions, Current Limit, &amp; Circuit Breaker" xr:uid="{00000000-0004-0000-0100-000003000000}"/>
    <hyperlink ref="B59" r:id="rId5" xr:uid="{00000000-0004-0000-0100-000004000000}"/>
    <hyperlink ref="B78" r:id="rId6" xr:uid="{00000000-0004-0000-0100-000005000000}"/>
    <hyperlink ref="B102" r:id="rId7" xr:uid="{00000000-0004-0000-0100-000006000000}"/>
    <hyperlink ref="D19" r:id="rId8" display="Step 5: UVLO, OVLO &amp; PGD Thresholds" xr:uid="{00000000-0004-0000-0100-000007000000}"/>
    <hyperlink ref="D18" r:id="rId9" display="Step 4: Startup" xr:uid="{00000000-0004-0000-0100-000008000000}"/>
    <hyperlink ref="D17" r:id="rId10" display="Step 3: MOSFET Selection" xr:uid="{00000000-0004-0000-0100-000009000000}"/>
    <hyperlink ref="D16:F16" r:id="rId11" display="Steps 1 &amp; 2: Operating Conditions, Current Limit, &amp; Circuit Breaker" xr:uid="{00000000-0004-0000-0100-00000A000000}"/>
    <hyperlink ref="D20" r:id="rId12" xr:uid="{00000000-0004-0000-0100-00000B000000}"/>
    <hyperlink ref="D16:I16" r:id="rId13" display="Steps 1 &amp; 2: Operating Conditions, Current Limit, &amp; Circuit Breaker (7:41)" xr:uid="{00000000-0004-0000-0100-00000C000000}"/>
    <hyperlink ref="D17:I17" r:id="rId14" display="Step 3: MOSFET Selection (9:58)" xr:uid="{00000000-0004-0000-0100-00000D000000}"/>
    <hyperlink ref="D18:I18" r:id="rId15" display="Step 4: Startup (10:32)" xr:uid="{00000000-0004-0000-0100-00000E000000}"/>
    <hyperlink ref="D19:I19" r:id="rId16" display="Step 5: UVLO, OVLO &amp; PGD Thresholds (4:20)" xr:uid="{00000000-0004-0000-0100-00000F000000}"/>
  </hyperlinks>
  <pageMargins left="0.17" right="0.17" top="0.55000000000000004" bottom="0.92" header="0.48" footer="0.2"/>
  <pageSetup scale="62" fitToHeight="2" orientation="portrait" r:id="rId17"/>
  <headerFooter alignWithMargins="0"/>
  <drawing r:id="rId18"/>
  <legacyDrawing r:id="rId19"/>
  <extLst>
    <ext xmlns:x14="http://schemas.microsoft.com/office/spreadsheetml/2009/9/main" uri="{CCE6A557-97BC-4b89-ADB6-D9C93CAAB3DF}">
      <x14:dataValidations xmlns:xm="http://schemas.microsoft.com/office/excel/2006/main" xWindow="815" yWindow="414" count="5">
        <x14:dataValidation type="decimal" allowBlank="1" showInputMessage="1" showErrorMessage="1" xr:uid="{00000000-0002-0000-0100-000014000000}">
          <x14:formula1>
            <xm:f>0</xm:f>
          </x14:formula1>
          <x14:formula2>
            <xm:f>Equations!F92</xm:f>
          </x14:formula2>
          <xm:sqref>F69</xm:sqref>
        </x14:dataValidation>
        <x14:dataValidation type="decimal" allowBlank="1" showInputMessage="1" showErrorMessage="1" errorTitle="Ambient Temperature Violation" error="The Ambient Temperature must be between -40C and 125C" xr:uid="{00000000-0002-0000-0100-000015000000}">
          <x14:formula1>
            <xm:f>'Device Parmaters'!C5</xm:f>
          </x14:formula1>
          <x14:formula2>
            <xm:f>'Device Parmaters'!E5</xm:f>
          </x14:formula2>
          <xm:sqref>F36</xm:sqref>
        </x14:dataValidation>
        <x14:dataValidation type="decimal" operator="lessThanOrEqual" allowBlank="1" showInputMessage="1" showErrorMessage="1" errorTitle="Maximum System Voltage Violation" error="The maximum system voltage must be no greater than 17V." xr:uid="{00000000-0002-0000-0100-000016000000}">
          <x14:formula1>
            <xm:f>'Device Parmaters'!E5</xm:f>
          </x14:formula1>
          <xm:sqref>F29</xm:sqref>
        </x14:dataValidation>
        <x14:dataValidation type="decimal" allowBlank="1" showInputMessage="1" showErrorMessage="1" errorTitle="Ambient Temperature Violation" error="The Ambient Temperature must be between -40C and 125C" xr:uid="{00000000-0002-0000-0100-000017000000}">
          <x14:formula1>
            <xm:f>'Device Parmaters'!C4</xm:f>
          </x14:formula1>
          <x14:formula2>
            <xm:f>'Device Parmaters'!E4</xm:f>
          </x14:formula2>
          <xm:sqref>F32:F35</xm:sqref>
        </x14:dataValidation>
        <x14:dataValidation type="decimal" operator="greaterThanOrEqual" allowBlank="1" showInputMessage="1" showErrorMessage="1" errorTitle="Minimum System Voltage Violation" error="The minimum system voltage must be at least 2.9V." xr:uid="{00000000-0002-0000-0100-000018000000}">
          <x14:formula1>
            <xm:f>'Device Parmaters'!C5</xm:f>
          </x14:formula1>
          <xm:sqref>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2:Q52"/>
  <sheetViews>
    <sheetView workbookViewId="0">
      <selection activeCell="E14" sqref="E14"/>
    </sheetView>
  </sheetViews>
  <sheetFormatPr defaultRowHeight="12.75" x14ac:dyDescent="0.2"/>
  <cols>
    <col min="1" max="1" width="9.42578125" customWidth="1"/>
    <col min="2" max="2" width="24.28515625" customWidth="1"/>
    <col min="12" max="12" width="13.5703125" customWidth="1"/>
  </cols>
  <sheetData>
    <row r="2" spans="1:17" x14ac:dyDescent="0.2">
      <c r="A2" s="33"/>
      <c r="C2" s="33" t="s">
        <v>76</v>
      </c>
      <c r="D2" s="33" t="s">
        <v>77</v>
      </c>
      <c r="E2" s="33" t="s">
        <v>78</v>
      </c>
      <c r="F2" s="33" t="s">
        <v>173</v>
      </c>
    </row>
    <row r="3" spans="1:17" x14ac:dyDescent="0.2">
      <c r="A3" s="27" t="s">
        <v>168</v>
      </c>
      <c r="C3" s="33"/>
      <c r="D3" s="33"/>
      <c r="E3" s="33"/>
    </row>
    <row r="4" spans="1:17" x14ac:dyDescent="0.2">
      <c r="A4" s="27"/>
      <c r="B4" s="33" t="s">
        <v>181</v>
      </c>
      <c r="C4" s="82">
        <v>-40</v>
      </c>
      <c r="D4" s="82"/>
      <c r="E4" s="82">
        <v>125</v>
      </c>
    </row>
    <row r="5" spans="1:17" x14ac:dyDescent="0.2">
      <c r="B5" s="34" t="s">
        <v>169</v>
      </c>
      <c r="C5" s="1">
        <v>2.9</v>
      </c>
      <c r="D5" s="1"/>
      <c r="E5" s="1">
        <v>17</v>
      </c>
      <c r="F5" s="33" t="s">
        <v>92</v>
      </c>
      <c r="J5" s="2"/>
    </row>
    <row r="6" spans="1:17" ht="16.5" customHeight="1" x14ac:dyDescent="0.2">
      <c r="A6" s="27" t="s">
        <v>145</v>
      </c>
      <c r="B6" s="34"/>
      <c r="C6" s="1"/>
      <c r="D6" s="1"/>
      <c r="E6" s="1"/>
      <c r="J6" s="2"/>
    </row>
    <row r="7" spans="1:17" x14ac:dyDescent="0.2">
      <c r="B7" s="34" t="s">
        <v>170</v>
      </c>
      <c r="C7" s="1">
        <v>23</v>
      </c>
      <c r="D7" s="1">
        <v>25</v>
      </c>
      <c r="E7" s="1">
        <v>27</v>
      </c>
      <c r="J7" s="2"/>
    </row>
    <row r="8" spans="1:17" x14ac:dyDescent="0.2">
      <c r="B8" s="34" t="s">
        <v>171</v>
      </c>
      <c r="C8" s="1">
        <v>42.3</v>
      </c>
      <c r="D8" s="1">
        <v>46</v>
      </c>
      <c r="E8" s="1">
        <v>49.7</v>
      </c>
      <c r="J8" s="34"/>
    </row>
    <row r="9" spans="1:17" x14ac:dyDescent="0.2">
      <c r="B9" s="34" t="s">
        <v>172</v>
      </c>
      <c r="C9" s="1"/>
      <c r="D9" s="1">
        <v>33</v>
      </c>
      <c r="E9" s="1"/>
      <c r="F9" s="33" t="s">
        <v>174</v>
      </c>
      <c r="J9" s="34"/>
    </row>
    <row r="10" spans="1:17" x14ac:dyDescent="0.2">
      <c r="C10" s="1"/>
      <c r="D10" s="1"/>
      <c r="E10" s="1"/>
    </row>
    <row r="11" spans="1:17" x14ac:dyDescent="0.2">
      <c r="A11" s="27" t="s">
        <v>183</v>
      </c>
      <c r="C11" s="1"/>
      <c r="D11" s="1"/>
      <c r="E11" s="1"/>
    </row>
    <row r="12" spans="1:17" x14ac:dyDescent="0.2">
      <c r="B12" s="33" t="s">
        <v>299</v>
      </c>
      <c r="C12" s="1"/>
      <c r="D12" s="1"/>
      <c r="E12" s="1">
        <v>2.0999999999999999E-3</v>
      </c>
      <c r="F12" s="33" t="s">
        <v>92</v>
      </c>
    </row>
    <row r="13" spans="1:17" x14ac:dyDescent="0.2">
      <c r="B13" s="33" t="s">
        <v>300</v>
      </c>
      <c r="C13" s="152"/>
      <c r="D13" s="152"/>
      <c r="E13" s="152">
        <v>4.0000000000000001E-3</v>
      </c>
      <c r="F13" s="33" t="s">
        <v>92</v>
      </c>
      <c r="G13" s="33" t="s">
        <v>301</v>
      </c>
    </row>
    <row r="14" spans="1:17" x14ac:dyDescent="0.2">
      <c r="B14" s="33" t="s">
        <v>302</v>
      </c>
      <c r="C14" s="152"/>
      <c r="D14" s="152"/>
      <c r="E14" s="157">
        <v>194000</v>
      </c>
      <c r="F14" s="33"/>
    </row>
    <row r="15" spans="1:17" x14ac:dyDescent="0.2">
      <c r="B15" s="33"/>
      <c r="C15" s="152"/>
      <c r="D15" s="152"/>
      <c r="E15" s="157"/>
      <c r="F15" s="33"/>
    </row>
    <row r="16" spans="1:17" x14ac:dyDescent="0.2">
      <c r="B16" s="33" t="s">
        <v>311</v>
      </c>
      <c r="C16" s="156" t="s">
        <v>303</v>
      </c>
      <c r="D16" s="152"/>
      <c r="E16" s="152"/>
      <c r="F16" s="33"/>
      <c r="I16" s="33" t="s">
        <v>305</v>
      </c>
      <c r="J16" s="33" t="s">
        <v>75</v>
      </c>
      <c r="K16" s="33" t="s">
        <v>306</v>
      </c>
      <c r="L16" s="33" t="s">
        <v>308</v>
      </c>
      <c r="M16" s="33" t="s">
        <v>307</v>
      </c>
      <c r="N16" s="33" t="s">
        <v>309</v>
      </c>
      <c r="P16" s="33" t="s">
        <v>307</v>
      </c>
      <c r="Q16" s="33" t="s">
        <v>306</v>
      </c>
    </row>
    <row r="17" spans="1:17" x14ac:dyDescent="0.2">
      <c r="B17" s="33"/>
      <c r="C17" s="156" t="s">
        <v>304</v>
      </c>
      <c r="D17" s="152"/>
      <c r="E17" s="152"/>
      <c r="F17" s="33"/>
      <c r="J17">
        <v>12</v>
      </c>
      <c r="K17">
        <v>25</v>
      </c>
      <c r="L17">
        <f>0.5</f>
        <v>0.5</v>
      </c>
      <c r="M17" s="159">
        <f>1/(0.001*L17)*(K17*1000/$E$14+J17*$E$12)</f>
        <v>308.1319587628866</v>
      </c>
      <c r="N17" s="158">
        <f>K17*1000/$E$14/J17+$E$12</f>
        <v>1.2838831615120273E-2</v>
      </c>
      <c r="P17">
        <v>82</v>
      </c>
      <c r="Q17">
        <f>E14*(P17*L17*0.001-J17*E12)</f>
        <v>3065.2000000000003</v>
      </c>
    </row>
    <row r="18" spans="1:17" x14ac:dyDescent="0.2">
      <c r="B18" s="33"/>
      <c r="C18" s="156" t="s">
        <v>310</v>
      </c>
      <c r="D18" s="152"/>
      <c r="E18" s="152"/>
      <c r="F18" s="33"/>
      <c r="J18">
        <v>12</v>
      </c>
      <c r="K18">
        <v>5</v>
      </c>
      <c r="L18">
        <f>0.5</f>
        <v>0.5</v>
      </c>
      <c r="M18" s="159">
        <f>1/(0.001*L18)*(K18*1000/$E$14+J18*$E$12)</f>
        <v>101.94639175257731</v>
      </c>
      <c r="N18" s="158">
        <f>K18*1000/$E$14/J18+$E$12*0.001</f>
        <v>2.1498663230240548E-3</v>
      </c>
    </row>
    <row r="19" spans="1:17" x14ac:dyDescent="0.2">
      <c r="B19" s="33" t="s">
        <v>312</v>
      </c>
      <c r="E19" s="152"/>
      <c r="F19" s="33"/>
      <c r="I19" s="33" t="s">
        <v>314</v>
      </c>
      <c r="M19" s="159"/>
      <c r="N19" s="158"/>
    </row>
    <row r="20" spans="1:17" x14ac:dyDescent="0.2">
      <c r="C20" s="1"/>
      <c r="D20" s="1"/>
      <c r="E20" s="1"/>
    </row>
    <row r="21" spans="1:17" x14ac:dyDescent="0.2">
      <c r="A21" s="27" t="s">
        <v>176</v>
      </c>
      <c r="C21" s="1"/>
      <c r="D21" s="1"/>
      <c r="E21" s="1"/>
    </row>
    <row r="22" spans="1:17" x14ac:dyDescent="0.2">
      <c r="B22" s="34" t="s">
        <v>177</v>
      </c>
      <c r="C22" s="1">
        <v>1.54</v>
      </c>
      <c r="D22" s="1">
        <v>1.7</v>
      </c>
      <c r="E22" s="1">
        <v>1.85</v>
      </c>
      <c r="F22" s="33" t="s">
        <v>92</v>
      </c>
    </row>
    <row r="23" spans="1:17" x14ac:dyDescent="0.2">
      <c r="B23" s="34" t="s">
        <v>178</v>
      </c>
      <c r="C23" s="1">
        <v>-3</v>
      </c>
      <c r="D23" s="1">
        <v>-5.5</v>
      </c>
      <c r="E23" s="1">
        <v>-8</v>
      </c>
      <c r="F23" s="33" t="s">
        <v>174</v>
      </c>
    </row>
    <row r="24" spans="1:17" x14ac:dyDescent="0.2">
      <c r="B24" s="34" t="s">
        <v>401</v>
      </c>
      <c r="C24" s="200"/>
      <c r="D24" s="200"/>
      <c r="E24" s="200"/>
      <c r="F24" s="33"/>
    </row>
    <row r="25" spans="1:17" x14ac:dyDescent="0.2">
      <c r="B25" s="34" t="s">
        <v>179</v>
      </c>
      <c r="C25" s="1">
        <v>120</v>
      </c>
      <c r="D25" s="1">
        <v>90</v>
      </c>
      <c r="E25" s="1">
        <v>60</v>
      </c>
      <c r="F25" s="33" t="s">
        <v>174</v>
      </c>
    </row>
    <row r="26" spans="1:17" x14ac:dyDescent="0.2">
      <c r="B26" s="34" t="s">
        <v>337</v>
      </c>
      <c r="C26" s="154"/>
      <c r="D26" s="154">
        <f>SQRT(0.66^2+ ((120-90)/90)^2+ 0.1^2)</f>
        <v>0.74613076006227697</v>
      </c>
      <c r="E26" s="154"/>
      <c r="F26" s="33"/>
      <c r="G26" s="33" t="s">
        <v>336</v>
      </c>
    </row>
    <row r="27" spans="1:17" x14ac:dyDescent="0.2">
      <c r="B27" s="34" t="s">
        <v>334</v>
      </c>
      <c r="C27" s="154"/>
      <c r="D27" s="154">
        <v>0.75</v>
      </c>
      <c r="E27" s="154"/>
      <c r="F27" s="33"/>
      <c r="G27" s="33" t="s">
        <v>335</v>
      </c>
    </row>
    <row r="28" spans="1:17" x14ac:dyDescent="0.2">
      <c r="B28" s="2"/>
      <c r="C28" s="1"/>
      <c r="D28" s="1"/>
      <c r="E28" s="1"/>
    </row>
    <row r="29" spans="1:17" x14ac:dyDescent="0.2">
      <c r="A29" s="27" t="s">
        <v>212</v>
      </c>
      <c r="B29" s="2"/>
      <c r="C29" s="1"/>
      <c r="D29" s="1"/>
      <c r="E29" s="1"/>
    </row>
    <row r="30" spans="1:17" x14ac:dyDescent="0.2">
      <c r="B30" s="34" t="s">
        <v>216</v>
      </c>
      <c r="C30" s="1">
        <v>16</v>
      </c>
      <c r="D30" s="1">
        <v>22</v>
      </c>
      <c r="E30" s="1">
        <v>28</v>
      </c>
    </row>
    <row r="31" spans="1:17" x14ac:dyDescent="0.2">
      <c r="B31" s="2"/>
      <c r="C31" s="1"/>
      <c r="D31" s="1"/>
      <c r="E31" s="1"/>
    </row>
    <row r="32" spans="1:17" x14ac:dyDescent="0.2">
      <c r="A32" s="27" t="s">
        <v>175</v>
      </c>
      <c r="B32" s="2"/>
      <c r="C32" s="1"/>
      <c r="D32" s="1"/>
      <c r="E32" s="1"/>
    </row>
    <row r="33" spans="1:5" x14ac:dyDescent="0.2">
      <c r="B33" s="34" t="s">
        <v>252</v>
      </c>
      <c r="C33" s="1">
        <v>35</v>
      </c>
      <c r="D33" s="1">
        <v>45</v>
      </c>
      <c r="E33" s="1">
        <v>55</v>
      </c>
    </row>
    <row r="34" spans="1:5" x14ac:dyDescent="0.2">
      <c r="B34" s="34" t="s">
        <v>253</v>
      </c>
      <c r="C34" s="1">
        <v>1.6</v>
      </c>
      <c r="D34" s="1">
        <v>1.8</v>
      </c>
      <c r="E34" s="1">
        <v>2</v>
      </c>
    </row>
    <row r="35" spans="1:5" x14ac:dyDescent="0.2">
      <c r="B35" s="34" t="s">
        <v>254</v>
      </c>
      <c r="C35" s="1">
        <v>70</v>
      </c>
      <c r="D35" s="1">
        <v>90</v>
      </c>
      <c r="E35" s="1">
        <v>110</v>
      </c>
    </row>
    <row r="36" spans="1:5" x14ac:dyDescent="0.2">
      <c r="B36" s="34" t="s">
        <v>255</v>
      </c>
      <c r="C36" s="1">
        <v>3.1</v>
      </c>
      <c r="D36" s="1">
        <v>3.6</v>
      </c>
      <c r="E36" s="1">
        <v>4</v>
      </c>
    </row>
    <row r="37" spans="1:5" x14ac:dyDescent="0.2">
      <c r="B37" s="2"/>
      <c r="C37" s="1"/>
      <c r="D37" s="1"/>
      <c r="E37" s="1"/>
    </row>
    <row r="38" spans="1:5" x14ac:dyDescent="0.2">
      <c r="A38" s="27" t="s">
        <v>265</v>
      </c>
      <c r="B38" s="2"/>
    </row>
    <row r="39" spans="1:5" x14ac:dyDescent="0.2">
      <c r="B39" s="34" t="s">
        <v>177</v>
      </c>
      <c r="C39">
        <v>1.54</v>
      </c>
      <c r="D39">
        <v>1.7</v>
      </c>
      <c r="E39">
        <v>1.85</v>
      </c>
    </row>
    <row r="40" spans="1:5" x14ac:dyDescent="0.2">
      <c r="B40" s="34" t="s">
        <v>266</v>
      </c>
      <c r="C40">
        <v>0.85</v>
      </c>
      <c r="D40">
        <v>1</v>
      </c>
      <c r="E40">
        <v>1.07</v>
      </c>
    </row>
    <row r="41" spans="1:5" x14ac:dyDescent="0.2">
      <c r="B41" s="34" t="s">
        <v>267</v>
      </c>
      <c r="D41">
        <v>0.3</v>
      </c>
    </row>
    <row r="42" spans="1:5" x14ac:dyDescent="0.2">
      <c r="B42" s="34" t="s">
        <v>268</v>
      </c>
      <c r="D42">
        <v>0.3</v>
      </c>
    </row>
    <row r="43" spans="1:5" x14ac:dyDescent="0.2">
      <c r="B43" s="34" t="s">
        <v>269</v>
      </c>
      <c r="C43">
        <v>3</v>
      </c>
      <c r="D43">
        <v>5.5</v>
      </c>
      <c r="E43">
        <v>8</v>
      </c>
    </row>
    <row r="44" spans="1:5" x14ac:dyDescent="0.2">
      <c r="B44" s="34" t="s">
        <v>270</v>
      </c>
      <c r="C44">
        <v>1.4</v>
      </c>
      <c r="D44">
        <v>1.9</v>
      </c>
      <c r="E44">
        <v>2.4</v>
      </c>
    </row>
    <row r="45" spans="1:5" x14ac:dyDescent="0.2">
      <c r="B45" s="34" t="s">
        <v>179</v>
      </c>
      <c r="C45">
        <v>60</v>
      </c>
      <c r="D45">
        <v>90</v>
      </c>
      <c r="E45">
        <v>120</v>
      </c>
    </row>
    <row r="46" spans="1:5" x14ac:dyDescent="0.2">
      <c r="B46" s="34" t="s">
        <v>271</v>
      </c>
      <c r="D46">
        <v>2.8</v>
      </c>
    </row>
    <row r="48" spans="1:5" x14ac:dyDescent="0.2">
      <c r="A48" s="27" t="s">
        <v>275</v>
      </c>
    </row>
    <row r="49" spans="1:8" x14ac:dyDescent="0.2">
      <c r="B49" s="34" t="s">
        <v>276</v>
      </c>
      <c r="D49">
        <v>25</v>
      </c>
      <c r="E49">
        <v>60</v>
      </c>
      <c r="F49" s="33" t="s">
        <v>184</v>
      </c>
      <c r="G49">
        <v>2</v>
      </c>
      <c r="H49" s="33" t="s">
        <v>277</v>
      </c>
    </row>
    <row r="50" spans="1:8" x14ac:dyDescent="0.2">
      <c r="A50" s="27" t="s">
        <v>278</v>
      </c>
    </row>
    <row r="51" spans="1:8" x14ac:dyDescent="0.2">
      <c r="B51" s="33" t="s">
        <v>279</v>
      </c>
      <c r="C51">
        <v>1.141</v>
      </c>
      <c r="D51">
        <v>1.167</v>
      </c>
      <c r="E51">
        <v>1.19</v>
      </c>
      <c r="F51" s="33" t="s">
        <v>92</v>
      </c>
    </row>
    <row r="52" spans="1:8" x14ac:dyDescent="0.2">
      <c r="B52" s="33" t="s">
        <v>280</v>
      </c>
      <c r="C52">
        <v>18</v>
      </c>
      <c r="D52">
        <v>24</v>
      </c>
      <c r="E52">
        <v>31</v>
      </c>
      <c r="F52" s="33" t="s">
        <v>174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3:Y219"/>
  <sheetViews>
    <sheetView topLeftCell="A25" workbookViewId="0">
      <selection activeCell="E14" sqref="E14"/>
    </sheetView>
  </sheetViews>
  <sheetFormatPr defaultRowHeight="12.75" x14ac:dyDescent="0.2"/>
  <cols>
    <col min="6" max="6" width="12.42578125" bestFit="1" customWidth="1"/>
    <col min="8" max="8" width="14" customWidth="1"/>
    <col min="9" max="9" width="12.7109375" customWidth="1"/>
    <col min="10" max="10" width="11.7109375" customWidth="1"/>
  </cols>
  <sheetData>
    <row r="13" spans="1:6" x14ac:dyDescent="0.2">
      <c r="A13" s="27" t="s">
        <v>145</v>
      </c>
    </row>
    <row r="14" spans="1:6" x14ac:dyDescent="0.2">
      <c r="E14" s="2"/>
    </row>
    <row r="15" spans="1:6" x14ac:dyDescent="0.2">
      <c r="D15" t="s">
        <v>223</v>
      </c>
      <c r="E15">
        <f>IF('Design Calculator'!$F$37="25 mV",'Device Parmaters'!C7,'Device Parmaters'!C8)</f>
        <v>23</v>
      </c>
      <c r="F15" s="93" t="s">
        <v>184</v>
      </c>
    </row>
    <row r="16" spans="1:6" x14ac:dyDescent="0.2">
      <c r="D16" t="s">
        <v>222</v>
      </c>
      <c r="E16">
        <f>IF('Design Calculator'!$F$37="25 mV",'Device Parmaters'!D7,'Device Parmaters'!D8)</f>
        <v>25</v>
      </c>
      <c r="F16" s="93" t="s">
        <v>184</v>
      </c>
    </row>
    <row r="17" spans="1:8" x14ac:dyDescent="0.2">
      <c r="D17" t="s">
        <v>221</v>
      </c>
      <c r="E17">
        <f>IF('Design Calculator'!$F$37="25 mV",'Device Parmaters'!E7,'Device Parmaters'!E8)</f>
        <v>27</v>
      </c>
      <c r="F17" s="93" t="s">
        <v>184</v>
      </c>
    </row>
    <row r="18" spans="1:8" x14ac:dyDescent="0.2">
      <c r="E18" s="2"/>
    </row>
    <row r="19" spans="1:8" x14ac:dyDescent="0.2">
      <c r="A19" s="27"/>
      <c r="E19" s="2"/>
    </row>
    <row r="20" spans="1:8" x14ac:dyDescent="0.2">
      <c r="E20" s="2" t="s">
        <v>0</v>
      </c>
      <c r="F20">
        <f>CLMIN_Threshold/('Design Calculator'!F30*1.01)</f>
        <v>0.37953795379537952</v>
      </c>
    </row>
    <row r="21" spans="1:8" x14ac:dyDescent="0.2">
      <c r="E21" s="34" t="s">
        <v>225</v>
      </c>
      <c r="F21" s="33" t="str">
        <f>IF(Rs&gt;RsMAX,10,"NA")</f>
        <v>NA</v>
      </c>
    </row>
    <row r="22" spans="1:8" x14ac:dyDescent="0.2">
      <c r="E22" s="34" t="s">
        <v>226</v>
      </c>
      <c r="F22" t="str">
        <f>IF(Rs&gt;RsMAX,(((IOUTMAX*Rs)/CLMIN_Threshold)-1)*F21,"NA")</f>
        <v>NA</v>
      </c>
    </row>
    <row r="23" spans="1:8" x14ac:dyDescent="0.2">
      <c r="E23" s="34" t="s">
        <v>227</v>
      </c>
      <c r="F23">
        <f>IF(RsMAX&gt;Rs,Rs,IF('Design Calculator'!F39="Yes",IF(Rs&gt;RsMAX,Rs/(1+RDIV2/RDIV1),Rs),Rs))</f>
        <v>0.33</v>
      </c>
      <c r="H23" s="128"/>
    </row>
    <row r="24" spans="1:8" x14ac:dyDescent="0.2">
      <c r="E24" s="2" t="s">
        <v>1</v>
      </c>
      <c r="F24" s="4">
        <f>CLMIN_Threshold/RsEFF</f>
        <v>69.696969696969688</v>
      </c>
      <c r="G24" s="4"/>
    </row>
    <row r="25" spans="1:8" x14ac:dyDescent="0.2">
      <c r="E25" s="2" t="s">
        <v>2</v>
      </c>
      <c r="F25">
        <f>CLNOM_Threshold/RsEFF</f>
        <v>75.757575757575751</v>
      </c>
    </row>
    <row r="26" spans="1:8" x14ac:dyDescent="0.2">
      <c r="E26" s="2" t="s">
        <v>3</v>
      </c>
      <c r="F26">
        <f>CLMAX_Threshold/RsEFF</f>
        <v>81.818181818181813</v>
      </c>
    </row>
    <row r="27" spans="1:8" x14ac:dyDescent="0.2">
      <c r="E27" s="2" t="s">
        <v>4</v>
      </c>
      <c r="F27">
        <f>F26^2*'Design Calculator'!F40</f>
        <v>2209.090909090909</v>
      </c>
    </row>
    <row r="30" spans="1:8" x14ac:dyDescent="0.2">
      <c r="E30" s="2"/>
    </row>
    <row r="31" spans="1:8" x14ac:dyDescent="0.2">
      <c r="A31" s="27" t="s">
        <v>165</v>
      </c>
    </row>
    <row r="32" spans="1:8" x14ac:dyDescent="0.2">
      <c r="A32" s="33"/>
      <c r="F32" s="33" t="s">
        <v>166</v>
      </c>
      <c r="H32" s="33" t="s">
        <v>167</v>
      </c>
    </row>
    <row r="33" spans="1:8" x14ac:dyDescent="0.2">
      <c r="A33" s="33"/>
      <c r="E33" s="68" t="s">
        <v>141</v>
      </c>
      <c r="F33" s="69">
        <f>VINMAX*'Design Calculator'!F57</f>
        <v>1125</v>
      </c>
      <c r="G33" s="33" t="s">
        <v>93</v>
      </c>
      <c r="H33">
        <f>F33*(TJMAX-TJ)/(TJMAX-25)</f>
        <v>675</v>
      </c>
    </row>
    <row r="34" spans="1:8" x14ac:dyDescent="0.2">
      <c r="A34" s="33"/>
      <c r="E34" s="68" t="s">
        <v>142</v>
      </c>
      <c r="F34" s="69">
        <f>VINMAX*'Design Calculator'!F58</f>
        <v>375</v>
      </c>
      <c r="G34" s="33" t="s">
        <v>93</v>
      </c>
      <c r="H34">
        <f>F34*(TJMAX-TJ)/(TJMAX-25)</f>
        <v>225</v>
      </c>
    </row>
    <row r="35" spans="1:8" x14ac:dyDescent="0.2">
      <c r="A35" s="33"/>
      <c r="E35" s="68" t="s">
        <v>143</v>
      </c>
      <c r="F35" s="69">
        <f>VINMAX*'Design Calculator'!F59</f>
        <v>150</v>
      </c>
      <c r="G35" s="33" t="s">
        <v>93</v>
      </c>
      <c r="H35">
        <f>F35*(TJMAX-TJ)/(TJMAX-25)</f>
        <v>90</v>
      </c>
    </row>
    <row r="36" spans="1:8" x14ac:dyDescent="0.2">
      <c r="A36" s="33"/>
      <c r="E36" s="68" t="s">
        <v>144</v>
      </c>
      <c r="F36" s="69">
        <f>VINMAX*'Design Calculator'!F60</f>
        <v>50</v>
      </c>
      <c r="G36" s="77" t="s">
        <v>93</v>
      </c>
      <c r="H36">
        <f>F36*(TJMAX-TJ)/(TJMAX-25)</f>
        <v>30</v>
      </c>
    </row>
    <row r="37" spans="1:8" x14ac:dyDescent="0.2">
      <c r="A37" s="33"/>
      <c r="E37" s="79"/>
      <c r="F37" s="78"/>
      <c r="G37" s="77"/>
    </row>
    <row r="38" spans="1:8" x14ac:dyDescent="0.2">
      <c r="A38" s="33"/>
      <c r="E38" s="79" t="s">
        <v>185</v>
      </c>
      <c r="F38" s="78">
        <f>VINMAX*'Device Parmaters'!E13/RsEFF/0.001</f>
        <v>151.51515151515153</v>
      </c>
      <c r="G38" s="77" t="s">
        <v>93</v>
      </c>
    </row>
    <row r="39" spans="1:8" x14ac:dyDescent="0.2">
      <c r="A39" s="33"/>
      <c r="E39" s="79" t="s">
        <v>317</v>
      </c>
      <c r="F39" s="78">
        <f>'Design Calculator'!F65</f>
        <v>112</v>
      </c>
      <c r="G39" s="77" t="s">
        <v>93</v>
      </c>
    </row>
    <row r="40" spans="1:8" x14ac:dyDescent="0.2">
      <c r="A40" s="33"/>
      <c r="E40" s="79" t="s">
        <v>306</v>
      </c>
      <c r="F40">
        <f>'Device Parmaters'!E14*(F39*RsEFF*0.001-VINMAX*'Device Parmaters'!$E$12)/1000</f>
        <v>2.0777400000000004</v>
      </c>
      <c r="G40" s="77" t="s">
        <v>318</v>
      </c>
    </row>
    <row r="41" spans="1:8" x14ac:dyDescent="0.2">
      <c r="A41" s="33"/>
      <c r="E41" s="79" t="s">
        <v>320</v>
      </c>
      <c r="F41" s="78">
        <f>RPWR</f>
        <v>5.23</v>
      </c>
      <c r="G41" s="77" t="s">
        <v>318</v>
      </c>
    </row>
    <row r="42" spans="1:8" x14ac:dyDescent="0.2">
      <c r="A42" s="33"/>
      <c r="E42" s="79" t="s">
        <v>321</v>
      </c>
      <c r="F42" s="301">
        <f>1/RsEFF*1000*(Equations!F41*1000/'Device Parmaters'!E14+VINMAX*'Device Parmaters'!E12)</f>
        <v>161.23867541393315</v>
      </c>
      <c r="G42" s="77" t="s">
        <v>93</v>
      </c>
    </row>
    <row r="43" spans="1:8" x14ac:dyDescent="0.2">
      <c r="A43" s="33"/>
      <c r="E43" s="79"/>
      <c r="G43" s="77"/>
    </row>
    <row r="44" spans="1:8" x14ac:dyDescent="0.2">
      <c r="A44" s="33"/>
      <c r="E44" s="79"/>
      <c r="G44" s="77"/>
    </row>
    <row r="45" spans="1:8" x14ac:dyDescent="0.2">
      <c r="A45" s="33"/>
      <c r="E45" s="79"/>
      <c r="G45" s="77"/>
    </row>
    <row r="46" spans="1:8" x14ac:dyDescent="0.2">
      <c r="E46" s="2" t="s">
        <v>5</v>
      </c>
      <c r="F46" s="4">
        <f>F47*(1-0.24)</f>
        <v>122.5413933145892</v>
      </c>
      <c r="G46" t="s">
        <v>17</v>
      </c>
    </row>
    <row r="47" spans="1:8" x14ac:dyDescent="0.2">
      <c r="E47" s="2" t="s">
        <v>6</v>
      </c>
      <c r="F47" s="4">
        <f>F42</f>
        <v>161.23867541393315</v>
      </c>
    </row>
    <row r="48" spans="1:8" x14ac:dyDescent="0.2">
      <c r="E48" s="2" t="s">
        <v>7</v>
      </c>
      <c r="F48" s="4">
        <f>F47*(1+0.24)</f>
        <v>199.93595751327712</v>
      </c>
    </row>
    <row r="49" spans="1:12" x14ac:dyDescent="0.2">
      <c r="E49" s="2"/>
      <c r="F49" s="1"/>
      <c r="H49" s="2"/>
      <c r="I49" s="1"/>
      <c r="K49" s="2"/>
      <c r="L49" s="1"/>
    </row>
    <row r="50" spans="1:12" x14ac:dyDescent="0.2">
      <c r="E50" s="2"/>
      <c r="F50" s="1"/>
      <c r="H50" s="2"/>
      <c r="I50" s="1"/>
      <c r="K50" s="2"/>
      <c r="L50" s="1"/>
    </row>
    <row r="51" spans="1:12" x14ac:dyDescent="0.2">
      <c r="A51" s="27" t="s">
        <v>164</v>
      </c>
    </row>
    <row r="52" spans="1:12" x14ac:dyDescent="0.2">
      <c r="A52" s="27"/>
      <c r="D52" s="373" t="s">
        <v>360</v>
      </c>
      <c r="E52" s="374"/>
      <c r="F52" s="374"/>
      <c r="G52" s="374"/>
    </row>
    <row r="53" spans="1:12" x14ac:dyDescent="0.2">
      <c r="A53" s="27"/>
      <c r="E53" s="34" t="s">
        <v>340</v>
      </c>
      <c r="F53" s="4">
        <f>Start_up!M2</f>
        <v>56.818181818181792</v>
      </c>
      <c r="G53" s="33" t="s">
        <v>8</v>
      </c>
    </row>
    <row r="54" spans="1:12" x14ac:dyDescent="0.2">
      <c r="A54" s="27"/>
      <c r="E54" s="34" t="s">
        <v>341</v>
      </c>
      <c r="F54" s="4">
        <f>'Device Parmaters'!D27</f>
        <v>0.75</v>
      </c>
    </row>
    <row r="55" spans="1:12" x14ac:dyDescent="0.2">
      <c r="A55" s="27"/>
      <c r="E55" s="34" t="s">
        <v>342</v>
      </c>
      <c r="F55">
        <f>F53*(1+F54)</f>
        <v>99.43181818181813</v>
      </c>
      <c r="G55" s="33" t="s">
        <v>8</v>
      </c>
    </row>
    <row r="56" spans="1:12" x14ac:dyDescent="0.2">
      <c r="A56" s="27"/>
      <c r="E56" s="34" t="s">
        <v>343</v>
      </c>
      <c r="F56">
        <f>'Device Parmaters'!D25/'Device Parmaters'!D22*F55</f>
        <v>5264.0374331550775</v>
      </c>
      <c r="G56" s="33" t="s">
        <v>131</v>
      </c>
    </row>
    <row r="57" spans="1:12" x14ac:dyDescent="0.2">
      <c r="A57" s="27"/>
      <c r="E57" s="34" t="s">
        <v>344</v>
      </c>
      <c r="F57" s="4">
        <f>'Design Calculator'!F77</f>
        <v>120</v>
      </c>
      <c r="G57" s="33" t="s">
        <v>131</v>
      </c>
    </row>
    <row r="58" spans="1:12" x14ac:dyDescent="0.2">
      <c r="A58" s="27"/>
      <c r="E58" s="34" t="s">
        <v>347</v>
      </c>
      <c r="F58">
        <f>'Device Parmaters'!D22/'Device Parmaters'!D25*F57</f>
        <v>2.2666666666666666</v>
      </c>
      <c r="G58" s="33" t="s">
        <v>8</v>
      </c>
    </row>
    <row r="59" spans="1:12" x14ac:dyDescent="0.2">
      <c r="A59" s="27"/>
      <c r="E59" s="34" t="s">
        <v>355</v>
      </c>
      <c r="F59">
        <f>SOA!C26/F47</f>
        <v>2.1216486344388841</v>
      </c>
      <c r="G59" s="33"/>
    </row>
    <row r="60" spans="1:12" x14ac:dyDescent="0.2">
      <c r="A60" s="27"/>
      <c r="E60" s="34"/>
      <c r="G60" s="33"/>
    </row>
    <row r="61" spans="1:12" x14ac:dyDescent="0.2">
      <c r="A61" s="27"/>
      <c r="D61" s="373" t="s">
        <v>365</v>
      </c>
      <c r="E61" s="374"/>
      <c r="F61" s="374"/>
      <c r="G61" s="374"/>
    </row>
    <row r="62" spans="1:12" x14ac:dyDescent="0.2">
      <c r="A62" s="27"/>
      <c r="C62" s="33"/>
      <c r="D62" s="173"/>
      <c r="E62" s="34" t="s">
        <v>361</v>
      </c>
      <c r="F62" s="165">
        <f>'Design Calculator'!F83</f>
        <v>0.25</v>
      </c>
      <c r="G62" s="153" t="s">
        <v>362</v>
      </c>
    </row>
    <row r="63" spans="1:12" x14ac:dyDescent="0.2">
      <c r="A63" s="27"/>
      <c r="C63" s="33"/>
      <c r="D63" s="173"/>
      <c r="E63" s="34" t="s">
        <v>386</v>
      </c>
      <c r="F63" s="166">
        <f>'Device Parmaters'!D30/ss_rate</f>
        <v>88</v>
      </c>
      <c r="G63" s="33" t="s">
        <v>131</v>
      </c>
    </row>
    <row r="64" spans="1:12" x14ac:dyDescent="0.2">
      <c r="A64" s="27"/>
      <c r="C64" s="33"/>
      <c r="D64" s="173"/>
      <c r="E64" s="34" t="s">
        <v>387</v>
      </c>
      <c r="F64" s="165">
        <f>'Design Calculator'!F85</f>
        <v>100</v>
      </c>
      <c r="G64" s="33" t="s">
        <v>131</v>
      </c>
    </row>
    <row r="65" spans="1:8" x14ac:dyDescent="0.2">
      <c r="A65" s="27"/>
      <c r="C65" s="33"/>
      <c r="D65" s="173"/>
      <c r="E65" s="34" t="s">
        <v>388</v>
      </c>
      <c r="F65" s="166">
        <f>ss_rate*F63/F64</f>
        <v>0.22</v>
      </c>
      <c r="G65" s="33" t="s">
        <v>362</v>
      </c>
    </row>
    <row r="66" spans="1:8" x14ac:dyDescent="0.2">
      <c r="A66" s="27"/>
      <c r="C66" s="33"/>
      <c r="D66" s="173"/>
      <c r="E66" s="34" t="s">
        <v>363</v>
      </c>
      <c r="F66" s="165">
        <f>COUTMAX*F65/1000</f>
        <v>0.22</v>
      </c>
      <c r="G66" s="153" t="s">
        <v>28</v>
      </c>
    </row>
    <row r="67" spans="1:8" x14ac:dyDescent="0.2">
      <c r="A67" s="27"/>
      <c r="C67" s="33"/>
      <c r="D67" s="173"/>
      <c r="E67" s="34" t="s">
        <v>379</v>
      </c>
      <c r="F67" s="165">
        <f>VINMAX/F65</f>
        <v>56.81818181818182</v>
      </c>
      <c r="G67" s="153" t="s">
        <v>8</v>
      </c>
    </row>
    <row r="68" spans="1:8" x14ac:dyDescent="0.2">
      <c r="A68" s="27"/>
      <c r="C68" s="33"/>
      <c r="D68" s="173"/>
      <c r="E68" s="34" t="s">
        <v>380</v>
      </c>
      <c r="F68" s="165">
        <f>Start_up!N5</f>
        <v>7.7373798076923073E-2</v>
      </c>
      <c r="G68" s="165" t="s">
        <v>369</v>
      </c>
    </row>
    <row r="69" spans="1:8" x14ac:dyDescent="0.2">
      <c r="A69" s="27"/>
      <c r="C69" s="33"/>
      <c r="D69" s="173"/>
      <c r="E69" s="34" t="s">
        <v>381</v>
      </c>
      <c r="F69" s="165">
        <f>Start_up!Q4</f>
        <v>2.75</v>
      </c>
      <c r="G69" s="165" t="s">
        <v>93</v>
      </c>
    </row>
    <row r="70" spans="1:8" x14ac:dyDescent="0.2">
      <c r="A70" s="27"/>
      <c r="D70" s="172"/>
      <c r="E70" s="34" t="s">
        <v>382</v>
      </c>
      <c r="F70" s="165">
        <f>F68/F69*1000</f>
        <v>28.135926573426573</v>
      </c>
      <c r="G70" s="165" t="s">
        <v>8</v>
      </c>
    </row>
    <row r="71" spans="1:8" x14ac:dyDescent="0.2">
      <c r="A71" s="27"/>
      <c r="E71" s="34" t="s">
        <v>383</v>
      </c>
      <c r="F71" s="33">
        <f>SOA!H28</f>
        <v>54.940224728722235</v>
      </c>
      <c r="G71" s="165" t="s">
        <v>93</v>
      </c>
    </row>
    <row r="72" spans="1:8" x14ac:dyDescent="0.2">
      <c r="A72" s="27"/>
      <c r="E72" s="34" t="s">
        <v>384</v>
      </c>
      <c r="F72" s="33">
        <f>F71/F69</f>
        <v>19.978263537717176</v>
      </c>
      <c r="G72" s="33"/>
    </row>
    <row r="73" spans="1:8" x14ac:dyDescent="0.2">
      <c r="A73" s="27"/>
      <c r="E73" s="34"/>
      <c r="F73" s="33"/>
      <c r="G73" s="33"/>
    </row>
    <row r="74" spans="1:8" x14ac:dyDescent="0.2">
      <c r="A74" s="27"/>
      <c r="E74" s="34"/>
      <c r="F74" s="33">
        <v>1</v>
      </c>
      <c r="G74" s="165" t="s">
        <v>8</v>
      </c>
    </row>
    <row r="75" spans="1:8" x14ac:dyDescent="0.2">
      <c r="A75" s="27"/>
      <c r="D75" s="375" t="s">
        <v>393</v>
      </c>
      <c r="E75" s="375"/>
      <c r="F75" s="375"/>
      <c r="G75" s="375"/>
      <c r="H75" s="375"/>
    </row>
    <row r="76" spans="1:8" x14ac:dyDescent="0.2">
      <c r="A76" s="27"/>
      <c r="E76" s="34" t="s">
        <v>389</v>
      </c>
      <c r="F76" s="199">
        <f>'Design Calculator'!F88</f>
        <v>0.4</v>
      </c>
      <c r="G76" s="33"/>
    </row>
    <row r="77" spans="1:8" x14ac:dyDescent="0.2">
      <c r="A77" s="27"/>
      <c r="E77" s="34" t="s">
        <v>390</v>
      </c>
      <c r="F77" s="33">
        <f>'Device Parmaters'!D25/'Device Parmaters'!D22*F76</f>
        <v>21.176470588235297</v>
      </c>
      <c r="G77" s="33" t="s">
        <v>131</v>
      </c>
    </row>
    <row r="78" spans="1:8" x14ac:dyDescent="0.2">
      <c r="A78" s="27"/>
      <c r="E78" s="198" t="s">
        <v>391</v>
      </c>
      <c r="F78" s="199">
        <f>'Design Calculator'!F90</f>
        <v>22</v>
      </c>
      <c r="G78" s="33" t="s">
        <v>131</v>
      </c>
    </row>
    <row r="79" spans="1:8" x14ac:dyDescent="0.2">
      <c r="A79" s="27"/>
      <c r="E79" s="175" t="s">
        <v>395</v>
      </c>
      <c r="F79" s="33">
        <f>'Device Parmaters'!D22/'Device Parmaters'!D25*F78</f>
        <v>0.41555555555555557</v>
      </c>
      <c r="G79" s="33" t="s">
        <v>8</v>
      </c>
    </row>
    <row r="80" spans="1:8" x14ac:dyDescent="0.2">
      <c r="A80" s="27"/>
      <c r="E80" s="198" t="s">
        <v>394</v>
      </c>
      <c r="F80" s="33">
        <f>SOA!C26</f>
        <v>342.09181551070577</v>
      </c>
      <c r="G80" s="33" t="s">
        <v>93</v>
      </c>
    </row>
    <row r="81" spans="1:13" x14ac:dyDescent="0.2">
      <c r="A81" s="27"/>
      <c r="E81" s="175" t="s">
        <v>384</v>
      </c>
      <c r="F81" s="33">
        <f>F80/F42</f>
        <v>2.1216486344388841</v>
      </c>
      <c r="G81" s="33"/>
    </row>
    <row r="82" spans="1:13" x14ac:dyDescent="0.2">
      <c r="A82" s="27"/>
      <c r="E82" s="34"/>
      <c r="F82" s="33"/>
      <c r="G82" s="33"/>
    </row>
    <row r="83" spans="1:13" x14ac:dyDescent="0.2">
      <c r="A83" s="27"/>
      <c r="E83" s="34"/>
      <c r="F83" s="33"/>
      <c r="G83" s="33"/>
    </row>
    <row r="84" spans="1:13" x14ac:dyDescent="0.2">
      <c r="A84" s="27"/>
      <c r="E84" s="34"/>
      <c r="F84" s="33"/>
      <c r="G84" s="33"/>
    </row>
    <row r="85" spans="1:13" x14ac:dyDescent="0.2">
      <c r="A85" s="27"/>
      <c r="E85" s="34"/>
      <c r="F85" s="33"/>
      <c r="G85" s="33"/>
    </row>
    <row r="86" spans="1:13" x14ac:dyDescent="0.2">
      <c r="A86" s="27"/>
      <c r="E86" s="34"/>
      <c r="F86" s="33"/>
      <c r="G86" s="33"/>
    </row>
    <row r="87" spans="1:13" x14ac:dyDescent="0.2">
      <c r="A87" s="27"/>
      <c r="E87" s="34"/>
      <c r="F87" s="33"/>
      <c r="G87" s="33"/>
    </row>
    <row r="88" spans="1:13" x14ac:dyDescent="0.2">
      <c r="A88" s="27"/>
      <c r="E88" s="34"/>
      <c r="F88" s="33"/>
      <c r="G88" s="33"/>
    </row>
    <row r="89" spans="1:13" x14ac:dyDescent="0.2">
      <c r="A89" s="27"/>
      <c r="E89" s="34"/>
      <c r="F89" s="33"/>
      <c r="G89" s="33"/>
    </row>
    <row r="90" spans="1:13" x14ac:dyDescent="0.2">
      <c r="A90" s="27"/>
    </row>
    <row r="91" spans="1:13" x14ac:dyDescent="0.2">
      <c r="A91" s="33"/>
      <c r="E91" s="34"/>
    </row>
    <row r="92" spans="1:13" x14ac:dyDescent="0.2">
      <c r="A92" s="33"/>
      <c r="E92" s="34"/>
    </row>
    <row r="93" spans="1:13" x14ac:dyDescent="0.2">
      <c r="D93" s="33"/>
      <c r="E93" s="34"/>
    </row>
    <row r="94" spans="1:13" x14ac:dyDescent="0.2">
      <c r="D94" s="33"/>
      <c r="E94" s="34"/>
    </row>
    <row r="95" spans="1:13" x14ac:dyDescent="0.2">
      <c r="D95" s="33"/>
      <c r="E95" s="34"/>
    </row>
    <row r="96" spans="1:13" x14ac:dyDescent="0.2">
      <c r="E96" s="34"/>
      <c r="J96" s="6"/>
      <c r="M96" s="6"/>
    </row>
    <row r="97" spans="5:13" x14ac:dyDescent="0.2">
      <c r="E97" s="34"/>
      <c r="J97" s="6"/>
      <c r="M97" s="6"/>
    </row>
    <row r="98" spans="5:13" x14ac:dyDescent="0.2">
      <c r="E98" s="2"/>
      <c r="G98" t="s">
        <v>18</v>
      </c>
      <c r="J98" s="7"/>
      <c r="M98" s="7"/>
    </row>
    <row r="99" spans="5:13" x14ac:dyDescent="0.2">
      <c r="E99" s="34"/>
      <c r="J99" s="7"/>
      <c r="M99" s="7"/>
    </row>
    <row r="100" spans="5:13" x14ac:dyDescent="0.2">
      <c r="E100" s="2"/>
    </row>
    <row r="101" spans="5:13" x14ac:dyDescent="0.2">
      <c r="E101" s="2"/>
      <c r="I101" t="s">
        <v>30</v>
      </c>
      <c r="L101" t="s">
        <v>53</v>
      </c>
    </row>
    <row r="102" spans="5:13" x14ac:dyDescent="0.2">
      <c r="E102" s="34"/>
      <c r="G102" s="33" t="s">
        <v>28</v>
      </c>
    </row>
    <row r="103" spans="5:13" x14ac:dyDescent="0.2">
      <c r="E103" s="34"/>
      <c r="G103" s="33" t="s">
        <v>215</v>
      </c>
    </row>
    <row r="104" spans="5:13" x14ac:dyDescent="0.2">
      <c r="E104" s="34"/>
      <c r="G104" s="33" t="s">
        <v>131</v>
      </c>
    </row>
    <row r="105" spans="5:13" x14ac:dyDescent="0.2">
      <c r="E105" s="34"/>
      <c r="G105" s="33"/>
    </row>
    <row r="106" spans="5:13" x14ac:dyDescent="0.2">
      <c r="E106" s="34"/>
      <c r="G106" s="33"/>
    </row>
    <row r="107" spans="5:13" x14ac:dyDescent="0.2">
      <c r="E107" s="34" t="s">
        <v>262</v>
      </c>
      <c r="F107" s="4">
        <f>IF('Design Calculator'!F72="YES", Equations!F78, Equations!F57)*'Device Parmaters'!C39*1000/'Device Parmaters'!E43*0.001</f>
        <v>4.2350000000000003</v>
      </c>
      <c r="G107" s="33" t="s">
        <v>8</v>
      </c>
    </row>
    <row r="108" spans="5:13" x14ac:dyDescent="0.2">
      <c r="E108" s="34" t="s">
        <v>11</v>
      </c>
      <c r="F108" s="4">
        <f>IF('Design Calculator'!F72="YES", Equations!F78, Equations!F57)*0.001*'Device Parmaters'!D39*1000/'Device Parmaters'!D43</f>
        <v>6.8</v>
      </c>
      <c r="G108" s="33" t="s">
        <v>8</v>
      </c>
    </row>
    <row r="109" spans="5:13" x14ac:dyDescent="0.2">
      <c r="E109" s="34" t="s">
        <v>263</v>
      </c>
      <c r="F109" s="4">
        <f>IF('Design Calculator'!F72="YES", Equations!F78, Equations!F57)*0.001*'Device Parmaters'!E39*1000/'Device Parmaters'!C43</f>
        <v>13.566666666666668</v>
      </c>
      <c r="G109" s="33" t="s">
        <v>8</v>
      </c>
    </row>
    <row r="110" spans="5:13" x14ac:dyDescent="0.2">
      <c r="E110" s="34" t="s">
        <v>264</v>
      </c>
      <c r="F110">
        <f>IF('Design Calculator'!F72="YES", Equations!F78, Equations!F57)*(H110+I110+J110)</f>
        <v>48.296023809523817</v>
      </c>
      <c r="G110" s="33" t="s">
        <v>8</v>
      </c>
      <c r="H110">
        <f>(('Device Parmaters'!C39-'Device Parmaters'!E40)/'Device Parmaters'!E45)*7</f>
        <v>2.7416666666666666E-2</v>
      </c>
      <c r="I110">
        <f>(('Device Parmaters'!C39-'Device Parmaters'!C40)/'Device Parmaters'!D46)*8</f>
        <v>1.9714285714285718</v>
      </c>
      <c r="J110">
        <f>(('Device Parmaters'!C40-'Device Parmaters'!D41)/'Device Parmaters'!D46)</f>
        <v>0.19642857142857145</v>
      </c>
    </row>
    <row r="111" spans="5:13" x14ac:dyDescent="0.2">
      <c r="E111" s="34" t="s">
        <v>12</v>
      </c>
      <c r="F111">
        <f>IF('Design Calculator'!F72="YES", Equations!F78, Equations!F57)*(H111+I111+J111)</f>
        <v>50.69777777777778</v>
      </c>
      <c r="G111" s="33" t="s">
        <v>8</v>
      </c>
      <c r="H111">
        <f>(('Device Parmaters'!D39-'Device Parmaters'!D40)/'Device Parmaters'!D45)*7</f>
        <v>5.4444444444444441E-2</v>
      </c>
      <c r="I111">
        <f>(('Device Parmaters'!D39-'Device Parmaters'!D40)/'Device Parmaters'!D46)*8</f>
        <v>2</v>
      </c>
      <c r="J111">
        <f>(('Device Parmaters'!D40-'Device Parmaters'!D41)/'Device Parmaters'!D46)</f>
        <v>0.25</v>
      </c>
    </row>
    <row r="112" spans="5:13" x14ac:dyDescent="0.2">
      <c r="E112" s="34" t="s">
        <v>284</v>
      </c>
      <c r="F112">
        <f>IF('Design Calculator'!F72="YES", Equations!F78, Equations!F57)*(H112+I112+J112)</f>
        <v>57.645238095238099</v>
      </c>
      <c r="G112" s="33" t="s">
        <v>8</v>
      </c>
      <c r="H112">
        <f>(('Device Parmaters'!E39-'Device Parmaters'!C40)/'Device Parmaters'!C45)*7</f>
        <v>0.11666666666666667</v>
      </c>
      <c r="I112">
        <f>(('Device Parmaters'!E39-'Device Parmaters'!E40)/'Device Parmaters'!D46)*8</f>
        <v>2.2285714285714286</v>
      </c>
      <c r="J112">
        <f>(('Device Parmaters'!E40-'Device Parmaters'!D41)/'Device Parmaters'!D46)</f>
        <v>0.27500000000000002</v>
      </c>
    </row>
    <row r="113" spans="4:12" x14ac:dyDescent="0.2">
      <c r="E113" s="34" t="s">
        <v>283</v>
      </c>
      <c r="F113">
        <f>(1+'Design Calculator'!F120/'Design Calculator'!F121)*'Device Parmaters'!C51</f>
        <v>8.7476666666666674</v>
      </c>
      <c r="G113" s="33"/>
    </row>
    <row r="114" spans="4:12" x14ac:dyDescent="0.2">
      <c r="E114" s="34" t="s">
        <v>282</v>
      </c>
      <c r="F114">
        <f>(1+'Design Calculator'!F120/'Design Calculator'!F121)*'Device Parmaters'!D51</f>
        <v>8.947000000000001</v>
      </c>
      <c r="G114" s="33"/>
    </row>
    <row r="115" spans="4:12" x14ac:dyDescent="0.2">
      <c r="E115" s="34" t="s">
        <v>281</v>
      </c>
      <c r="F115">
        <f>(1+'Design Calculator'!F120/'Design Calculator'!F121)*'Device Parmaters'!E51</f>
        <v>9.1233333333333331</v>
      </c>
    </row>
    <row r="116" spans="4:12" x14ac:dyDescent="0.2">
      <c r="E116" s="34" t="s">
        <v>285</v>
      </c>
      <c r="F116">
        <f>('Design Calculator'!F120*'Device Parmaters'!C52)</f>
        <v>180</v>
      </c>
    </row>
    <row r="117" spans="4:12" x14ac:dyDescent="0.2">
      <c r="E117" s="34" t="s">
        <v>286</v>
      </c>
      <c r="F117">
        <f>('Design Calculator'!F120*'Device Parmaters'!$D$52)</f>
        <v>240</v>
      </c>
    </row>
    <row r="118" spans="4:12" x14ac:dyDescent="0.2">
      <c r="E118" s="34" t="s">
        <v>287</v>
      </c>
      <c r="F118">
        <f>('Design Calculator'!F120*'Device Parmaters'!$E$52)</f>
        <v>310</v>
      </c>
    </row>
    <row r="119" spans="4:12" x14ac:dyDescent="0.2">
      <c r="E119" s="34"/>
    </row>
    <row r="120" spans="4:12" x14ac:dyDescent="0.2">
      <c r="E120" s="34"/>
    </row>
    <row r="121" spans="4:12" x14ac:dyDescent="0.2">
      <c r="D121" s="27"/>
      <c r="I121" t="s">
        <v>31</v>
      </c>
      <c r="L121" t="s">
        <v>54</v>
      </c>
    </row>
    <row r="122" spans="4:12" x14ac:dyDescent="0.2">
      <c r="D122" s="27"/>
      <c r="I122" t="s">
        <v>32</v>
      </c>
      <c r="L122" t="s">
        <v>55</v>
      </c>
    </row>
    <row r="123" spans="4:12" x14ac:dyDescent="0.2">
      <c r="D123" s="27"/>
      <c r="I123" t="s">
        <v>33</v>
      </c>
      <c r="L123" t="s">
        <v>56</v>
      </c>
    </row>
    <row r="126" spans="4:12" x14ac:dyDescent="0.2">
      <c r="E126" s="2" t="s">
        <v>22</v>
      </c>
    </row>
    <row r="127" spans="4:12" x14ac:dyDescent="0.2">
      <c r="E127" s="2" t="s">
        <v>23</v>
      </c>
    </row>
    <row r="128" spans="4:12" x14ac:dyDescent="0.2">
      <c r="E128" s="2"/>
      <c r="F128" s="1" t="s">
        <v>28</v>
      </c>
      <c r="G128" s="1" t="s">
        <v>29</v>
      </c>
    </row>
    <row r="129" spans="2:7" x14ac:dyDescent="0.2">
      <c r="E129" s="2" t="s">
        <v>36</v>
      </c>
      <c r="F129" s="18">
        <f>('Design Calculator'!F96-'Design Calculator'!F97)*1000/23</f>
        <v>43.478260869565219</v>
      </c>
      <c r="G129" s="18">
        <f>('Design Calculator'!F96-'Design Calculator'!F97)*1000/23</f>
        <v>43.478260869565219</v>
      </c>
    </row>
    <row r="130" spans="2:7" x14ac:dyDescent="0.2">
      <c r="E130" s="2" t="s">
        <v>35</v>
      </c>
      <c r="F130" s="18">
        <f>(1.16*F129/('Design Calculator'!F97-1.16))-F131</f>
        <v>2.573203194321207</v>
      </c>
      <c r="G130" s="18">
        <f>1.16*G129/('Design Calculator'!F97-1.16)</f>
        <v>6.4330079858030169</v>
      </c>
    </row>
    <row r="131" spans="2:7" x14ac:dyDescent="0.2">
      <c r="E131" s="2" t="s">
        <v>34</v>
      </c>
      <c r="F131" s="18">
        <f>1.16*F129*'Design Calculator'!F97/('Design Calculator'!F98*('Design Calculator'!F97-1.16))</f>
        <v>3.8598047914818099</v>
      </c>
      <c r="G131" s="18">
        <f>('Design Calculator'!F98-'Design Calculator'!F99)*1000/23</f>
        <v>43.478260869565219</v>
      </c>
    </row>
    <row r="132" spans="2:7" x14ac:dyDescent="0.2">
      <c r="E132" s="2" t="s">
        <v>37</v>
      </c>
      <c r="F132" s="1"/>
      <c r="G132" s="18">
        <f>1.16*G131/('Design Calculator'!F98-1.16)</f>
        <v>3.6441316913797435</v>
      </c>
    </row>
    <row r="133" spans="2:7" x14ac:dyDescent="0.2">
      <c r="B133" s="10"/>
      <c r="C133" s="11"/>
      <c r="D133" s="11"/>
      <c r="E133" s="12" t="s">
        <v>41</v>
      </c>
      <c r="F133" s="18">
        <f>1.147+('Design Calculator'!F104*((1.147/('Design Calculator'!F105+'Design Calculator'!F106))+(18/1000)))</f>
        <v>2.9217905816059568</v>
      </c>
      <c r="G133" s="18">
        <f>1.147+('Design Calculator'!F$104*((1.147/'Design Calculator'!F$105)+(18/1000)))</f>
        <v>9.5594844375963017</v>
      </c>
    </row>
    <row r="134" spans="2:7" x14ac:dyDescent="0.2">
      <c r="B134" s="13"/>
      <c r="C134" s="9"/>
      <c r="D134" s="9"/>
      <c r="E134" s="14" t="s">
        <v>42</v>
      </c>
      <c r="F134" s="18">
        <f>1.16+('Design Calculator'!F104*((1.16/('Design Calculator'!F105+'Design Calculator'!F106))+(23/1000)))</f>
        <v>3.1620926544576378</v>
      </c>
      <c r="G134" s="18">
        <f>1.16+('Design Calculator'!F$104*((1.16/'Design Calculator'!F$105)+(23/1000)))</f>
        <v>9.8750175654853614</v>
      </c>
    </row>
    <row r="135" spans="2:7" x14ac:dyDescent="0.2">
      <c r="B135" s="15"/>
      <c r="C135" s="16"/>
      <c r="D135" s="16"/>
      <c r="E135" s="17" t="s">
        <v>43</v>
      </c>
      <c r="F135" s="18">
        <f>1.173+('Design Calculator'!F104*((1.173/('Design Calculator'!F105+'Design Calculator'!F106))+(28/1000)))</f>
        <v>3.4023947273093178</v>
      </c>
      <c r="G135" s="18">
        <f>1.173+('Design Calculator'!F$104*((1.173/'Design Calculator'!F$105)+(28/1000)))</f>
        <v>10.190550693374423</v>
      </c>
    </row>
    <row r="136" spans="2:7" x14ac:dyDescent="0.2">
      <c r="E136" s="3" t="s">
        <v>44</v>
      </c>
      <c r="F136" s="18">
        <f>1.147*('Design Calculator'!F104+'Design Calculator'!F105+'Design Calculator'!F106)/('Design Calculator'!F105+'Design Calculator'!F106)</f>
        <v>2.1441905816059572</v>
      </c>
      <c r="G136" s="18">
        <f>1.147*('Design Calculator'!F$104+'Design Calculator'!F$105)/'Design Calculator'!F$105</f>
        <v>8.7818844375963039</v>
      </c>
    </row>
    <row r="137" spans="2:7" x14ac:dyDescent="0.2">
      <c r="E137" s="3" t="s">
        <v>45</v>
      </c>
      <c r="F137" s="18">
        <f>1.16*('Design Calculator'!F104+'Design Calculator'!F105+'Design Calculator'!F106)/('Design Calculator'!F105+'Design Calculator'!F106)</f>
        <v>2.1684926544576375</v>
      </c>
      <c r="G137" s="18">
        <f>1.16*('Design Calculator'!F$104+'Design Calculator'!F$105)/'Design Calculator'!F$105</f>
        <v>8.8814175654853624</v>
      </c>
    </row>
    <row r="138" spans="2:7" x14ac:dyDescent="0.2">
      <c r="E138" s="3" t="s">
        <v>46</v>
      </c>
      <c r="F138" s="18">
        <f>1.173*('Design Calculator'!F104+'Design Calculator'!F105+'Design Calculator'!F106)/('Design Calculator'!F105+'Design Calculator'!F106)</f>
        <v>2.1927947273093182</v>
      </c>
      <c r="G138" s="18">
        <f>1.173*('Design Calculator'!F$104+'Design Calculator'!F$105)/'Design Calculator'!F$105</f>
        <v>8.9809506933744228</v>
      </c>
    </row>
    <row r="139" spans="2:7" x14ac:dyDescent="0.2">
      <c r="B139" s="10"/>
      <c r="C139" s="11"/>
      <c r="D139" s="11"/>
      <c r="E139" s="12" t="s">
        <v>47</v>
      </c>
      <c r="F139" s="18">
        <f>1.141*('Design Calculator'!F$104+'Design Calculator'!F$105+'Design Calculator'!F$106)/'Design Calculator'!F$106</f>
        <v>2.4534141203703705</v>
      </c>
      <c r="G139" s="18">
        <f>1.141*('Design Calculator'!F$106+'Design Calculator'!F$107)/'Design Calculator'!F$107</f>
        <v>14.645438356164385</v>
      </c>
    </row>
    <row r="140" spans="2:7" x14ac:dyDescent="0.2">
      <c r="B140" s="13"/>
      <c r="C140" s="9"/>
      <c r="D140" s="9"/>
      <c r="E140" s="14" t="s">
        <v>48</v>
      </c>
      <c r="F140" s="18">
        <f>1.16*('Design Calculator'!F$104+'Design Calculator'!F$105+'Design Calculator'!F$106)/'Design Calculator'!F$106</f>
        <v>2.4942685185185187</v>
      </c>
      <c r="G140" s="18">
        <f>1.16*('Design Calculator'!F$106+'Design Calculator'!F$107)/'Design Calculator'!F$107</f>
        <v>14.889315068493151</v>
      </c>
    </row>
    <row r="141" spans="2:7" x14ac:dyDescent="0.2">
      <c r="B141" s="15"/>
      <c r="C141" s="16"/>
      <c r="D141" s="16"/>
      <c r="E141" s="17" t="s">
        <v>49</v>
      </c>
      <c r="F141" s="18">
        <f>1.185*('Design Calculator'!F$104+'Design Calculator'!F$105+'Design Calculator'!F$106)/'Design Calculator'!F$106</f>
        <v>2.5480243055555558</v>
      </c>
      <c r="G141" s="18">
        <f>1.185*('Design Calculator'!F$106+'Design Calculator'!F$107)/'Design Calculator'!F$107</f>
        <v>15.210205479452057</v>
      </c>
    </row>
    <row r="142" spans="2:7" x14ac:dyDescent="0.2">
      <c r="E142" s="3" t="s">
        <v>50</v>
      </c>
      <c r="F142" s="18">
        <f>1.141+(('Design Calculator'!F$104+'Design Calculator'!F$105)*((1.142/'Design Calculator'!F$106)-(28/1000)))</f>
        <v>1.0632443518518515</v>
      </c>
      <c r="G142" s="18">
        <f>1.141+('Design Calculator'!F$106*((1.141/'Design Calculator'!F$107)-(28/1000)))</f>
        <v>13.435838356164384</v>
      </c>
    </row>
    <row r="143" spans="2:7" x14ac:dyDescent="0.2">
      <c r="E143" s="3" t="s">
        <v>51</v>
      </c>
      <c r="F143" s="18">
        <f>1.16+(('Design Calculator'!F$104+'Design Calculator'!F$105)*((1.16/'Design Calculator'!F$106)-(23/1000)))</f>
        <v>1.3513985185185184</v>
      </c>
      <c r="G143" s="18">
        <f>1.16+('Design Calculator'!F$106*((1.16/'Design Calculator'!F$107)-(23/1000)))</f>
        <v>13.89571506849315</v>
      </c>
    </row>
    <row r="144" spans="2:7" x14ac:dyDescent="0.2">
      <c r="E144" s="3" t="s">
        <v>52</v>
      </c>
      <c r="F144" s="18">
        <f>1.185+(('Design Calculator'!F$104+'Design Calculator'!F$105)*((1.185/'Design Calculator'!F$106)-(18/1000)))</f>
        <v>1.6536043055555556</v>
      </c>
      <c r="G144" s="18">
        <f>1.185+('Design Calculator'!F$106*((1.185/'Design Calculator'!F$107)-(18/1000)))</f>
        <v>14.432605479452056</v>
      </c>
    </row>
    <row r="152" spans="5:7" x14ac:dyDescent="0.2">
      <c r="E152" s="34" t="s">
        <v>128</v>
      </c>
      <c r="F152" s="33" t="e">
        <f>'Design Calculator'!#REF!</f>
        <v>#REF!</v>
      </c>
      <c r="G152" s="33" t="s">
        <v>8</v>
      </c>
    </row>
    <row r="153" spans="5:7" x14ac:dyDescent="0.2">
      <c r="E153" s="34" t="s">
        <v>129</v>
      </c>
      <c r="F153" s="33">
        <f>'Design Calculator'!F28</f>
        <v>12</v>
      </c>
      <c r="G153" s="33" t="s">
        <v>92</v>
      </c>
    </row>
    <row r="154" spans="5:7" x14ac:dyDescent="0.2">
      <c r="E154" s="34" t="s">
        <v>130</v>
      </c>
      <c r="F154" t="e">
        <f>22/F153*F152</f>
        <v>#REF!</v>
      </c>
      <c r="G154" s="33" t="s">
        <v>131</v>
      </c>
    </row>
    <row r="175" spans="3:6" x14ac:dyDescent="0.2">
      <c r="C175" s="27" t="s">
        <v>61</v>
      </c>
    </row>
    <row r="176" spans="3:6" x14ac:dyDescent="0.2">
      <c r="E176" s="2" t="s">
        <v>62</v>
      </c>
      <c r="F176" s="1">
        <f>'Design Calculator'!F40</f>
        <v>0.33</v>
      </c>
    </row>
    <row r="177" spans="4:18" ht="15.75" x14ac:dyDescent="0.3">
      <c r="E177" s="2" t="s">
        <v>63</v>
      </c>
      <c r="F177" s="1">
        <f>'Design Calculator'!F67</f>
        <v>5.23</v>
      </c>
    </row>
    <row r="178" spans="4:18" x14ac:dyDescent="0.2">
      <c r="E178" s="2" t="s">
        <v>64</v>
      </c>
      <c r="F178" s="1">
        <f>'Design Calculator'!F29</f>
        <v>12.5</v>
      </c>
    </row>
    <row r="180" spans="4:18" x14ac:dyDescent="0.2">
      <c r="E180" s="2" t="s">
        <v>65</v>
      </c>
      <c r="F180" s="18">
        <f>F24</f>
        <v>69.696969696969688</v>
      </c>
    </row>
    <row r="181" spans="4:18" x14ac:dyDescent="0.2">
      <c r="E181" s="2" t="s">
        <v>66</v>
      </c>
      <c r="F181" s="18">
        <f>F25</f>
        <v>75.757575757575751</v>
      </c>
    </row>
    <row r="182" spans="4:18" x14ac:dyDescent="0.2">
      <c r="E182" s="2" t="s">
        <v>67</v>
      </c>
      <c r="F182" s="18">
        <f>F26</f>
        <v>81.818181818181813</v>
      </c>
    </row>
    <row r="184" spans="4:18" x14ac:dyDescent="0.2">
      <c r="E184" s="2" t="s">
        <v>68</v>
      </c>
      <c r="F184" s="6">
        <f>F46</f>
        <v>122.5413933145892</v>
      </c>
    </row>
    <row r="185" spans="4:18" x14ac:dyDescent="0.2">
      <c r="E185" s="2" t="s">
        <v>69</v>
      </c>
      <c r="F185" s="6">
        <f>F47</f>
        <v>161.23867541393315</v>
      </c>
    </row>
    <row r="186" spans="4:18" x14ac:dyDescent="0.2">
      <c r="E186" s="2" t="s">
        <v>70</v>
      </c>
      <c r="F186" s="6">
        <f>F48</f>
        <v>199.93595751327712</v>
      </c>
    </row>
    <row r="191" spans="4:18" x14ac:dyDescent="0.2">
      <c r="D191" t="s">
        <v>71</v>
      </c>
      <c r="E191" s="2"/>
      <c r="I191" t="s">
        <v>72</v>
      </c>
      <c r="N191" t="s">
        <v>87</v>
      </c>
      <c r="R191" s="33" t="s">
        <v>94</v>
      </c>
    </row>
    <row r="192" spans="4:18" x14ac:dyDescent="0.2">
      <c r="D192" t="s">
        <v>73</v>
      </c>
      <c r="I192" t="s">
        <v>74</v>
      </c>
      <c r="N192" t="s">
        <v>79</v>
      </c>
      <c r="R192" s="33" t="s">
        <v>95</v>
      </c>
    </row>
    <row r="193" spans="2:25" x14ac:dyDescent="0.2">
      <c r="B193" s="33" t="s">
        <v>157</v>
      </c>
      <c r="D193" s="5" t="s">
        <v>75</v>
      </c>
      <c r="E193" s="5" t="s">
        <v>76</v>
      </c>
      <c r="F193" s="155" t="s">
        <v>77</v>
      </c>
      <c r="G193" s="5" t="s">
        <v>78</v>
      </c>
      <c r="I193" s="5" t="s">
        <v>75</v>
      </c>
      <c r="J193" s="5" t="s">
        <v>76</v>
      </c>
      <c r="K193" s="5" t="s">
        <v>77</v>
      </c>
      <c r="L193" s="5" t="s">
        <v>78</v>
      </c>
      <c r="N193" t="s">
        <v>80</v>
      </c>
      <c r="R193" s="5" t="s">
        <v>75</v>
      </c>
      <c r="S193" s="26" t="s">
        <v>76</v>
      </c>
      <c r="T193" s="26" t="s">
        <v>77</v>
      </c>
      <c r="U193" s="26" t="s">
        <v>78</v>
      </c>
      <c r="V193" s="168" t="s">
        <v>86</v>
      </c>
      <c r="X193" s="169" t="s">
        <v>353</v>
      </c>
    </row>
    <row r="194" spans="2:25" x14ac:dyDescent="0.2">
      <c r="B194">
        <f>D194*F194</f>
        <v>88.056857232114979</v>
      </c>
      <c r="D194" s="5">
        <v>1</v>
      </c>
      <c r="E194" s="28">
        <f>(1-$F$217)*F194</f>
        <v>66.042642924086238</v>
      </c>
      <c r="F194" s="28">
        <f t="shared" ref="F194:F210" si="0">($F$185+(D194-VINMAX)*$E$214/$E$215)/D194</f>
        <v>88.056857232114979</v>
      </c>
      <c r="G194" s="28">
        <f>F194*(1+$F$217)</f>
        <v>110.07107154014372</v>
      </c>
      <c r="I194" s="5">
        <v>1</v>
      </c>
      <c r="J194" s="28">
        <f t="shared" ref="J194:J210" si="1">IF(E194&gt;$F$180,$F$180,E194)</f>
        <v>66.042642924086238</v>
      </c>
      <c r="K194" s="28">
        <f t="shared" ref="K194:K210" si="2">IF(F194&gt;$F$181,$F$181,F194)</f>
        <v>75.757575757575751</v>
      </c>
      <c r="L194" s="28">
        <f t="shared" ref="L194:L210" si="3">IF(G194&gt;$F$182,$F$182,G194)</f>
        <v>81.818181818181813</v>
      </c>
      <c r="N194" t="s">
        <v>81</v>
      </c>
      <c r="R194" s="5">
        <v>1</v>
      </c>
      <c r="S194" s="28">
        <f t="shared" ref="S194:S213" si="4">IF($R194&gt;$F$178,0.0000000005,J194)</f>
        <v>66.042642924086238</v>
      </c>
      <c r="T194" s="28">
        <f t="shared" ref="T194:T213" si="5">IF($R194&gt;$F$178,0.0000000005,K194)</f>
        <v>75.757575757575751</v>
      </c>
      <c r="U194" s="28">
        <f t="shared" ref="U194:U213" si="6">IF($R194&gt;$F$178,0.0000000005,L194)</f>
        <v>81.818181818181813</v>
      </c>
      <c r="V194" s="28">
        <f>$X$194/R194</f>
        <v>342.09181551070577</v>
      </c>
      <c r="X194">
        <f>SOA!C26</f>
        <v>342.09181551070577</v>
      </c>
      <c r="Y194" s="33" t="s">
        <v>93</v>
      </c>
    </row>
    <row r="195" spans="2:25" x14ac:dyDescent="0.2">
      <c r="B195">
        <f t="shared" ref="B195:B210" si="7">D195*F195</f>
        <v>94.420493595751338</v>
      </c>
      <c r="D195" s="5">
        <v>2</v>
      </c>
      <c r="E195" s="28">
        <f t="shared" ref="E195:E210" si="8">(1-$F$217)*F195</f>
        <v>35.407685098406752</v>
      </c>
      <c r="F195" s="28">
        <f t="shared" si="0"/>
        <v>47.210246797875669</v>
      </c>
      <c r="G195" s="28">
        <f t="shared" ref="G195:G210" si="9">F195*(1+$F$217)</f>
        <v>59.012808497344587</v>
      </c>
      <c r="I195" s="5">
        <v>2</v>
      </c>
      <c r="J195" s="28">
        <f t="shared" si="1"/>
        <v>35.407685098406752</v>
      </c>
      <c r="K195" s="28">
        <f t="shared" si="2"/>
        <v>47.210246797875669</v>
      </c>
      <c r="L195" s="28">
        <f t="shared" si="3"/>
        <v>59.012808497344587</v>
      </c>
      <c r="R195" s="5">
        <v>2</v>
      </c>
      <c r="S195" s="28">
        <f t="shared" si="4"/>
        <v>35.407685098406752</v>
      </c>
      <c r="T195" s="28">
        <f t="shared" si="5"/>
        <v>47.210246797875669</v>
      </c>
      <c r="U195" s="28">
        <f t="shared" si="6"/>
        <v>59.012808497344587</v>
      </c>
      <c r="V195" s="28">
        <f t="shared" ref="V195:V213" si="10">$X$194/R195</f>
        <v>171.04590775535289</v>
      </c>
    </row>
    <row r="196" spans="2:25" x14ac:dyDescent="0.2">
      <c r="B196">
        <f t="shared" si="7"/>
        <v>100.78412995938771</v>
      </c>
      <c r="D196" s="5">
        <v>3</v>
      </c>
      <c r="E196" s="28">
        <f t="shared" si="8"/>
        <v>25.196032489846928</v>
      </c>
      <c r="F196" s="28">
        <f t="shared" si="0"/>
        <v>33.594709986462568</v>
      </c>
      <c r="G196" s="28">
        <f t="shared" si="9"/>
        <v>41.993387483078209</v>
      </c>
      <c r="I196" s="5">
        <v>3</v>
      </c>
      <c r="J196" s="28">
        <f t="shared" si="1"/>
        <v>25.196032489846928</v>
      </c>
      <c r="K196" s="28">
        <f t="shared" si="2"/>
        <v>33.594709986462568</v>
      </c>
      <c r="L196" s="28">
        <f t="shared" si="3"/>
        <v>41.993387483078209</v>
      </c>
      <c r="O196" s="29" t="s">
        <v>82</v>
      </c>
      <c r="R196" s="5">
        <v>3</v>
      </c>
      <c r="S196" s="28">
        <f t="shared" si="4"/>
        <v>25.196032489846928</v>
      </c>
      <c r="T196" s="28">
        <f t="shared" si="5"/>
        <v>33.594709986462568</v>
      </c>
      <c r="U196" s="28">
        <f t="shared" si="6"/>
        <v>41.993387483078209</v>
      </c>
      <c r="V196" s="28">
        <f t="shared" si="10"/>
        <v>114.03060517023526</v>
      </c>
    </row>
    <row r="197" spans="2:25" x14ac:dyDescent="0.2">
      <c r="B197">
        <f t="shared" si="7"/>
        <v>107.14776632302406</v>
      </c>
      <c r="D197" s="5">
        <v>4</v>
      </c>
      <c r="E197" s="28">
        <f t="shared" si="8"/>
        <v>20.090206185567013</v>
      </c>
      <c r="F197" s="28">
        <f t="shared" si="0"/>
        <v>26.786941580756015</v>
      </c>
      <c r="G197" s="28">
        <f t="shared" si="9"/>
        <v>33.483676975945016</v>
      </c>
      <c r="I197" s="5">
        <v>4</v>
      </c>
      <c r="J197" s="28">
        <f t="shared" si="1"/>
        <v>20.090206185567013</v>
      </c>
      <c r="K197" s="28">
        <f t="shared" si="2"/>
        <v>26.786941580756015</v>
      </c>
      <c r="L197" s="28">
        <f t="shared" si="3"/>
        <v>33.483676975945016</v>
      </c>
      <c r="N197" s="8" t="s">
        <v>75</v>
      </c>
      <c r="O197" s="30" t="s">
        <v>83</v>
      </c>
      <c r="R197" s="5">
        <v>4</v>
      </c>
      <c r="S197" s="28">
        <f t="shared" si="4"/>
        <v>20.090206185567013</v>
      </c>
      <c r="T197" s="28">
        <f t="shared" si="5"/>
        <v>26.786941580756015</v>
      </c>
      <c r="U197" s="28">
        <f t="shared" si="6"/>
        <v>33.483676975945016</v>
      </c>
      <c r="V197" s="28">
        <f t="shared" si="10"/>
        <v>85.522953877676443</v>
      </c>
    </row>
    <row r="198" spans="2:25" x14ac:dyDescent="0.2">
      <c r="B198">
        <f t="shared" si="7"/>
        <v>113.51140268666043</v>
      </c>
      <c r="D198" s="5">
        <v>5</v>
      </c>
      <c r="E198" s="28">
        <f t="shared" si="8"/>
        <v>17.026710402999065</v>
      </c>
      <c r="F198" s="28">
        <f t="shared" si="0"/>
        <v>22.702280537332086</v>
      </c>
      <c r="G198" s="28">
        <f t="shared" si="9"/>
        <v>28.377850671665108</v>
      </c>
      <c r="I198" s="5">
        <v>5</v>
      </c>
      <c r="J198" s="28">
        <f t="shared" si="1"/>
        <v>17.026710402999065</v>
      </c>
      <c r="K198" s="28">
        <f t="shared" si="2"/>
        <v>22.702280537332086</v>
      </c>
      <c r="L198" s="28">
        <f t="shared" si="3"/>
        <v>28.377850671665108</v>
      </c>
      <c r="N198" s="5">
        <v>1</v>
      </c>
      <c r="O198" s="5">
        <f>SOA!C39</f>
        <v>342.09181551070577</v>
      </c>
      <c r="P198" t="s">
        <v>84</v>
      </c>
      <c r="R198" s="5">
        <v>5</v>
      </c>
      <c r="S198" s="28">
        <f t="shared" si="4"/>
        <v>17.026710402999065</v>
      </c>
      <c r="T198" s="28">
        <f t="shared" si="5"/>
        <v>22.702280537332086</v>
      </c>
      <c r="U198" s="28">
        <f t="shared" si="6"/>
        <v>28.377850671665108</v>
      </c>
      <c r="V198" s="28">
        <f t="shared" si="10"/>
        <v>68.418363102141157</v>
      </c>
    </row>
    <row r="199" spans="2:25" x14ac:dyDescent="0.2">
      <c r="B199">
        <f t="shared" si="7"/>
        <v>119.87503905029678</v>
      </c>
      <c r="D199" s="5">
        <v>6</v>
      </c>
      <c r="E199" s="28">
        <f t="shared" si="8"/>
        <v>14.984379881287097</v>
      </c>
      <c r="F199" s="28">
        <f t="shared" si="0"/>
        <v>19.979173175049464</v>
      </c>
      <c r="G199" s="28">
        <f t="shared" si="9"/>
        <v>24.973966468811831</v>
      </c>
      <c r="I199" s="5">
        <v>6</v>
      </c>
      <c r="J199" s="28">
        <f t="shared" si="1"/>
        <v>14.984379881287097</v>
      </c>
      <c r="K199" s="28">
        <f t="shared" si="2"/>
        <v>19.979173175049464</v>
      </c>
      <c r="L199" s="28">
        <f t="shared" si="3"/>
        <v>24.973966468811831</v>
      </c>
      <c r="N199" s="5">
        <v>2</v>
      </c>
      <c r="O199" s="28">
        <f>O202+((O198-O202)*3/7)</f>
        <v>309.51164260492425</v>
      </c>
      <c r="R199" s="5">
        <v>6</v>
      </c>
      <c r="S199" s="28">
        <f t="shared" si="4"/>
        <v>14.984379881287097</v>
      </c>
      <c r="T199" s="28">
        <f t="shared" si="5"/>
        <v>19.979173175049464</v>
      </c>
      <c r="U199" s="28">
        <f t="shared" si="6"/>
        <v>24.973966468811831</v>
      </c>
      <c r="V199" s="28">
        <f t="shared" si="10"/>
        <v>57.015302585117631</v>
      </c>
    </row>
    <row r="200" spans="2:25" x14ac:dyDescent="0.2">
      <c r="B200">
        <f t="shared" si="7"/>
        <v>126.23867541393315</v>
      </c>
      <c r="D200" s="5">
        <v>7</v>
      </c>
      <c r="E200" s="28">
        <f t="shared" si="8"/>
        <v>13.525572365778553</v>
      </c>
      <c r="F200" s="28">
        <f t="shared" si="0"/>
        <v>18.034096487704737</v>
      </c>
      <c r="G200" s="28">
        <f t="shared" si="9"/>
        <v>22.542620609630923</v>
      </c>
      <c r="I200" s="5">
        <v>7</v>
      </c>
      <c r="J200" s="28">
        <f t="shared" si="1"/>
        <v>13.525572365778553</v>
      </c>
      <c r="K200" s="28">
        <f t="shared" si="2"/>
        <v>18.034096487704737</v>
      </c>
      <c r="L200" s="28">
        <f t="shared" si="3"/>
        <v>22.542620609630923</v>
      </c>
      <c r="N200" s="5">
        <v>3</v>
      </c>
      <c r="O200" s="28">
        <f>O202+((O198-O202)*2/8)</f>
        <v>299.33033857186751</v>
      </c>
      <c r="R200" s="5">
        <v>7</v>
      </c>
      <c r="S200" s="28">
        <f t="shared" si="4"/>
        <v>13.525572365778553</v>
      </c>
      <c r="T200" s="28">
        <f t="shared" si="5"/>
        <v>18.034096487704737</v>
      </c>
      <c r="U200" s="28">
        <f t="shared" si="6"/>
        <v>22.542620609630923</v>
      </c>
      <c r="V200" s="28">
        <f t="shared" si="10"/>
        <v>48.87025935867225</v>
      </c>
    </row>
    <row r="201" spans="2:25" x14ac:dyDescent="0.2">
      <c r="B201">
        <f t="shared" si="7"/>
        <v>132.60231177756953</v>
      </c>
      <c r="D201" s="5">
        <v>8</v>
      </c>
      <c r="E201" s="28">
        <f t="shared" si="8"/>
        <v>12.431466729147143</v>
      </c>
      <c r="F201" s="28">
        <f t="shared" si="0"/>
        <v>16.575288972196191</v>
      </c>
      <c r="G201" s="28">
        <f t="shared" si="9"/>
        <v>20.719111215245238</v>
      </c>
      <c r="I201" s="5">
        <v>8</v>
      </c>
      <c r="J201" s="28">
        <f t="shared" si="1"/>
        <v>12.431466729147143</v>
      </c>
      <c r="K201" s="28">
        <f t="shared" si="2"/>
        <v>16.575288972196191</v>
      </c>
      <c r="L201" s="28">
        <f t="shared" si="3"/>
        <v>20.719111215245238</v>
      </c>
      <c r="N201" s="5">
        <v>4</v>
      </c>
      <c r="O201" s="28">
        <f>O202+((O198-O202)*1/9)</f>
        <v>291.41154654615679</v>
      </c>
      <c r="R201" s="5">
        <v>8</v>
      </c>
      <c r="S201" s="28">
        <f t="shared" si="4"/>
        <v>12.431466729147143</v>
      </c>
      <c r="T201" s="28">
        <f t="shared" si="5"/>
        <v>16.575288972196191</v>
      </c>
      <c r="U201" s="28">
        <f t="shared" si="6"/>
        <v>20.719111215245238</v>
      </c>
      <c r="V201" s="28">
        <f t="shared" si="10"/>
        <v>42.761476938838221</v>
      </c>
    </row>
    <row r="202" spans="2:25" x14ac:dyDescent="0.2">
      <c r="B202">
        <f t="shared" si="7"/>
        <v>138.96594814120587</v>
      </c>
      <c r="D202" s="5">
        <v>9</v>
      </c>
      <c r="E202" s="28">
        <f t="shared" si="8"/>
        <v>11.580495678433822</v>
      </c>
      <c r="F202" s="28">
        <f t="shared" si="0"/>
        <v>15.440660904578429</v>
      </c>
      <c r="G202" s="28">
        <f t="shared" si="9"/>
        <v>19.300826130723038</v>
      </c>
      <c r="I202" s="5">
        <v>9</v>
      </c>
      <c r="J202" s="28">
        <f t="shared" si="1"/>
        <v>11.580495678433822</v>
      </c>
      <c r="K202" s="28">
        <f t="shared" si="2"/>
        <v>15.440660904578429</v>
      </c>
      <c r="L202" s="28">
        <f t="shared" si="3"/>
        <v>19.300826130723038</v>
      </c>
      <c r="N202" s="5">
        <v>5</v>
      </c>
      <c r="O202" s="28">
        <f>SOA!C40</f>
        <v>285.07651292558813</v>
      </c>
      <c r="P202" t="s">
        <v>85</v>
      </c>
      <c r="R202" s="5">
        <v>9</v>
      </c>
      <c r="S202" s="28">
        <f t="shared" si="4"/>
        <v>11.580495678433822</v>
      </c>
      <c r="T202" s="28">
        <f t="shared" si="5"/>
        <v>15.440660904578429</v>
      </c>
      <c r="U202" s="28">
        <f t="shared" si="6"/>
        <v>19.300826130723038</v>
      </c>
      <c r="V202" s="28">
        <f t="shared" si="10"/>
        <v>38.010201723411754</v>
      </c>
    </row>
    <row r="203" spans="2:25" x14ac:dyDescent="0.2">
      <c r="B203">
        <f t="shared" si="7"/>
        <v>145.32958450484224</v>
      </c>
      <c r="D203" s="5">
        <v>10</v>
      </c>
      <c r="E203" s="28">
        <f t="shared" si="8"/>
        <v>10.899718837863169</v>
      </c>
      <c r="F203" s="28">
        <f t="shared" si="0"/>
        <v>14.532958450484225</v>
      </c>
      <c r="G203" s="28">
        <f t="shared" si="9"/>
        <v>18.166198063105281</v>
      </c>
      <c r="I203" s="5">
        <v>10</v>
      </c>
      <c r="J203" s="28">
        <f t="shared" si="1"/>
        <v>10.899718837863169</v>
      </c>
      <c r="K203" s="28">
        <f t="shared" si="2"/>
        <v>14.532958450484225</v>
      </c>
      <c r="L203" s="28">
        <f t="shared" si="3"/>
        <v>18.166198063105281</v>
      </c>
      <c r="N203" s="5">
        <v>6</v>
      </c>
      <c r="O203" s="28">
        <f>O$207+((O$202-O$207)*4/6)</f>
        <v>193.85202878939995</v>
      </c>
      <c r="R203" s="5">
        <v>10</v>
      </c>
      <c r="S203" s="28">
        <f t="shared" si="4"/>
        <v>10.899718837863169</v>
      </c>
      <c r="T203" s="28">
        <f t="shared" si="5"/>
        <v>14.532958450484225</v>
      </c>
      <c r="U203" s="28">
        <f t="shared" si="6"/>
        <v>18.166198063105281</v>
      </c>
      <c r="V203" s="28">
        <f t="shared" si="10"/>
        <v>34.209181551070579</v>
      </c>
    </row>
    <row r="204" spans="2:25" x14ac:dyDescent="0.2">
      <c r="B204">
        <f t="shared" si="7"/>
        <v>151.69322086847862</v>
      </c>
      <c r="D204" s="5">
        <v>11</v>
      </c>
      <c r="E204" s="28">
        <f t="shared" si="8"/>
        <v>10.342719604668996</v>
      </c>
      <c r="F204" s="28">
        <f t="shared" si="0"/>
        <v>13.790292806225329</v>
      </c>
      <c r="G204" s="28">
        <f t="shared" si="9"/>
        <v>17.237866007781662</v>
      </c>
      <c r="I204" s="5">
        <v>11</v>
      </c>
      <c r="J204" s="28">
        <f t="shared" si="1"/>
        <v>10.342719604668996</v>
      </c>
      <c r="K204" s="28">
        <f t="shared" si="2"/>
        <v>13.790292806225329</v>
      </c>
      <c r="L204" s="28">
        <f t="shared" si="3"/>
        <v>17.237866007781662</v>
      </c>
      <c r="N204" s="5">
        <v>7</v>
      </c>
      <c r="O204" s="28">
        <f>O$207+((O$202-O$207)*3/7)</f>
        <v>128.69168297783693</v>
      </c>
      <c r="R204" s="5">
        <v>11</v>
      </c>
      <c r="S204" s="28">
        <f t="shared" si="4"/>
        <v>10.342719604668996</v>
      </c>
      <c r="T204" s="28">
        <f t="shared" si="5"/>
        <v>13.790292806225329</v>
      </c>
      <c r="U204" s="28">
        <f t="shared" si="6"/>
        <v>17.237866007781662</v>
      </c>
      <c r="V204" s="28">
        <f t="shared" si="10"/>
        <v>31.099255955518707</v>
      </c>
    </row>
    <row r="205" spans="2:25" x14ac:dyDescent="0.2">
      <c r="B205">
        <f t="shared" si="7"/>
        <v>158.05685723211496</v>
      </c>
      <c r="D205" s="5">
        <v>12</v>
      </c>
      <c r="E205" s="28">
        <f t="shared" si="8"/>
        <v>9.8785535770071853</v>
      </c>
      <c r="F205" s="28">
        <f t="shared" si="0"/>
        <v>13.171404769342914</v>
      </c>
      <c r="G205" s="28">
        <f t="shared" si="9"/>
        <v>16.464255961678642</v>
      </c>
      <c r="I205" s="5">
        <v>12</v>
      </c>
      <c r="J205" s="28">
        <f t="shared" si="1"/>
        <v>9.8785535770071853</v>
      </c>
      <c r="K205" s="28">
        <f t="shared" si="2"/>
        <v>13.171404769342914</v>
      </c>
      <c r="L205" s="28">
        <f t="shared" si="3"/>
        <v>16.464255961678642</v>
      </c>
      <c r="N205" s="5">
        <v>8</v>
      </c>
      <c r="O205" s="28">
        <f>O$207+((O$202-O$207)*2/8)</f>
        <v>79.821423619164676</v>
      </c>
      <c r="R205" s="5">
        <v>12</v>
      </c>
      <c r="S205" s="28">
        <f t="shared" si="4"/>
        <v>9.8785535770071853</v>
      </c>
      <c r="T205" s="28">
        <f t="shared" si="5"/>
        <v>13.171404769342914</v>
      </c>
      <c r="U205" s="28">
        <f t="shared" si="6"/>
        <v>16.464255961678642</v>
      </c>
      <c r="V205" s="28">
        <f t="shared" si="10"/>
        <v>28.507651292558815</v>
      </c>
    </row>
    <row r="206" spans="2:25" x14ac:dyDescent="0.2">
      <c r="B206">
        <f t="shared" si="7"/>
        <v>164.42049359575134</v>
      </c>
      <c r="D206" s="5">
        <v>13</v>
      </c>
      <c r="E206" s="28">
        <f t="shared" si="8"/>
        <v>9.4857977074471922</v>
      </c>
      <c r="F206" s="28">
        <f t="shared" si="0"/>
        <v>12.647730276596256</v>
      </c>
      <c r="G206" s="28">
        <f t="shared" si="9"/>
        <v>15.80966284574532</v>
      </c>
      <c r="I206" s="5">
        <v>13</v>
      </c>
      <c r="J206" s="28">
        <f t="shared" si="1"/>
        <v>9.4857977074471922</v>
      </c>
      <c r="K206" s="28">
        <f t="shared" si="2"/>
        <v>12.647730276596256</v>
      </c>
      <c r="L206" s="28">
        <f t="shared" si="3"/>
        <v>15.80966284574532</v>
      </c>
      <c r="N206" s="5">
        <v>9</v>
      </c>
      <c r="O206" s="28">
        <f>O$207+((O$202-O$207)*1/9)</f>
        <v>41.811221895752929</v>
      </c>
      <c r="R206" s="5">
        <v>13</v>
      </c>
      <c r="S206" s="28">
        <f t="shared" si="4"/>
        <v>5.0000000000000003E-10</v>
      </c>
      <c r="T206" s="28">
        <f t="shared" si="5"/>
        <v>5.0000000000000003E-10</v>
      </c>
      <c r="U206" s="28">
        <f t="shared" si="6"/>
        <v>5.0000000000000003E-10</v>
      </c>
      <c r="V206" s="28">
        <f t="shared" si="10"/>
        <v>26.31475503928506</v>
      </c>
    </row>
    <row r="207" spans="2:25" x14ac:dyDescent="0.2">
      <c r="B207">
        <f t="shared" si="7"/>
        <v>170.78412995938768</v>
      </c>
      <c r="D207" s="5">
        <v>14</v>
      </c>
      <c r="E207" s="28">
        <f t="shared" si="8"/>
        <v>9.1491498192529122</v>
      </c>
      <c r="F207" s="28">
        <f t="shared" si="0"/>
        <v>12.198866425670548</v>
      </c>
      <c r="G207" s="28">
        <f t="shared" si="9"/>
        <v>15.248583032088185</v>
      </c>
      <c r="I207" s="5">
        <v>14</v>
      </c>
      <c r="J207" s="28">
        <f t="shared" si="1"/>
        <v>9.1491498192529122</v>
      </c>
      <c r="K207" s="28">
        <f t="shared" si="2"/>
        <v>12.198866425670548</v>
      </c>
      <c r="L207" s="28">
        <f t="shared" si="3"/>
        <v>15.248583032088185</v>
      </c>
      <c r="N207" s="5">
        <v>10</v>
      </c>
      <c r="O207" s="28">
        <f>SOA!C41</f>
        <v>11.403060517023526</v>
      </c>
      <c r="P207" t="s">
        <v>85</v>
      </c>
      <c r="R207" s="5">
        <v>14</v>
      </c>
      <c r="S207" s="28">
        <f t="shared" si="4"/>
        <v>5.0000000000000003E-10</v>
      </c>
      <c r="T207" s="28">
        <f t="shared" si="5"/>
        <v>5.0000000000000003E-10</v>
      </c>
      <c r="U207" s="28">
        <f t="shared" si="6"/>
        <v>5.0000000000000003E-10</v>
      </c>
      <c r="V207" s="28">
        <f t="shared" si="10"/>
        <v>24.435129679336125</v>
      </c>
    </row>
    <row r="208" spans="2:25" x14ac:dyDescent="0.2">
      <c r="B208">
        <f t="shared" si="7"/>
        <v>177.14776632302406</v>
      </c>
      <c r="D208" s="5">
        <v>15</v>
      </c>
      <c r="E208" s="28">
        <f t="shared" si="8"/>
        <v>8.8573883161512033</v>
      </c>
      <c r="F208" s="28">
        <f t="shared" si="0"/>
        <v>11.809851088201604</v>
      </c>
      <c r="G208" s="28">
        <f t="shared" si="9"/>
        <v>14.762313860252005</v>
      </c>
      <c r="I208" s="5">
        <v>15</v>
      </c>
      <c r="J208" s="28">
        <f t="shared" si="1"/>
        <v>8.8573883161512033</v>
      </c>
      <c r="K208" s="28">
        <f t="shared" si="2"/>
        <v>11.809851088201604</v>
      </c>
      <c r="L208" s="28">
        <f t="shared" si="3"/>
        <v>14.762313860252005</v>
      </c>
      <c r="N208" s="5">
        <v>11</v>
      </c>
      <c r="O208" s="28">
        <f>O$212+((O$207-O$212)*4/6)</f>
        <v>7.6020403446823508</v>
      </c>
      <c r="R208" s="5">
        <v>15</v>
      </c>
      <c r="S208" s="28">
        <f t="shared" si="4"/>
        <v>5.0000000000000003E-10</v>
      </c>
      <c r="T208" s="28">
        <f t="shared" si="5"/>
        <v>5.0000000000000003E-10</v>
      </c>
      <c r="U208" s="28">
        <f t="shared" si="6"/>
        <v>5.0000000000000003E-10</v>
      </c>
      <c r="V208" s="28">
        <f t="shared" si="10"/>
        <v>22.806121034047052</v>
      </c>
    </row>
    <row r="209" spans="2:22" x14ac:dyDescent="0.2">
      <c r="B209">
        <f t="shared" si="7"/>
        <v>183.51140268666043</v>
      </c>
      <c r="D209" s="5">
        <v>16</v>
      </c>
      <c r="E209" s="28">
        <f t="shared" si="8"/>
        <v>8.6020970009372082</v>
      </c>
      <c r="F209" s="28">
        <f t="shared" si="0"/>
        <v>11.469462667916277</v>
      </c>
      <c r="G209" s="28">
        <f t="shared" si="9"/>
        <v>14.336828334895346</v>
      </c>
      <c r="I209" s="5">
        <v>16</v>
      </c>
      <c r="J209" s="28">
        <f t="shared" si="1"/>
        <v>8.6020970009372082</v>
      </c>
      <c r="K209" s="28">
        <f t="shared" si="2"/>
        <v>11.469462667916277</v>
      </c>
      <c r="L209" s="28">
        <f t="shared" si="3"/>
        <v>14.336828334895346</v>
      </c>
      <c r="N209" s="5">
        <v>12</v>
      </c>
      <c r="O209" s="28">
        <f>O$212+((O$207-O$212)*3/7)</f>
        <v>4.8870259358672259</v>
      </c>
      <c r="R209" s="5">
        <v>16</v>
      </c>
      <c r="S209" s="28">
        <f t="shared" si="4"/>
        <v>5.0000000000000003E-10</v>
      </c>
      <c r="T209" s="28">
        <f t="shared" si="5"/>
        <v>5.0000000000000003E-10</v>
      </c>
      <c r="U209" s="28">
        <f t="shared" si="6"/>
        <v>5.0000000000000003E-10</v>
      </c>
      <c r="V209" s="28">
        <f t="shared" si="10"/>
        <v>21.380738469419111</v>
      </c>
    </row>
    <row r="210" spans="2:22" x14ac:dyDescent="0.2">
      <c r="B210">
        <f t="shared" si="7"/>
        <v>189.87503905029678</v>
      </c>
      <c r="D210" s="5">
        <v>17</v>
      </c>
      <c r="E210" s="28">
        <f t="shared" si="8"/>
        <v>8.3768399581013284</v>
      </c>
      <c r="F210" s="28">
        <f t="shared" si="0"/>
        <v>11.169119944135105</v>
      </c>
      <c r="G210" s="28">
        <f t="shared" si="9"/>
        <v>13.961399930168881</v>
      </c>
      <c r="I210" s="5">
        <v>17</v>
      </c>
      <c r="J210" s="28">
        <f t="shared" si="1"/>
        <v>8.3768399581013284</v>
      </c>
      <c r="K210" s="28">
        <f t="shared" si="2"/>
        <v>11.169119944135105</v>
      </c>
      <c r="L210" s="28">
        <f t="shared" si="3"/>
        <v>13.961399930168881</v>
      </c>
      <c r="N210" s="5">
        <v>13</v>
      </c>
      <c r="O210" s="28">
        <f>O$212+((O$207-O$212)*2/8)</f>
        <v>2.8507651292558815</v>
      </c>
      <c r="R210" s="5">
        <v>17</v>
      </c>
      <c r="S210" s="28">
        <f t="shared" si="4"/>
        <v>5.0000000000000003E-10</v>
      </c>
      <c r="T210" s="28">
        <f t="shared" si="5"/>
        <v>5.0000000000000003E-10</v>
      </c>
      <c r="U210" s="28">
        <f t="shared" si="6"/>
        <v>5.0000000000000003E-10</v>
      </c>
      <c r="V210" s="28">
        <f t="shared" si="10"/>
        <v>20.123047971217986</v>
      </c>
    </row>
    <row r="211" spans="2:22" x14ac:dyDescent="0.2">
      <c r="N211" s="5">
        <v>14</v>
      </c>
      <c r="O211" s="28">
        <f>O$212+((O$207-O$212)*1/9)</f>
        <v>1.2670067241137251</v>
      </c>
      <c r="R211" s="26">
        <v>18</v>
      </c>
      <c r="S211" s="28">
        <f t="shared" si="4"/>
        <v>5.0000000000000003E-10</v>
      </c>
      <c r="T211" s="28">
        <f t="shared" si="5"/>
        <v>5.0000000000000003E-10</v>
      </c>
      <c r="U211" s="28">
        <f t="shared" si="6"/>
        <v>5.0000000000000003E-10</v>
      </c>
      <c r="V211" s="28">
        <f t="shared" si="10"/>
        <v>19.005100861705877</v>
      </c>
    </row>
    <row r="212" spans="2:22" x14ac:dyDescent="0.2">
      <c r="D212" s="33" t="s">
        <v>348</v>
      </c>
      <c r="N212" s="5">
        <v>15</v>
      </c>
      <c r="O212" s="28">
        <f>SOA!C42</f>
        <v>0</v>
      </c>
      <c r="P212" t="s">
        <v>85</v>
      </c>
      <c r="R212" s="26">
        <v>19</v>
      </c>
      <c r="S212" s="28">
        <f t="shared" si="4"/>
        <v>5.0000000000000003E-10</v>
      </c>
      <c r="T212" s="28">
        <f t="shared" si="5"/>
        <v>5.0000000000000003E-10</v>
      </c>
      <c r="U212" s="28">
        <f t="shared" si="6"/>
        <v>5.0000000000000003E-10</v>
      </c>
      <c r="V212" s="28">
        <f t="shared" si="10"/>
        <v>18.004832395300305</v>
      </c>
    </row>
    <row r="213" spans="2:22" x14ac:dyDescent="0.2">
      <c r="N213" s="5">
        <v>16</v>
      </c>
      <c r="O213" s="28">
        <f>O$217+((O$212-O$217)*4/6)</f>
        <v>0</v>
      </c>
      <c r="R213" s="26">
        <v>20</v>
      </c>
      <c r="S213" s="28">
        <f t="shared" si="4"/>
        <v>5.0000000000000003E-10</v>
      </c>
      <c r="T213" s="28">
        <f t="shared" si="5"/>
        <v>5.0000000000000003E-10</v>
      </c>
      <c r="U213" s="28">
        <f t="shared" si="6"/>
        <v>5.0000000000000003E-10</v>
      </c>
      <c r="V213" s="28">
        <f t="shared" si="10"/>
        <v>17.104590775535289</v>
      </c>
    </row>
    <row r="214" spans="2:22" x14ac:dyDescent="0.2">
      <c r="D214" s="33" t="s">
        <v>349</v>
      </c>
      <c r="E214">
        <f>'Device Parmaters'!E12</f>
        <v>2.0999999999999999E-3</v>
      </c>
      <c r="N214" s="5">
        <v>17</v>
      </c>
      <c r="O214" s="28">
        <f>O$217+((O$212-O$217)*3/7)</f>
        <v>0</v>
      </c>
    </row>
    <row r="215" spans="2:22" x14ac:dyDescent="0.2">
      <c r="D215" s="33" t="s">
        <v>350</v>
      </c>
      <c r="E215">
        <f>RsEFF*0.001</f>
        <v>3.3E-4</v>
      </c>
      <c r="N215" s="26">
        <v>18</v>
      </c>
      <c r="O215" s="28">
        <f>O$217+((O$212-O$217)*2/8)</f>
        <v>0</v>
      </c>
    </row>
    <row r="216" spans="2:22" x14ac:dyDescent="0.2">
      <c r="D216" s="33" t="s">
        <v>351</v>
      </c>
      <c r="E216">
        <f>VINMAX</f>
        <v>12.5</v>
      </c>
      <c r="N216" s="26">
        <v>19</v>
      </c>
      <c r="O216" s="28">
        <f>O$217+((O$212-O$217)*1/9)</f>
        <v>0</v>
      </c>
    </row>
    <row r="217" spans="2:22" x14ac:dyDescent="0.2">
      <c r="D217" s="33" t="s">
        <v>352</v>
      </c>
      <c r="E217" s="152"/>
      <c r="F217">
        <v>0.25</v>
      </c>
      <c r="N217" s="26">
        <v>20</v>
      </c>
      <c r="O217" s="28">
        <f>SOA!C43</f>
        <v>0</v>
      </c>
      <c r="P217" t="s">
        <v>85</v>
      </c>
    </row>
    <row r="219" spans="2:22" x14ac:dyDescent="0.2">
      <c r="D219" s="156" t="s">
        <v>313</v>
      </c>
    </row>
  </sheetData>
  <mergeCells count="3">
    <mergeCell ref="D52:G52"/>
    <mergeCell ref="D61:G61"/>
    <mergeCell ref="D75:H7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5"/>
  <sheetViews>
    <sheetView zoomScale="85" zoomScaleNormal="85" workbookViewId="0">
      <selection activeCell="E14" sqref="E14"/>
    </sheetView>
  </sheetViews>
  <sheetFormatPr defaultColWidth="9.28515625" defaultRowHeight="12.75" x14ac:dyDescent="0.2"/>
  <cols>
    <col min="1" max="1" width="11" style="71" customWidth="1"/>
    <col min="2" max="3" width="9.28515625" style="71"/>
    <col min="4" max="5" width="15" style="71" customWidth="1"/>
    <col min="6" max="6" width="15.42578125" style="71" customWidth="1"/>
    <col min="7" max="7" width="14.7109375" style="71" customWidth="1"/>
    <col min="8" max="8" width="10.7109375" style="71" customWidth="1"/>
    <col min="9" max="9" width="12.42578125" style="71" bestFit="1" customWidth="1"/>
    <col min="10" max="10" width="14.7109375" style="71" customWidth="1"/>
    <col min="11" max="11" width="12.7109375" style="71" customWidth="1"/>
    <col min="12" max="12" width="14.28515625" style="71" customWidth="1"/>
    <col min="13" max="13" width="20.7109375" style="71" customWidth="1"/>
    <col min="14" max="14" width="12.7109375" style="71" customWidth="1"/>
    <col min="15" max="15" width="10.28515625" style="71" bestFit="1" customWidth="1"/>
    <col min="16" max="16" width="18.7109375" style="71" customWidth="1"/>
    <col min="17" max="17" width="10.7109375" style="71" customWidth="1"/>
    <col min="18" max="16384" width="9.28515625" style="71"/>
  </cols>
  <sheetData>
    <row r="1" spans="1:25" x14ac:dyDescent="0.2">
      <c r="B1" s="71" t="s">
        <v>157</v>
      </c>
      <c r="C1" s="71" t="s">
        <v>323</v>
      </c>
      <c r="D1" s="71" t="s">
        <v>324</v>
      </c>
      <c r="F1" s="170" t="s">
        <v>358</v>
      </c>
      <c r="G1" s="170" t="s">
        <v>325</v>
      </c>
      <c r="H1" s="170" t="s">
        <v>326</v>
      </c>
      <c r="I1" s="170" t="s">
        <v>327</v>
      </c>
      <c r="J1" s="170" t="s">
        <v>328</v>
      </c>
      <c r="K1" s="170"/>
      <c r="L1" s="170"/>
      <c r="M1" s="170" t="s">
        <v>332</v>
      </c>
      <c r="N1" s="170"/>
      <c r="O1" s="170" t="s">
        <v>333</v>
      </c>
      <c r="Q1" s="71" t="s">
        <v>374</v>
      </c>
      <c r="R1" s="71" t="s">
        <v>375</v>
      </c>
    </row>
    <row r="2" spans="1:25" x14ac:dyDescent="0.2">
      <c r="B2" s="160">
        <f>'Design Calculator'!F68</f>
        <v>161.23867541393315</v>
      </c>
      <c r="C2" s="71">
        <f>'Design Calculator'!F47</f>
        <v>75.757575757575751</v>
      </c>
      <c r="D2" s="71" t="str">
        <f>IF( 'Design Calculator'!F70 = "Constant Current", "CC", "R")</f>
        <v>CC</v>
      </c>
      <c r="F2" s="71" t="str">
        <f>'Design Calculator'!F72</f>
        <v>Yes</v>
      </c>
      <c r="G2" s="71">
        <f>'Design Calculator'!F71</f>
        <v>0</v>
      </c>
      <c r="H2" s="71">
        <f>'Design Calculator'!F69</f>
        <v>0</v>
      </c>
      <c r="I2" s="71">
        <f>RsEFF</f>
        <v>0.33</v>
      </c>
      <c r="J2" s="71">
        <f>'Device Parmaters'!E12</f>
        <v>2.0999999999999999E-3</v>
      </c>
      <c r="M2" s="160">
        <f>J114*1000</f>
        <v>56.818181818181792</v>
      </c>
      <c r="N2" s="71" t="s">
        <v>8</v>
      </c>
      <c r="O2" s="164">
        <f>MIN(L10:L111)</f>
        <v>1</v>
      </c>
      <c r="Q2" s="71">
        <f>'Device Parmaters'!E30/'Device Parmaters'!D30</f>
        <v>1.2727272727272727</v>
      </c>
      <c r="R2" s="71">
        <f>'Device Parmaters'!C30/'Device Parmaters'!D30</f>
        <v>0.72727272727272729</v>
      </c>
    </row>
    <row r="3" spans="1:25" x14ac:dyDescent="0.2">
      <c r="B3" s="160"/>
      <c r="M3" s="160"/>
      <c r="O3" s="164"/>
    </row>
    <row r="4" spans="1:25" x14ac:dyDescent="0.2">
      <c r="B4" s="160"/>
      <c r="D4" s="71" t="s">
        <v>366</v>
      </c>
      <c r="M4" s="160" t="s">
        <v>367</v>
      </c>
      <c r="N4" s="71">
        <f>MIN(M10:M114)</f>
        <v>6.449547016557327</v>
      </c>
      <c r="O4" s="164" t="s">
        <v>362</v>
      </c>
      <c r="P4" s="71" t="s">
        <v>376</v>
      </c>
      <c r="Q4" s="71">
        <f>MAX(O10:O114)</f>
        <v>2.75</v>
      </c>
      <c r="R4" s="71" t="s">
        <v>93</v>
      </c>
    </row>
    <row r="5" spans="1:25" x14ac:dyDescent="0.2">
      <c r="B5" s="160"/>
      <c r="M5" s="71" t="s">
        <v>368</v>
      </c>
      <c r="N5" s="71">
        <f>SUM(N10:N114)</f>
        <v>7.7373798076923073E-2</v>
      </c>
      <c r="O5" s="164" t="s">
        <v>369</v>
      </c>
      <c r="P5" s="71" t="s">
        <v>378</v>
      </c>
      <c r="Q5" s="71">
        <f>MAX(P10:P114)</f>
        <v>3.4999999999999996</v>
      </c>
      <c r="R5" s="71" t="s">
        <v>93</v>
      </c>
    </row>
    <row r="6" spans="1:25" x14ac:dyDescent="0.2">
      <c r="P6" s="71" t="s">
        <v>377</v>
      </c>
      <c r="Q6" s="71">
        <f>MAX(Q10:Q114)</f>
        <v>2</v>
      </c>
      <c r="R6" s="71" t="s">
        <v>93</v>
      </c>
    </row>
    <row r="7" spans="1:25" x14ac:dyDescent="0.2">
      <c r="A7" s="161" t="s">
        <v>182</v>
      </c>
      <c r="B7" s="162" t="s">
        <v>151</v>
      </c>
      <c r="C7" s="162" t="s">
        <v>152</v>
      </c>
      <c r="D7" s="162" t="s">
        <v>157</v>
      </c>
      <c r="E7" s="162" t="s">
        <v>356</v>
      </c>
      <c r="F7" s="162" t="s">
        <v>357</v>
      </c>
      <c r="G7" s="162" t="s">
        <v>330</v>
      </c>
      <c r="H7" s="162" t="s">
        <v>180</v>
      </c>
      <c r="I7" s="162" t="s">
        <v>329</v>
      </c>
      <c r="J7" s="163" t="s">
        <v>163</v>
      </c>
      <c r="K7" s="163" t="s">
        <v>408</v>
      </c>
      <c r="L7" s="161" t="s">
        <v>331</v>
      </c>
      <c r="M7" s="161" t="s">
        <v>370</v>
      </c>
      <c r="N7" s="161" t="s">
        <v>407</v>
      </c>
      <c r="O7" s="161" t="s">
        <v>371</v>
      </c>
      <c r="P7" s="71" t="s">
        <v>372</v>
      </c>
      <c r="Q7" s="71" t="s">
        <v>373</v>
      </c>
    </row>
    <row r="8" spans="1:25" x14ac:dyDescent="0.2">
      <c r="A8" s="161"/>
      <c r="B8" s="162"/>
      <c r="C8" s="162"/>
      <c r="D8" s="162"/>
      <c r="E8" s="162"/>
      <c r="F8" s="162"/>
      <c r="G8" s="162"/>
      <c r="H8" s="162"/>
      <c r="I8" s="162"/>
      <c r="J8" s="163"/>
      <c r="K8" s="214">
        <v>-10</v>
      </c>
      <c r="L8" s="161"/>
      <c r="M8" s="161"/>
      <c r="N8" s="161"/>
      <c r="O8" s="71">
        <v>0</v>
      </c>
    </row>
    <row r="9" spans="1:25" x14ac:dyDescent="0.2">
      <c r="A9" s="161"/>
      <c r="B9" s="162"/>
      <c r="C9" s="162"/>
      <c r="D9" s="162"/>
      <c r="E9" s="162"/>
      <c r="F9" s="162"/>
      <c r="G9" s="162"/>
      <c r="H9" s="162"/>
      <c r="I9" s="162"/>
      <c r="J9" s="163"/>
      <c r="K9" s="81">
        <v>-0.01</v>
      </c>
      <c r="L9" s="161"/>
      <c r="M9" s="161"/>
      <c r="N9" s="161"/>
      <c r="O9" s="71">
        <v>0</v>
      </c>
    </row>
    <row r="10" spans="1:25" x14ac:dyDescent="0.2">
      <c r="A10" s="71">
        <f t="shared" ref="A10:A41" si="0">VINMAX</f>
        <v>12.5</v>
      </c>
      <c r="B10" s="74">
        <f t="shared" ref="B10:B41" si="1">VINMAX*((ROW()-10)/104)</f>
        <v>0</v>
      </c>
      <c r="C10" s="72">
        <f t="shared" ref="C10:C41" si="2">IF(B10&gt;=$H$2,IF($D$2="CC", $G$2, B10/$G$2), 0)</f>
        <v>0</v>
      </c>
      <c r="D10" s="70">
        <f>$B$2-B10*$J$2/($I$2*0.001)</f>
        <v>161.23867541393315</v>
      </c>
      <c r="E10" s="70">
        <f>MIN(D10/(A10-B10),$C$2)</f>
        <v>12.899094033114652</v>
      </c>
      <c r="F10" s="72">
        <f>I_Cout_ss+C10</f>
        <v>0.22</v>
      </c>
      <c r="G10" s="70">
        <f>IF($F$2="YES", F10, E10)</f>
        <v>0.22</v>
      </c>
      <c r="H10" s="72">
        <f t="shared" ref="H10:H41" si="3">G10-C10</f>
        <v>0.22</v>
      </c>
      <c r="I10" s="73">
        <f>(COUTMAX/1000000)*(B10)/H10</f>
        <v>0</v>
      </c>
      <c r="J10" s="80">
        <f>I10</f>
        <v>0</v>
      </c>
      <c r="K10" s="214">
        <f>J10*1000</f>
        <v>0</v>
      </c>
      <c r="L10" s="164">
        <f>H10/G10</f>
        <v>1</v>
      </c>
      <c r="M10" s="71">
        <f t="shared" ref="M10:M41" si="4">1/COUTMAX*(E10/2-C10)*1000</f>
        <v>6.449547016557327</v>
      </c>
      <c r="N10" s="71">
        <f>I10*G10*(A10-B10)</f>
        <v>0</v>
      </c>
      <c r="O10" s="71">
        <f>G10*(A10-B10)</f>
        <v>2.75</v>
      </c>
      <c r="P10" s="71">
        <f t="shared" ref="P10:P41" si="5">(A10-B10)*(I_Cout_ss*$Q$2+C10)</f>
        <v>3.4999999999999996</v>
      </c>
      <c r="Q10" s="71">
        <f t="shared" ref="Q10:Q41" si="6">(A10-B10)*(I_Cout_ss*$R$2+C10)</f>
        <v>2</v>
      </c>
    </row>
    <row r="11" spans="1:25" x14ac:dyDescent="0.2">
      <c r="A11" s="71">
        <f t="shared" si="0"/>
        <v>12.5</v>
      </c>
      <c r="B11" s="74">
        <f t="shared" si="1"/>
        <v>0.1201923076923077</v>
      </c>
      <c r="C11" s="72">
        <f t="shared" si="2"/>
        <v>0</v>
      </c>
      <c r="D11" s="70">
        <f t="shared" ref="D11:D41" si="7">$B$2-B11*$J$2/($I$2*0.001)</f>
        <v>160.47381527407302</v>
      </c>
      <c r="E11" s="70">
        <f t="shared" ref="E11:E74" si="8">MIN(D11/(A11-B11),$C$2)</f>
        <v>12.962545078449393</v>
      </c>
      <c r="F11" s="72">
        <f t="shared" ref="F11:F41" si="9">I_Cout_ss+C11</f>
        <v>0.22</v>
      </c>
      <c r="G11" s="70">
        <f t="shared" ref="G11:G74" si="10">IF($F$2="YES", F11, E11)</f>
        <v>0.22</v>
      </c>
      <c r="H11" s="72">
        <f t="shared" si="3"/>
        <v>0.22</v>
      </c>
      <c r="I11" s="73">
        <f t="shared" ref="I11:I42" si="11">(COUTMAX/1000000)*(B11-B10)/H11</f>
        <v>5.4632867132867137E-4</v>
      </c>
      <c r="J11" s="80">
        <f>J10+I11</f>
        <v>5.4632867132867137E-4</v>
      </c>
      <c r="K11" s="214">
        <f t="shared" ref="K11:K74" si="12">J11*1000</f>
        <v>0.54632867132867136</v>
      </c>
      <c r="L11" s="164">
        <f t="shared" ref="L11:L74" si="13">H11/G11</f>
        <v>1</v>
      </c>
      <c r="M11" s="71">
        <f t="shared" si="4"/>
        <v>6.4812725392246966</v>
      </c>
      <c r="N11" s="71">
        <f t="shared" ref="N11:N13" si="14">I11*G11*(A11-B11)</f>
        <v>1.4879576553254437E-3</v>
      </c>
      <c r="O11" s="71">
        <f>G11*(A11-B11)</f>
        <v>2.7235576923076921</v>
      </c>
      <c r="P11" s="71">
        <f t="shared" si="5"/>
        <v>3.4663461538461533</v>
      </c>
      <c r="Q11" s="71">
        <f t="shared" si="6"/>
        <v>1.9807692307692306</v>
      </c>
    </row>
    <row r="12" spans="1:25" x14ac:dyDescent="0.2">
      <c r="A12" s="71">
        <f t="shared" si="0"/>
        <v>12.5</v>
      </c>
      <c r="B12" s="74">
        <f t="shared" si="1"/>
        <v>0.24038461538461539</v>
      </c>
      <c r="C12" s="72">
        <f t="shared" si="2"/>
        <v>0</v>
      </c>
      <c r="D12" s="70">
        <f t="shared" si="7"/>
        <v>159.70895513421289</v>
      </c>
      <c r="E12" s="70">
        <f t="shared" si="8"/>
        <v>13.027240261927952</v>
      </c>
      <c r="F12" s="72">
        <f t="shared" si="9"/>
        <v>0.22</v>
      </c>
      <c r="G12" s="70">
        <f t="shared" si="10"/>
        <v>0.22</v>
      </c>
      <c r="H12" s="72">
        <f t="shared" si="3"/>
        <v>0.22</v>
      </c>
      <c r="I12" s="73">
        <f t="shared" si="11"/>
        <v>5.4632867132867137E-4</v>
      </c>
      <c r="J12" s="80">
        <f t="shared" ref="J12:J75" si="15">J11+I12</f>
        <v>1.0926573426573427E-3</v>
      </c>
      <c r="K12" s="214">
        <f t="shared" si="12"/>
        <v>1.0926573426573427</v>
      </c>
      <c r="L12" s="164">
        <f t="shared" si="13"/>
        <v>1</v>
      </c>
      <c r="M12" s="71">
        <f t="shared" si="4"/>
        <v>6.5136201309639761</v>
      </c>
      <c r="N12" s="71">
        <f>I12*G12*(A12-B12)</f>
        <v>1.4735114644970416E-3</v>
      </c>
      <c r="O12" s="71">
        <f t="shared" ref="O12:O74" si="16">G12*(A12-B12)</f>
        <v>2.6971153846153846</v>
      </c>
      <c r="P12" s="71">
        <f t="shared" si="5"/>
        <v>3.4326923076923075</v>
      </c>
      <c r="Q12" s="71">
        <f t="shared" si="6"/>
        <v>1.9615384615384617</v>
      </c>
      <c r="X12" s="376" t="s">
        <v>153</v>
      </c>
      <c r="Y12" s="376"/>
    </row>
    <row r="13" spans="1:25" x14ac:dyDescent="0.2">
      <c r="A13" s="71">
        <f t="shared" si="0"/>
        <v>12.5</v>
      </c>
      <c r="B13" s="74">
        <f t="shared" si="1"/>
        <v>0.36057692307692307</v>
      </c>
      <c r="C13" s="72">
        <f t="shared" si="2"/>
        <v>0</v>
      </c>
      <c r="D13" s="70">
        <f t="shared" si="7"/>
        <v>158.94409499435272</v>
      </c>
      <c r="E13" s="70">
        <f t="shared" si="8"/>
        <v>13.09321653814866</v>
      </c>
      <c r="F13" s="72">
        <f t="shared" si="9"/>
        <v>0.22</v>
      </c>
      <c r="G13" s="70">
        <f>IF($F$2="YES", F13, E13)</f>
        <v>0.22</v>
      </c>
      <c r="H13" s="72">
        <f t="shared" si="3"/>
        <v>0.22</v>
      </c>
      <c r="I13" s="73">
        <f t="shared" si="11"/>
        <v>5.4632867132867126E-4</v>
      </c>
      <c r="J13" s="80">
        <f t="shared" si="15"/>
        <v>1.638986013986014E-3</v>
      </c>
      <c r="K13" s="214">
        <f t="shared" si="12"/>
        <v>1.638986013986014</v>
      </c>
      <c r="L13" s="164">
        <f t="shared" si="13"/>
        <v>1</v>
      </c>
      <c r="M13" s="71">
        <f t="shared" si="4"/>
        <v>6.5466082690743299</v>
      </c>
      <c r="N13" s="71">
        <f t="shared" si="14"/>
        <v>1.4590652736686388E-3</v>
      </c>
      <c r="O13" s="71">
        <f t="shared" si="16"/>
        <v>2.6706730769230771</v>
      </c>
      <c r="P13" s="71">
        <f t="shared" si="5"/>
        <v>3.3990384615384612</v>
      </c>
      <c r="Q13" s="71">
        <f t="shared" si="6"/>
        <v>1.9423076923076923</v>
      </c>
      <c r="X13" s="75" t="s">
        <v>154</v>
      </c>
      <c r="Y13" s="76">
        <v>0.3</v>
      </c>
    </row>
    <row r="14" spans="1:25" x14ac:dyDescent="0.2">
      <c r="A14" s="71">
        <f t="shared" si="0"/>
        <v>12.5</v>
      </c>
      <c r="B14" s="74">
        <f t="shared" si="1"/>
        <v>0.48076923076923078</v>
      </c>
      <c r="C14" s="72">
        <f t="shared" si="2"/>
        <v>0</v>
      </c>
      <c r="D14" s="70">
        <f t="shared" si="7"/>
        <v>158.17923485449259</v>
      </c>
      <c r="E14" s="70">
        <f t="shared" si="8"/>
        <v>13.160512339893783</v>
      </c>
      <c r="F14" s="72">
        <f t="shared" si="9"/>
        <v>0.22</v>
      </c>
      <c r="G14" s="70">
        <f t="shared" si="10"/>
        <v>0.22</v>
      </c>
      <c r="H14" s="72">
        <f t="shared" si="3"/>
        <v>0.22</v>
      </c>
      <c r="I14" s="73">
        <f t="shared" si="11"/>
        <v>5.4632867132867137E-4</v>
      </c>
      <c r="J14" s="80">
        <f t="shared" si="15"/>
        <v>2.1853146853146855E-3</v>
      </c>
      <c r="K14" s="214">
        <f t="shared" si="12"/>
        <v>2.1853146853146854</v>
      </c>
      <c r="L14" s="164">
        <f t="shared" si="13"/>
        <v>1</v>
      </c>
      <c r="M14" s="71">
        <f t="shared" si="4"/>
        <v>6.5802561699468924</v>
      </c>
      <c r="N14" s="71">
        <f t="shared" ref="N14:N74" si="17">I14*G14*(A14-B14)</f>
        <v>1.4446190828402369E-3</v>
      </c>
      <c r="O14" s="71">
        <f t="shared" si="16"/>
        <v>2.6442307692307696</v>
      </c>
      <c r="P14" s="71">
        <f t="shared" si="5"/>
        <v>3.3653846153846154</v>
      </c>
      <c r="Q14" s="71">
        <f t="shared" si="6"/>
        <v>1.9230769230769234</v>
      </c>
      <c r="X14" s="75" t="s">
        <v>155</v>
      </c>
      <c r="Y14" s="76">
        <v>0.3</v>
      </c>
    </row>
    <row r="15" spans="1:25" x14ac:dyDescent="0.2">
      <c r="A15" s="71">
        <f t="shared" si="0"/>
        <v>12.5</v>
      </c>
      <c r="B15" s="74">
        <f t="shared" si="1"/>
        <v>0.60096153846153855</v>
      </c>
      <c r="C15" s="72">
        <f t="shared" si="2"/>
        <v>0</v>
      </c>
      <c r="D15" s="70">
        <f t="shared" si="7"/>
        <v>157.41437471463246</v>
      </c>
      <c r="E15" s="70">
        <f t="shared" si="8"/>
        <v>13.229167652785273</v>
      </c>
      <c r="F15" s="72">
        <f t="shared" si="9"/>
        <v>0.22</v>
      </c>
      <c r="G15" s="70">
        <f t="shared" si="10"/>
        <v>0.22</v>
      </c>
      <c r="H15" s="72">
        <f t="shared" si="3"/>
        <v>0.22</v>
      </c>
      <c r="I15" s="73">
        <f t="shared" si="11"/>
        <v>5.4632867132867169E-4</v>
      </c>
      <c r="J15" s="80">
        <f t="shared" si="15"/>
        <v>2.731643356643357E-3</v>
      </c>
      <c r="K15" s="214">
        <f t="shared" si="12"/>
        <v>2.7316433566433571</v>
      </c>
      <c r="L15" s="164">
        <f t="shared" si="13"/>
        <v>1</v>
      </c>
      <c r="M15" s="71">
        <f t="shared" si="4"/>
        <v>6.6145838263926366</v>
      </c>
      <c r="N15" s="71">
        <f t="shared" si="17"/>
        <v>1.4301728920118352E-3</v>
      </c>
      <c r="O15" s="71">
        <f t="shared" si="16"/>
        <v>2.6177884615384617</v>
      </c>
      <c r="P15" s="71">
        <f t="shared" si="5"/>
        <v>3.3317307692307687</v>
      </c>
      <c r="Q15" s="71">
        <f t="shared" si="6"/>
        <v>1.903846153846154</v>
      </c>
      <c r="X15" s="75" t="s">
        <v>156</v>
      </c>
      <c r="Y15" s="76">
        <f>SQRT(Y14^2+Y13^2)</f>
        <v>0.42426406871192851</v>
      </c>
    </row>
    <row r="16" spans="1:25" x14ac:dyDescent="0.2">
      <c r="A16" s="71">
        <f t="shared" si="0"/>
        <v>12.5</v>
      </c>
      <c r="B16" s="74">
        <f t="shared" si="1"/>
        <v>0.72115384615384615</v>
      </c>
      <c r="C16" s="72">
        <f t="shared" si="2"/>
        <v>0</v>
      </c>
      <c r="D16" s="70">
        <f t="shared" si="7"/>
        <v>156.64951457477233</v>
      </c>
      <c r="E16" s="70">
        <f t="shared" si="8"/>
        <v>13.299224094511283</v>
      </c>
      <c r="F16" s="72">
        <f t="shared" si="9"/>
        <v>0.22</v>
      </c>
      <c r="G16" s="70">
        <f t="shared" si="10"/>
        <v>0.22</v>
      </c>
      <c r="H16" s="72">
        <f t="shared" si="3"/>
        <v>0.22</v>
      </c>
      <c r="I16" s="73">
        <f t="shared" si="11"/>
        <v>5.4632867132867094E-4</v>
      </c>
      <c r="J16" s="80">
        <f t="shared" si="15"/>
        <v>3.277972027972028E-3</v>
      </c>
      <c r="K16" s="214">
        <f t="shared" si="12"/>
        <v>3.2779720279720279</v>
      </c>
      <c r="L16" s="164">
        <f t="shared" si="13"/>
        <v>1</v>
      </c>
      <c r="M16" s="71">
        <f t="shared" si="4"/>
        <v>6.6496120472556415</v>
      </c>
      <c r="N16" s="71">
        <f t="shared" si="17"/>
        <v>1.4157267011834309E-3</v>
      </c>
      <c r="O16" s="71">
        <f t="shared" si="16"/>
        <v>2.5913461538461537</v>
      </c>
      <c r="P16" s="71">
        <f t="shared" si="5"/>
        <v>3.2980769230769225</v>
      </c>
      <c r="Q16" s="71">
        <f t="shared" si="6"/>
        <v>1.8846153846153846</v>
      </c>
      <c r="X16" s="76"/>
      <c r="Y16" s="76"/>
    </row>
    <row r="17" spans="1:25" x14ac:dyDescent="0.2">
      <c r="A17" s="71">
        <f t="shared" si="0"/>
        <v>12.5</v>
      </c>
      <c r="B17" s="74">
        <f t="shared" si="1"/>
        <v>0.84134615384615385</v>
      </c>
      <c r="C17" s="72">
        <f t="shared" si="2"/>
        <v>0</v>
      </c>
      <c r="D17" s="70">
        <f t="shared" si="7"/>
        <v>155.88465443491216</v>
      </c>
      <c r="E17" s="70">
        <f t="shared" si="8"/>
        <v>13.370724998953291</v>
      </c>
      <c r="F17" s="72">
        <f t="shared" si="9"/>
        <v>0.22</v>
      </c>
      <c r="G17" s="70">
        <f t="shared" si="10"/>
        <v>0.22</v>
      </c>
      <c r="H17" s="72">
        <f t="shared" si="3"/>
        <v>0.22</v>
      </c>
      <c r="I17" s="73">
        <f t="shared" si="11"/>
        <v>5.4632867132867137E-4</v>
      </c>
      <c r="J17" s="80">
        <f t="shared" si="15"/>
        <v>3.8243006993006995E-3</v>
      </c>
      <c r="K17" s="214">
        <f t="shared" si="12"/>
        <v>3.8243006993006996</v>
      </c>
      <c r="L17" s="164">
        <f t="shared" si="13"/>
        <v>1</v>
      </c>
      <c r="M17" s="71">
        <f t="shared" si="4"/>
        <v>6.6853624994766454</v>
      </c>
      <c r="N17" s="71">
        <f t="shared" si="17"/>
        <v>1.4012805103550297E-3</v>
      </c>
      <c r="O17" s="71">
        <f t="shared" si="16"/>
        <v>2.5649038461538463</v>
      </c>
      <c r="P17" s="71">
        <f t="shared" si="5"/>
        <v>3.2644230769230766</v>
      </c>
      <c r="Q17" s="71">
        <f t="shared" si="6"/>
        <v>1.8653846153846154</v>
      </c>
      <c r="X17" s="75" t="s">
        <v>157</v>
      </c>
      <c r="Y17" s="76">
        <v>0.3</v>
      </c>
    </row>
    <row r="18" spans="1:25" x14ac:dyDescent="0.2">
      <c r="A18" s="71">
        <f t="shared" si="0"/>
        <v>12.5</v>
      </c>
      <c r="B18" s="74">
        <f t="shared" si="1"/>
        <v>0.96153846153846156</v>
      </c>
      <c r="C18" s="72">
        <f t="shared" si="2"/>
        <v>0</v>
      </c>
      <c r="D18" s="70">
        <f t="shared" si="7"/>
        <v>155.11979429505203</v>
      </c>
      <c r="E18" s="70">
        <f t="shared" si="8"/>
        <v>13.443715505571177</v>
      </c>
      <c r="F18" s="72">
        <f t="shared" si="9"/>
        <v>0.22</v>
      </c>
      <c r="G18" s="70">
        <f t="shared" si="10"/>
        <v>0.22</v>
      </c>
      <c r="H18" s="72">
        <f t="shared" si="3"/>
        <v>0.22</v>
      </c>
      <c r="I18" s="73">
        <f t="shared" si="11"/>
        <v>5.4632867132867137E-4</v>
      </c>
      <c r="J18" s="80">
        <f t="shared" si="15"/>
        <v>4.370629370629371E-3</v>
      </c>
      <c r="K18" s="214">
        <f t="shared" si="12"/>
        <v>4.3706293706293708</v>
      </c>
      <c r="L18" s="164">
        <f t="shared" si="13"/>
        <v>1</v>
      </c>
      <c r="M18" s="71">
        <f t="shared" si="4"/>
        <v>6.7218577527855885</v>
      </c>
      <c r="N18" s="71">
        <f t="shared" si="17"/>
        <v>1.3868343195266274E-3</v>
      </c>
      <c r="O18" s="71">
        <f t="shared" si="16"/>
        <v>2.5384615384615383</v>
      </c>
      <c r="P18" s="71">
        <f t="shared" si="5"/>
        <v>3.2307692307692304</v>
      </c>
      <c r="Q18" s="71">
        <f t="shared" si="6"/>
        <v>1.8461538461538463</v>
      </c>
      <c r="X18" s="75" t="s">
        <v>158</v>
      </c>
      <c r="Y18" s="76">
        <f>MAX(Y15:Y17)</f>
        <v>0.42426406871192851</v>
      </c>
    </row>
    <row r="19" spans="1:25" x14ac:dyDescent="0.2">
      <c r="A19" s="71">
        <f t="shared" si="0"/>
        <v>12.5</v>
      </c>
      <c r="B19" s="74">
        <f t="shared" si="1"/>
        <v>1.0817307692307692</v>
      </c>
      <c r="C19" s="72">
        <f t="shared" si="2"/>
        <v>0</v>
      </c>
      <c r="D19" s="70">
        <f t="shared" si="7"/>
        <v>154.3549341551919</v>
      </c>
      <c r="E19" s="70">
        <f t="shared" si="8"/>
        <v>13.518242654433649</v>
      </c>
      <c r="F19" s="72">
        <f t="shared" si="9"/>
        <v>0.22</v>
      </c>
      <c r="G19" s="70">
        <f t="shared" si="10"/>
        <v>0.22</v>
      </c>
      <c r="H19" s="72">
        <f t="shared" si="3"/>
        <v>0.22</v>
      </c>
      <c r="I19" s="73">
        <f t="shared" si="11"/>
        <v>5.4632867132867094E-4</v>
      </c>
      <c r="J19" s="80">
        <f t="shared" si="15"/>
        <v>4.916958041958042E-3</v>
      </c>
      <c r="K19" s="214">
        <f t="shared" si="12"/>
        <v>4.9169580419580416</v>
      </c>
      <c r="L19" s="164">
        <f t="shared" si="13"/>
        <v>1</v>
      </c>
      <c r="M19" s="71">
        <f t="shared" si="4"/>
        <v>6.7591213272168247</v>
      </c>
      <c r="N19" s="71">
        <f t="shared" si="17"/>
        <v>1.3723881286982237E-3</v>
      </c>
      <c r="O19" s="71">
        <f t="shared" si="16"/>
        <v>2.5120192307692304</v>
      </c>
      <c r="P19" s="71">
        <f t="shared" si="5"/>
        <v>3.1971153846153841</v>
      </c>
      <c r="Q19" s="71">
        <f t="shared" si="6"/>
        <v>1.8269230769230769</v>
      </c>
      <c r="X19" s="76"/>
      <c r="Y19" s="76"/>
    </row>
    <row r="20" spans="1:25" x14ac:dyDescent="0.2">
      <c r="A20" s="71">
        <f t="shared" si="0"/>
        <v>12.5</v>
      </c>
      <c r="B20" s="74">
        <f t="shared" si="1"/>
        <v>1.2019230769230771</v>
      </c>
      <c r="C20" s="72">
        <f t="shared" si="2"/>
        <v>0</v>
      </c>
      <c r="D20" s="70">
        <f t="shared" si="7"/>
        <v>153.59007401533177</v>
      </c>
      <c r="E20" s="70">
        <f t="shared" si="8"/>
        <v>13.594355487314472</v>
      </c>
      <c r="F20" s="72">
        <f t="shared" si="9"/>
        <v>0.22</v>
      </c>
      <c r="G20" s="70">
        <f t="shared" si="10"/>
        <v>0.22</v>
      </c>
      <c r="H20" s="72">
        <f t="shared" si="3"/>
        <v>0.22</v>
      </c>
      <c r="I20" s="73">
        <f t="shared" si="11"/>
        <v>5.4632867132867245E-4</v>
      </c>
      <c r="J20" s="80">
        <f t="shared" si="15"/>
        <v>5.4632867132867148E-3</v>
      </c>
      <c r="K20" s="214">
        <f t="shared" si="12"/>
        <v>5.4632867132867151</v>
      </c>
      <c r="L20" s="164">
        <f t="shared" si="13"/>
        <v>1</v>
      </c>
      <c r="M20" s="71">
        <f t="shared" si="4"/>
        <v>6.7971777436572358</v>
      </c>
      <c r="N20" s="71">
        <f t="shared" si="17"/>
        <v>1.3579419378698253E-3</v>
      </c>
      <c r="O20" s="71">
        <f t="shared" si="16"/>
        <v>2.4855769230769234</v>
      </c>
      <c r="P20" s="71">
        <f t="shared" si="5"/>
        <v>3.1634615384615383</v>
      </c>
      <c r="Q20" s="71">
        <f t="shared" si="6"/>
        <v>1.8076923076923077</v>
      </c>
      <c r="X20" s="75" t="s">
        <v>159</v>
      </c>
      <c r="Y20" s="76">
        <v>0.2</v>
      </c>
    </row>
    <row r="21" spans="1:25" x14ac:dyDescent="0.2">
      <c r="A21" s="71">
        <f t="shared" si="0"/>
        <v>12.5</v>
      </c>
      <c r="B21" s="74">
        <f t="shared" si="1"/>
        <v>1.3221153846153846</v>
      </c>
      <c r="C21" s="72">
        <f t="shared" si="2"/>
        <v>0</v>
      </c>
      <c r="D21" s="70">
        <f t="shared" si="7"/>
        <v>152.8252138754716</v>
      </c>
      <c r="E21" s="70">
        <f t="shared" si="8"/>
        <v>13.672105155311009</v>
      </c>
      <c r="F21" s="72">
        <f t="shared" si="9"/>
        <v>0.22</v>
      </c>
      <c r="G21" s="70">
        <f t="shared" si="10"/>
        <v>0.22</v>
      </c>
      <c r="H21" s="72">
        <f t="shared" si="3"/>
        <v>0.22</v>
      </c>
      <c r="I21" s="73">
        <f t="shared" si="11"/>
        <v>5.4632867132867039E-4</v>
      </c>
      <c r="J21" s="80">
        <f t="shared" si="15"/>
        <v>6.0096153846153849E-3</v>
      </c>
      <c r="K21" s="214">
        <f t="shared" si="12"/>
        <v>6.009615384615385</v>
      </c>
      <c r="L21" s="164">
        <f t="shared" si="13"/>
        <v>1</v>
      </c>
      <c r="M21" s="71">
        <f t="shared" si="4"/>
        <v>6.8360525776555043</v>
      </c>
      <c r="N21" s="71">
        <f t="shared" si="17"/>
        <v>1.3434957470414178E-3</v>
      </c>
      <c r="O21" s="71">
        <f t="shared" si="16"/>
        <v>2.4591346153846154</v>
      </c>
      <c r="P21" s="71">
        <f t="shared" si="5"/>
        <v>3.1298076923076921</v>
      </c>
      <c r="Q21" s="71">
        <f t="shared" si="6"/>
        <v>1.7884615384615383</v>
      </c>
      <c r="X21" s="75" t="s">
        <v>160</v>
      </c>
      <c r="Y21" s="76">
        <v>0.2</v>
      </c>
    </row>
    <row r="22" spans="1:25" x14ac:dyDescent="0.2">
      <c r="A22" s="71">
        <f t="shared" si="0"/>
        <v>12.5</v>
      </c>
      <c r="B22" s="74">
        <f t="shared" si="1"/>
        <v>1.4423076923076923</v>
      </c>
      <c r="C22" s="72">
        <f t="shared" si="2"/>
        <v>0</v>
      </c>
      <c r="D22" s="70">
        <f t="shared" si="7"/>
        <v>152.06035373561147</v>
      </c>
      <c r="E22" s="70">
        <f t="shared" si="8"/>
        <v>13.751545033481385</v>
      </c>
      <c r="F22" s="72">
        <f t="shared" si="9"/>
        <v>0.22</v>
      </c>
      <c r="G22" s="70">
        <f t="shared" si="10"/>
        <v>0.22</v>
      </c>
      <c r="H22" s="72">
        <f t="shared" si="3"/>
        <v>0.22</v>
      </c>
      <c r="I22" s="73">
        <f t="shared" si="11"/>
        <v>5.4632867132867137E-4</v>
      </c>
      <c r="J22" s="80">
        <f t="shared" si="15"/>
        <v>6.555944055944056E-3</v>
      </c>
      <c r="K22" s="214">
        <f t="shared" si="12"/>
        <v>6.5559440559440558</v>
      </c>
      <c r="L22" s="164">
        <f t="shared" si="13"/>
        <v>1</v>
      </c>
      <c r="M22" s="71">
        <f t="shared" si="4"/>
        <v>6.8757725167406925</v>
      </c>
      <c r="N22" s="71">
        <f t="shared" si="17"/>
        <v>1.3290495562130178E-3</v>
      </c>
      <c r="O22" s="71">
        <f t="shared" si="16"/>
        <v>2.4326923076923079</v>
      </c>
      <c r="P22" s="71">
        <f t="shared" si="5"/>
        <v>3.0961538461538458</v>
      </c>
      <c r="Q22" s="71">
        <f t="shared" si="6"/>
        <v>1.7692307692307694</v>
      </c>
      <c r="X22" s="75" t="s">
        <v>156</v>
      </c>
      <c r="Y22" s="76">
        <f>SQRT(Y21^2+Y20^2)</f>
        <v>0.28284271247461906</v>
      </c>
    </row>
    <row r="23" spans="1:25" x14ac:dyDescent="0.2">
      <c r="A23" s="71">
        <f t="shared" si="0"/>
        <v>12.5</v>
      </c>
      <c r="B23" s="74">
        <f t="shared" si="1"/>
        <v>1.5625</v>
      </c>
      <c r="C23" s="72">
        <f t="shared" si="2"/>
        <v>0</v>
      </c>
      <c r="D23" s="70">
        <f t="shared" si="7"/>
        <v>151.29549359575134</v>
      </c>
      <c r="E23" s="70">
        <f t="shared" si="8"/>
        <v>13.832730843040123</v>
      </c>
      <c r="F23" s="72">
        <f t="shared" si="9"/>
        <v>0.22</v>
      </c>
      <c r="G23" s="70">
        <f t="shared" si="10"/>
        <v>0.22</v>
      </c>
      <c r="H23" s="72">
        <f t="shared" si="3"/>
        <v>0.22</v>
      </c>
      <c r="I23" s="73">
        <f t="shared" si="11"/>
        <v>5.4632867132867137E-4</v>
      </c>
      <c r="J23" s="80">
        <f t="shared" si="15"/>
        <v>7.102272727272727E-3</v>
      </c>
      <c r="K23" s="214">
        <f t="shared" si="12"/>
        <v>7.1022727272727266</v>
      </c>
      <c r="L23" s="164">
        <f t="shared" si="13"/>
        <v>1</v>
      </c>
      <c r="M23" s="71">
        <f t="shared" si="4"/>
        <v>6.9163654215200614</v>
      </c>
      <c r="N23" s="71">
        <f t="shared" si="17"/>
        <v>1.3146033653846155E-3</v>
      </c>
      <c r="O23" s="71">
        <f t="shared" si="16"/>
        <v>2.40625</v>
      </c>
      <c r="P23" s="71">
        <f t="shared" si="5"/>
        <v>3.0624999999999996</v>
      </c>
      <c r="Q23" s="71">
        <f t="shared" si="6"/>
        <v>1.75</v>
      </c>
      <c r="X23" s="76"/>
      <c r="Y23" s="76"/>
    </row>
    <row r="24" spans="1:25" x14ac:dyDescent="0.2">
      <c r="A24" s="71">
        <f t="shared" si="0"/>
        <v>12.5</v>
      </c>
      <c r="B24" s="74">
        <f t="shared" si="1"/>
        <v>1.6826923076923077</v>
      </c>
      <c r="C24" s="72">
        <f t="shared" si="2"/>
        <v>0</v>
      </c>
      <c r="D24" s="70">
        <f t="shared" si="7"/>
        <v>150.53063345589121</v>
      </c>
      <c r="E24" s="70">
        <f t="shared" si="8"/>
        <v>13.915720781700166</v>
      </c>
      <c r="F24" s="72">
        <f t="shared" si="9"/>
        <v>0.22</v>
      </c>
      <c r="G24" s="70">
        <f t="shared" si="10"/>
        <v>0.22</v>
      </c>
      <c r="H24" s="72">
        <f t="shared" si="3"/>
        <v>0.22</v>
      </c>
      <c r="I24" s="73">
        <f t="shared" si="11"/>
        <v>5.4632867132867137E-4</v>
      </c>
      <c r="J24" s="80">
        <f t="shared" si="15"/>
        <v>7.6486013986013981E-3</v>
      </c>
      <c r="K24" s="214">
        <f t="shared" si="12"/>
        <v>7.6486013986013983</v>
      </c>
      <c r="L24" s="164">
        <f t="shared" si="13"/>
        <v>1</v>
      </c>
      <c r="M24" s="71">
        <f t="shared" si="4"/>
        <v>6.9578603908500831</v>
      </c>
      <c r="N24" s="71">
        <f t="shared" si="17"/>
        <v>1.3001571745562129E-3</v>
      </c>
      <c r="O24" s="71">
        <f t="shared" si="16"/>
        <v>2.3798076923076921</v>
      </c>
      <c r="P24" s="71">
        <f t="shared" si="5"/>
        <v>3.0288461538461533</v>
      </c>
      <c r="Q24" s="71">
        <f t="shared" si="6"/>
        <v>1.7307692307692306</v>
      </c>
      <c r="X24" s="75" t="s">
        <v>161</v>
      </c>
      <c r="Y24" s="76">
        <f>SQRT(Y18^2+Y22^2)</f>
        <v>0.50990195135927852</v>
      </c>
    </row>
    <row r="25" spans="1:25" x14ac:dyDescent="0.2">
      <c r="A25" s="71">
        <f t="shared" si="0"/>
        <v>12.5</v>
      </c>
      <c r="B25" s="74">
        <f t="shared" si="1"/>
        <v>1.8028846153846152</v>
      </c>
      <c r="C25" s="72">
        <f t="shared" si="2"/>
        <v>0</v>
      </c>
      <c r="D25" s="70">
        <f t="shared" si="7"/>
        <v>149.76577331603104</v>
      </c>
      <c r="E25" s="70">
        <f t="shared" si="8"/>
        <v>14.000575662802003</v>
      </c>
      <c r="F25" s="72">
        <f t="shared" si="9"/>
        <v>0.22</v>
      </c>
      <c r="G25" s="70">
        <f t="shared" si="10"/>
        <v>0.22</v>
      </c>
      <c r="H25" s="72">
        <f t="shared" si="3"/>
        <v>0.22</v>
      </c>
      <c r="I25" s="73">
        <f t="shared" si="11"/>
        <v>5.4632867132867039E-4</v>
      </c>
      <c r="J25" s="80">
        <f t="shared" si="15"/>
        <v>8.1949300699300683E-3</v>
      </c>
      <c r="K25" s="214">
        <f t="shared" si="12"/>
        <v>8.1949300699300682</v>
      </c>
      <c r="L25" s="164">
        <f t="shared" si="13"/>
        <v>1</v>
      </c>
      <c r="M25" s="71">
        <f t="shared" si="4"/>
        <v>7.0002878314010015</v>
      </c>
      <c r="N25" s="71">
        <f t="shared" si="17"/>
        <v>1.2857109837278084E-3</v>
      </c>
      <c r="O25" s="71">
        <f t="shared" si="16"/>
        <v>2.3533653846153846</v>
      </c>
      <c r="P25" s="71">
        <f t="shared" si="5"/>
        <v>2.9951923076923075</v>
      </c>
      <c r="Q25" s="71">
        <f t="shared" si="6"/>
        <v>1.7115384615384617</v>
      </c>
    </row>
    <row r="26" spans="1:25" x14ac:dyDescent="0.2">
      <c r="A26" s="71">
        <f t="shared" si="0"/>
        <v>12.5</v>
      </c>
      <c r="B26" s="74">
        <f t="shared" si="1"/>
        <v>1.9230769230769231</v>
      </c>
      <c r="C26" s="72">
        <f t="shared" si="2"/>
        <v>0</v>
      </c>
      <c r="D26" s="70">
        <f t="shared" si="7"/>
        <v>149.00091317617091</v>
      </c>
      <c r="E26" s="70">
        <f t="shared" si="8"/>
        <v>14.087359063928886</v>
      </c>
      <c r="F26" s="72">
        <f t="shared" si="9"/>
        <v>0.22</v>
      </c>
      <c r="G26" s="70">
        <f t="shared" si="10"/>
        <v>0.22</v>
      </c>
      <c r="H26" s="72">
        <f t="shared" si="3"/>
        <v>0.22</v>
      </c>
      <c r="I26" s="73">
        <f t="shared" si="11"/>
        <v>5.4632867132867245E-4</v>
      </c>
      <c r="J26" s="80">
        <f t="shared" si="15"/>
        <v>8.7412587412587402E-3</v>
      </c>
      <c r="K26" s="214">
        <f t="shared" si="12"/>
        <v>8.7412587412587399</v>
      </c>
      <c r="L26" s="164">
        <f t="shared" si="13"/>
        <v>1</v>
      </c>
      <c r="M26" s="71">
        <f t="shared" si="4"/>
        <v>7.0436795319644432</v>
      </c>
      <c r="N26" s="71">
        <f t="shared" si="17"/>
        <v>1.2712647928994109E-3</v>
      </c>
      <c r="O26" s="71">
        <f t="shared" si="16"/>
        <v>2.3269230769230771</v>
      </c>
      <c r="P26" s="71">
        <f t="shared" si="5"/>
        <v>2.9615384615384612</v>
      </c>
      <c r="Q26" s="71">
        <f t="shared" si="6"/>
        <v>1.6923076923076923</v>
      </c>
    </row>
    <row r="27" spans="1:25" x14ac:dyDescent="0.2">
      <c r="A27" s="71">
        <f t="shared" si="0"/>
        <v>12.5</v>
      </c>
      <c r="B27" s="74">
        <f t="shared" si="1"/>
        <v>2.0432692307692308</v>
      </c>
      <c r="C27" s="72">
        <f t="shared" si="2"/>
        <v>0</v>
      </c>
      <c r="D27" s="70">
        <f t="shared" si="7"/>
        <v>148.23605303631078</v>
      </c>
      <c r="E27" s="70">
        <f t="shared" si="8"/>
        <v>14.176137485771328</v>
      </c>
      <c r="F27" s="72">
        <f t="shared" si="9"/>
        <v>0.22</v>
      </c>
      <c r="G27" s="70">
        <f t="shared" si="10"/>
        <v>0.22</v>
      </c>
      <c r="H27" s="72">
        <f t="shared" si="3"/>
        <v>0.22</v>
      </c>
      <c r="I27" s="73">
        <f t="shared" si="11"/>
        <v>5.4632867132867137E-4</v>
      </c>
      <c r="J27" s="80">
        <f t="shared" si="15"/>
        <v>9.2875874125874121E-3</v>
      </c>
      <c r="K27" s="214">
        <f t="shared" si="12"/>
        <v>9.2875874125874116</v>
      </c>
      <c r="L27" s="164">
        <f t="shared" si="13"/>
        <v>1</v>
      </c>
      <c r="M27" s="71">
        <f t="shared" si="4"/>
        <v>7.0880687428856639</v>
      </c>
      <c r="N27" s="71">
        <f t="shared" si="17"/>
        <v>1.2568186020710062E-3</v>
      </c>
      <c r="O27" s="71">
        <f t="shared" si="16"/>
        <v>2.3004807692307696</v>
      </c>
      <c r="P27" s="71">
        <f t="shared" si="5"/>
        <v>2.9278846153846154</v>
      </c>
      <c r="Q27" s="71">
        <f t="shared" si="6"/>
        <v>1.6730769230769234</v>
      </c>
    </row>
    <row r="28" spans="1:25" x14ac:dyDescent="0.2">
      <c r="A28" s="71">
        <f t="shared" si="0"/>
        <v>12.5</v>
      </c>
      <c r="B28" s="74">
        <f t="shared" si="1"/>
        <v>2.1634615384615383</v>
      </c>
      <c r="C28" s="72">
        <f t="shared" si="2"/>
        <v>0</v>
      </c>
      <c r="D28" s="70">
        <f t="shared" si="7"/>
        <v>147.47119289645065</v>
      </c>
      <c r="E28" s="70">
        <f t="shared" si="8"/>
        <v>14.266980522075226</v>
      </c>
      <c r="F28" s="72">
        <f t="shared" si="9"/>
        <v>0.22</v>
      </c>
      <c r="G28" s="70">
        <f t="shared" si="10"/>
        <v>0.22</v>
      </c>
      <c r="H28" s="72">
        <f t="shared" si="3"/>
        <v>0.22</v>
      </c>
      <c r="I28" s="73">
        <f t="shared" si="11"/>
        <v>5.4632867132867039E-4</v>
      </c>
      <c r="J28" s="80">
        <f t="shared" si="15"/>
        <v>9.8339160839160823E-3</v>
      </c>
      <c r="K28" s="214">
        <f t="shared" si="12"/>
        <v>9.8339160839160815</v>
      </c>
      <c r="L28" s="164">
        <f t="shared" si="13"/>
        <v>1</v>
      </c>
      <c r="M28" s="71">
        <f t="shared" si="4"/>
        <v>7.1334902610376139</v>
      </c>
      <c r="N28" s="71">
        <f t="shared" si="17"/>
        <v>1.2423724112426014E-3</v>
      </c>
      <c r="O28" s="71">
        <f t="shared" si="16"/>
        <v>2.2740384615384617</v>
      </c>
      <c r="P28" s="71">
        <f t="shared" si="5"/>
        <v>2.8942307692307692</v>
      </c>
      <c r="Q28" s="71">
        <f t="shared" si="6"/>
        <v>1.653846153846154</v>
      </c>
    </row>
    <row r="29" spans="1:25" x14ac:dyDescent="0.2">
      <c r="A29" s="71">
        <f t="shared" si="0"/>
        <v>12.5</v>
      </c>
      <c r="B29" s="74">
        <f t="shared" si="1"/>
        <v>2.2836538461538458</v>
      </c>
      <c r="C29" s="72">
        <f t="shared" si="2"/>
        <v>0</v>
      </c>
      <c r="D29" s="70">
        <f t="shared" si="7"/>
        <v>146.70633275659048</v>
      </c>
      <c r="E29" s="70">
        <f t="shared" si="8"/>
        <v>14.359961041586269</v>
      </c>
      <c r="F29" s="72">
        <f t="shared" si="9"/>
        <v>0.22</v>
      </c>
      <c r="G29" s="70">
        <f t="shared" si="10"/>
        <v>0.22</v>
      </c>
      <c r="H29" s="72">
        <f t="shared" si="3"/>
        <v>0.22</v>
      </c>
      <c r="I29" s="73">
        <f t="shared" si="11"/>
        <v>5.4632867132867039E-4</v>
      </c>
      <c r="J29" s="80">
        <f t="shared" si="15"/>
        <v>1.0380244755244752E-2</v>
      </c>
      <c r="K29" s="214">
        <f t="shared" si="12"/>
        <v>10.380244755244753</v>
      </c>
      <c r="L29" s="164">
        <f t="shared" si="13"/>
        <v>1</v>
      </c>
      <c r="M29" s="71">
        <f t="shared" si="4"/>
        <v>7.1799805207931344</v>
      </c>
      <c r="N29" s="71">
        <f t="shared" si="17"/>
        <v>1.2279262204141989E-3</v>
      </c>
      <c r="O29" s="71">
        <f t="shared" si="16"/>
        <v>2.2475961538461537</v>
      </c>
      <c r="P29" s="71">
        <f t="shared" si="5"/>
        <v>2.8605769230769225</v>
      </c>
      <c r="Q29" s="71">
        <f t="shared" si="6"/>
        <v>1.6346153846153846</v>
      </c>
    </row>
    <row r="30" spans="1:25" x14ac:dyDescent="0.2">
      <c r="A30" s="71">
        <f t="shared" si="0"/>
        <v>12.5</v>
      </c>
      <c r="B30" s="74">
        <f t="shared" si="1"/>
        <v>2.4038461538461542</v>
      </c>
      <c r="C30" s="72">
        <f t="shared" si="2"/>
        <v>0</v>
      </c>
      <c r="D30" s="70">
        <f t="shared" si="7"/>
        <v>145.94147261673035</v>
      </c>
      <c r="E30" s="70">
        <f t="shared" si="8"/>
        <v>14.455155382990434</v>
      </c>
      <c r="F30" s="72">
        <f t="shared" si="9"/>
        <v>0.22</v>
      </c>
      <c r="G30" s="70">
        <f t="shared" si="10"/>
        <v>0.22</v>
      </c>
      <c r="H30" s="72">
        <f t="shared" si="3"/>
        <v>0.22</v>
      </c>
      <c r="I30" s="73">
        <f t="shared" si="11"/>
        <v>5.463286713286744E-4</v>
      </c>
      <c r="J30" s="80">
        <f t="shared" si="15"/>
        <v>1.0926573426573426E-2</v>
      </c>
      <c r="K30" s="214">
        <f t="shared" si="12"/>
        <v>10.926573426573427</v>
      </c>
      <c r="L30" s="164">
        <f t="shared" si="13"/>
        <v>1</v>
      </c>
      <c r="M30" s="71">
        <f t="shared" si="4"/>
        <v>7.2275776914952168</v>
      </c>
      <c r="N30" s="71">
        <f t="shared" si="17"/>
        <v>1.2134800295858057E-3</v>
      </c>
      <c r="O30" s="71">
        <f t="shared" si="16"/>
        <v>2.2211538461538463</v>
      </c>
      <c r="P30" s="71">
        <f t="shared" si="5"/>
        <v>2.8269230769230766</v>
      </c>
      <c r="Q30" s="71">
        <f t="shared" si="6"/>
        <v>1.6153846153846154</v>
      </c>
    </row>
    <row r="31" spans="1:25" x14ac:dyDescent="0.2">
      <c r="A31" s="71">
        <f t="shared" si="0"/>
        <v>12.5</v>
      </c>
      <c r="B31" s="74">
        <f t="shared" si="1"/>
        <v>2.5240384615384617</v>
      </c>
      <c r="C31" s="72">
        <f t="shared" si="2"/>
        <v>0</v>
      </c>
      <c r="D31" s="70">
        <f t="shared" si="7"/>
        <v>145.17661247687022</v>
      </c>
      <c r="E31" s="70">
        <f t="shared" si="8"/>
        <v>14.552643563946509</v>
      </c>
      <c r="F31" s="72">
        <f t="shared" si="9"/>
        <v>0.22</v>
      </c>
      <c r="G31" s="70">
        <f t="shared" si="10"/>
        <v>0.22</v>
      </c>
      <c r="H31" s="72">
        <f t="shared" si="3"/>
        <v>0.22</v>
      </c>
      <c r="I31" s="73">
        <f t="shared" si="11"/>
        <v>5.4632867132867039E-4</v>
      </c>
      <c r="J31" s="80">
        <f t="shared" si="15"/>
        <v>1.1472902097902096E-2</v>
      </c>
      <c r="K31" s="214">
        <f t="shared" si="12"/>
        <v>11.472902097902097</v>
      </c>
      <c r="L31" s="164">
        <f t="shared" si="13"/>
        <v>1</v>
      </c>
      <c r="M31" s="71">
        <f t="shared" si="4"/>
        <v>7.2763217819732553</v>
      </c>
      <c r="N31" s="71">
        <f t="shared" si="17"/>
        <v>1.1990338387573944E-3</v>
      </c>
      <c r="O31" s="71">
        <f t="shared" si="16"/>
        <v>2.1947115384615383</v>
      </c>
      <c r="P31" s="71">
        <f t="shared" si="5"/>
        <v>2.7932692307692304</v>
      </c>
      <c r="Q31" s="71">
        <f t="shared" si="6"/>
        <v>1.5961538461538463</v>
      </c>
    </row>
    <row r="32" spans="1:25" x14ac:dyDescent="0.2">
      <c r="A32" s="71">
        <f t="shared" si="0"/>
        <v>12.5</v>
      </c>
      <c r="B32" s="74">
        <f t="shared" si="1"/>
        <v>2.6442307692307692</v>
      </c>
      <c r="C32" s="72">
        <f t="shared" si="2"/>
        <v>0</v>
      </c>
      <c r="D32" s="70">
        <f t="shared" si="7"/>
        <v>144.41175233701009</v>
      </c>
      <c r="E32" s="70">
        <f t="shared" si="8"/>
        <v>14.652509505413708</v>
      </c>
      <c r="F32" s="72">
        <f t="shared" si="9"/>
        <v>0.22</v>
      </c>
      <c r="G32" s="70">
        <f t="shared" si="10"/>
        <v>0.22</v>
      </c>
      <c r="H32" s="72">
        <f t="shared" si="3"/>
        <v>0.22</v>
      </c>
      <c r="I32" s="73">
        <f t="shared" si="11"/>
        <v>5.4632867132867039E-4</v>
      </c>
      <c r="J32" s="80">
        <f t="shared" si="15"/>
        <v>1.2019230769230766E-2</v>
      </c>
      <c r="K32" s="214">
        <f t="shared" si="12"/>
        <v>12.019230769230766</v>
      </c>
      <c r="L32" s="164">
        <f t="shared" si="13"/>
        <v>1</v>
      </c>
      <c r="M32" s="71">
        <f t="shared" si="4"/>
        <v>7.3262547527068547</v>
      </c>
      <c r="N32" s="71">
        <f t="shared" si="17"/>
        <v>1.1845876479289919E-3</v>
      </c>
      <c r="O32" s="71">
        <f t="shared" si="16"/>
        <v>2.1682692307692304</v>
      </c>
      <c r="P32" s="71">
        <f t="shared" si="5"/>
        <v>2.7596153846153841</v>
      </c>
      <c r="Q32" s="71">
        <f t="shared" si="6"/>
        <v>1.5769230769230769</v>
      </c>
    </row>
    <row r="33" spans="1:17" x14ac:dyDescent="0.2">
      <c r="A33" s="71">
        <f t="shared" si="0"/>
        <v>12.5</v>
      </c>
      <c r="B33" s="74">
        <f t="shared" si="1"/>
        <v>2.7644230769230766</v>
      </c>
      <c r="C33" s="72">
        <f t="shared" si="2"/>
        <v>0</v>
      </c>
      <c r="D33" s="70">
        <f t="shared" si="7"/>
        <v>143.64689219714995</v>
      </c>
      <c r="E33" s="70">
        <f t="shared" si="8"/>
        <v>14.754841272596144</v>
      </c>
      <c r="F33" s="72">
        <f t="shared" si="9"/>
        <v>0.22</v>
      </c>
      <c r="G33" s="70">
        <f t="shared" si="10"/>
        <v>0.22</v>
      </c>
      <c r="H33" s="72">
        <f t="shared" si="3"/>
        <v>0.22</v>
      </c>
      <c r="I33" s="73">
        <f t="shared" si="11"/>
        <v>5.4632867132867039E-4</v>
      </c>
      <c r="J33" s="80">
        <f t="shared" si="15"/>
        <v>1.2565559440559437E-2</v>
      </c>
      <c r="K33" s="214">
        <f t="shared" si="12"/>
        <v>12.565559440559436</v>
      </c>
      <c r="L33" s="164">
        <f t="shared" si="13"/>
        <v>1</v>
      </c>
      <c r="M33" s="71">
        <f t="shared" si="4"/>
        <v>7.3774206362980728</v>
      </c>
      <c r="N33" s="71">
        <f t="shared" si="17"/>
        <v>1.1701414571005898E-3</v>
      </c>
      <c r="O33" s="71">
        <f t="shared" si="16"/>
        <v>2.1418269230769234</v>
      </c>
      <c r="P33" s="71">
        <f t="shared" si="5"/>
        <v>2.7259615384615383</v>
      </c>
      <c r="Q33" s="71">
        <f t="shared" si="6"/>
        <v>1.5576923076923077</v>
      </c>
    </row>
    <row r="34" spans="1:17" x14ac:dyDescent="0.2">
      <c r="A34" s="71">
        <f t="shared" si="0"/>
        <v>12.5</v>
      </c>
      <c r="B34" s="74">
        <f t="shared" si="1"/>
        <v>2.8846153846153846</v>
      </c>
      <c r="C34" s="72">
        <f t="shared" si="2"/>
        <v>0</v>
      </c>
      <c r="D34" s="70">
        <f t="shared" si="7"/>
        <v>142.88203205728979</v>
      </c>
      <c r="E34" s="70">
        <f t="shared" si="8"/>
        <v>14.859731333958139</v>
      </c>
      <c r="F34" s="72">
        <f t="shared" si="9"/>
        <v>0.22</v>
      </c>
      <c r="G34" s="70">
        <f t="shared" si="10"/>
        <v>0.22</v>
      </c>
      <c r="H34" s="72">
        <f t="shared" si="3"/>
        <v>0.22</v>
      </c>
      <c r="I34" s="73">
        <f t="shared" si="11"/>
        <v>5.4632867132867245E-4</v>
      </c>
      <c r="J34" s="80">
        <f t="shared" si="15"/>
        <v>1.3111888111888109E-2</v>
      </c>
      <c r="K34" s="214">
        <f t="shared" si="12"/>
        <v>13.111888111888108</v>
      </c>
      <c r="L34" s="164">
        <f t="shared" si="13"/>
        <v>1</v>
      </c>
      <c r="M34" s="71">
        <f t="shared" si="4"/>
        <v>7.4298656669790697</v>
      </c>
      <c r="N34" s="71">
        <f t="shared" si="17"/>
        <v>1.1556952662721918E-3</v>
      </c>
      <c r="O34" s="71">
        <f t="shared" si="16"/>
        <v>2.1153846153846154</v>
      </c>
      <c r="P34" s="71">
        <f t="shared" si="5"/>
        <v>2.6923076923076921</v>
      </c>
      <c r="Q34" s="71">
        <f t="shared" si="6"/>
        <v>1.5384615384615383</v>
      </c>
    </row>
    <row r="35" spans="1:17" x14ac:dyDescent="0.2">
      <c r="A35" s="71">
        <f t="shared" si="0"/>
        <v>12.5</v>
      </c>
      <c r="B35" s="74">
        <f t="shared" si="1"/>
        <v>3.0048076923076925</v>
      </c>
      <c r="C35" s="72">
        <f t="shared" si="2"/>
        <v>0</v>
      </c>
      <c r="D35" s="70">
        <f t="shared" si="7"/>
        <v>142.11717191742966</v>
      </c>
      <c r="E35" s="70">
        <f t="shared" si="8"/>
        <v>14.96727683991158</v>
      </c>
      <c r="F35" s="72">
        <f t="shared" si="9"/>
        <v>0.22</v>
      </c>
      <c r="G35" s="70">
        <f t="shared" si="10"/>
        <v>0.22</v>
      </c>
      <c r="H35" s="72">
        <f t="shared" si="3"/>
        <v>0.22</v>
      </c>
      <c r="I35" s="73">
        <f t="shared" si="11"/>
        <v>5.4632867132867245E-4</v>
      </c>
      <c r="J35" s="80">
        <f t="shared" si="15"/>
        <v>1.365821678321678E-2</v>
      </c>
      <c r="K35" s="214">
        <f t="shared" si="12"/>
        <v>13.65821678321678</v>
      </c>
      <c r="L35" s="164">
        <f t="shared" si="13"/>
        <v>1</v>
      </c>
      <c r="M35" s="71">
        <f t="shared" si="4"/>
        <v>7.4836384199557902</v>
      </c>
      <c r="N35" s="71">
        <f t="shared" si="17"/>
        <v>1.1412490754437892E-3</v>
      </c>
      <c r="O35" s="71">
        <f t="shared" si="16"/>
        <v>2.0889423076923075</v>
      </c>
      <c r="P35" s="71">
        <f t="shared" si="5"/>
        <v>2.6586538461538454</v>
      </c>
      <c r="Q35" s="71">
        <f t="shared" si="6"/>
        <v>1.5192307692307692</v>
      </c>
    </row>
    <row r="36" spans="1:17" x14ac:dyDescent="0.2">
      <c r="A36" s="71">
        <f t="shared" si="0"/>
        <v>12.5</v>
      </c>
      <c r="B36" s="74">
        <f t="shared" si="1"/>
        <v>3.125</v>
      </c>
      <c r="C36" s="72">
        <f t="shared" si="2"/>
        <v>0</v>
      </c>
      <c r="D36" s="70">
        <f t="shared" si="7"/>
        <v>141.35231177756953</v>
      </c>
      <c r="E36" s="70">
        <f t="shared" si="8"/>
        <v>15.07757992294075</v>
      </c>
      <c r="F36" s="72">
        <f t="shared" si="9"/>
        <v>0.22</v>
      </c>
      <c r="G36" s="70">
        <f t="shared" si="10"/>
        <v>0.22</v>
      </c>
      <c r="H36" s="72">
        <f t="shared" si="3"/>
        <v>0.22</v>
      </c>
      <c r="I36" s="73">
        <f t="shared" si="11"/>
        <v>5.4632867132867039E-4</v>
      </c>
      <c r="J36" s="80">
        <f t="shared" si="15"/>
        <v>1.4204545454545451E-2</v>
      </c>
      <c r="K36" s="214">
        <f t="shared" si="12"/>
        <v>14.204545454545451</v>
      </c>
      <c r="L36" s="164">
        <f t="shared" si="13"/>
        <v>1</v>
      </c>
      <c r="M36" s="71">
        <f t="shared" si="4"/>
        <v>7.5387899614703748</v>
      </c>
      <c r="N36" s="71">
        <f t="shared" si="17"/>
        <v>1.1268028846153826E-3</v>
      </c>
      <c r="O36" s="71">
        <f t="shared" si="16"/>
        <v>2.0625</v>
      </c>
      <c r="P36" s="71">
        <f t="shared" si="5"/>
        <v>2.6249999999999996</v>
      </c>
      <c r="Q36" s="71">
        <f t="shared" si="6"/>
        <v>1.5</v>
      </c>
    </row>
    <row r="37" spans="1:17" x14ac:dyDescent="0.2">
      <c r="A37" s="71">
        <f t="shared" si="0"/>
        <v>12.5</v>
      </c>
      <c r="B37" s="74">
        <f t="shared" si="1"/>
        <v>3.2451923076923079</v>
      </c>
      <c r="C37" s="72">
        <f t="shared" si="2"/>
        <v>0</v>
      </c>
      <c r="D37" s="70">
        <f t="shared" si="7"/>
        <v>140.58745163770936</v>
      </c>
      <c r="E37" s="70">
        <f t="shared" si="8"/>
        <v>15.190748021113533</v>
      </c>
      <c r="F37" s="72">
        <f t="shared" si="9"/>
        <v>0.22</v>
      </c>
      <c r="G37" s="70">
        <f t="shared" si="10"/>
        <v>0.22</v>
      </c>
      <c r="H37" s="72">
        <f t="shared" si="3"/>
        <v>0.22</v>
      </c>
      <c r="I37" s="73">
        <f t="shared" si="11"/>
        <v>5.4632867132867245E-4</v>
      </c>
      <c r="J37" s="80">
        <f t="shared" si="15"/>
        <v>1.4750874125874123E-2</v>
      </c>
      <c r="K37" s="214">
        <f t="shared" si="12"/>
        <v>14.750874125874123</v>
      </c>
      <c r="L37" s="164">
        <f t="shared" si="13"/>
        <v>1</v>
      </c>
      <c r="M37" s="71">
        <f t="shared" si="4"/>
        <v>7.5953740105567666</v>
      </c>
      <c r="N37" s="71">
        <f t="shared" si="17"/>
        <v>1.1123566937869846E-3</v>
      </c>
      <c r="O37" s="71">
        <f t="shared" si="16"/>
        <v>2.0360576923076921</v>
      </c>
      <c r="P37" s="71">
        <f t="shared" si="5"/>
        <v>2.5913461538461533</v>
      </c>
      <c r="Q37" s="71">
        <f t="shared" si="6"/>
        <v>1.4807692307692306</v>
      </c>
    </row>
    <row r="38" spans="1:17" x14ac:dyDescent="0.2">
      <c r="A38" s="71">
        <f t="shared" si="0"/>
        <v>12.5</v>
      </c>
      <c r="B38" s="74">
        <f t="shared" si="1"/>
        <v>3.3653846153846154</v>
      </c>
      <c r="C38" s="72">
        <f t="shared" si="2"/>
        <v>0</v>
      </c>
      <c r="D38" s="70">
        <f t="shared" si="7"/>
        <v>139.82259149784923</v>
      </c>
      <c r="E38" s="70">
        <f t="shared" si="8"/>
        <v>15.306894227132968</v>
      </c>
      <c r="F38" s="72">
        <f t="shared" si="9"/>
        <v>0.22</v>
      </c>
      <c r="G38" s="70">
        <f t="shared" si="10"/>
        <v>0.22</v>
      </c>
      <c r="H38" s="72">
        <f t="shared" si="3"/>
        <v>0.22</v>
      </c>
      <c r="I38" s="73">
        <f t="shared" si="11"/>
        <v>5.4632867132867039E-4</v>
      </c>
      <c r="J38" s="80">
        <f t="shared" si="15"/>
        <v>1.5297202797202793E-2</v>
      </c>
      <c r="K38" s="214">
        <f t="shared" si="12"/>
        <v>15.297202797202793</v>
      </c>
      <c r="L38" s="164">
        <f t="shared" si="13"/>
        <v>1</v>
      </c>
      <c r="M38" s="71">
        <f t="shared" si="4"/>
        <v>7.6534471135664841</v>
      </c>
      <c r="N38" s="71">
        <f t="shared" si="17"/>
        <v>1.0979105029585781E-3</v>
      </c>
      <c r="O38" s="71">
        <f t="shared" si="16"/>
        <v>2.0096153846153846</v>
      </c>
      <c r="P38" s="71">
        <f t="shared" si="5"/>
        <v>2.5576923076923075</v>
      </c>
      <c r="Q38" s="71">
        <f t="shared" si="6"/>
        <v>1.4615384615384617</v>
      </c>
    </row>
    <row r="39" spans="1:17" x14ac:dyDescent="0.2">
      <c r="A39" s="71">
        <f t="shared" si="0"/>
        <v>12.5</v>
      </c>
      <c r="B39" s="74">
        <f t="shared" si="1"/>
        <v>3.4855769230769234</v>
      </c>
      <c r="C39" s="72">
        <f t="shared" si="2"/>
        <v>0</v>
      </c>
      <c r="D39" s="70">
        <f t="shared" si="7"/>
        <v>139.0577313579891</v>
      </c>
      <c r="E39" s="70">
        <f t="shared" si="8"/>
        <v>15.426137665312924</v>
      </c>
      <c r="F39" s="72">
        <f t="shared" si="9"/>
        <v>0.22</v>
      </c>
      <c r="G39" s="70">
        <f t="shared" si="10"/>
        <v>0.22</v>
      </c>
      <c r="H39" s="72">
        <f t="shared" si="3"/>
        <v>0.22</v>
      </c>
      <c r="I39" s="73">
        <f t="shared" si="11"/>
        <v>5.4632867132867245E-4</v>
      </c>
      <c r="J39" s="80">
        <f t="shared" si="15"/>
        <v>1.5843531468531465E-2</v>
      </c>
      <c r="K39" s="214">
        <f t="shared" si="12"/>
        <v>15.843531468531465</v>
      </c>
      <c r="L39" s="164">
        <f t="shared" si="13"/>
        <v>1</v>
      </c>
      <c r="M39" s="71">
        <f t="shared" si="4"/>
        <v>7.7130688326564618</v>
      </c>
      <c r="N39" s="71">
        <f t="shared" si="17"/>
        <v>1.0834643121301797E-3</v>
      </c>
      <c r="O39" s="71">
        <f t="shared" si="16"/>
        <v>1.9831730769230769</v>
      </c>
      <c r="P39" s="71">
        <f t="shared" si="5"/>
        <v>2.5240384615384612</v>
      </c>
      <c r="Q39" s="71">
        <f t="shared" si="6"/>
        <v>1.4423076923076923</v>
      </c>
    </row>
    <row r="40" spans="1:17" x14ac:dyDescent="0.2">
      <c r="A40" s="71">
        <f t="shared" si="0"/>
        <v>12.5</v>
      </c>
      <c r="B40" s="74">
        <f t="shared" si="1"/>
        <v>3.6057692307692304</v>
      </c>
      <c r="C40" s="72">
        <f t="shared" si="2"/>
        <v>0</v>
      </c>
      <c r="D40" s="70">
        <f t="shared" si="7"/>
        <v>138.29287121812897</v>
      </c>
      <c r="E40" s="70">
        <f t="shared" si="8"/>
        <v>15.548603899119364</v>
      </c>
      <c r="F40" s="72">
        <f t="shared" si="9"/>
        <v>0.22</v>
      </c>
      <c r="G40" s="70">
        <f t="shared" si="10"/>
        <v>0.22</v>
      </c>
      <c r="H40" s="72">
        <f t="shared" si="3"/>
        <v>0.22</v>
      </c>
      <c r="I40" s="73">
        <f t="shared" si="11"/>
        <v>5.4632867132866844E-4</v>
      </c>
      <c r="J40" s="80">
        <f t="shared" si="15"/>
        <v>1.6389860139860133E-2</v>
      </c>
      <c r="K40" s="214">
        <f t="shared" si="12"/>
        <v>16.389860139860133</v>
      </c>
      <c r="L40" s="164">
        <f t="shared" si="13"/>
        <v>1</v>
      </c>
      <c r="M40" s="71">
        <f t="shared" si="4"/>
        <v>7.7743019495596819</v>
      </c>
      <c r="N40" s="71">
        <f t="shared" si="17"/>
        <v>1.0690181213017695E-3</v>
      </c>
      <c r="O40" s="71">
        <f t="shared" si="16"/>
        <v>1.9567307692307694</v>
      </c>
      <c r="P40" s="71">
        <f t="shared" si="5"/>
        <v>2.4903846153846154</v>
      </c>
      <c r="Q40" s="71">
        <f t="shared" si="6"/>
        <v>1.4230769230769231</v>
      </c>
    </row>
    <row r="41" spans="1:17" x14ac:dyDescent="0.2">
      <c r="A41" s="71">
        <f t="shared" si="0"/>
        <v>12.5</v>
      </c>
      <c r="B41" s="74">
        <f t="shared" si="1"/>
        <v>3.7259615384615383</v>
      </c>
      <c r="C41" s="72">
        <f t="shared" si="2"/>
        <v>0</v>
      </c>
      <c r="D41" s="70">
        <f t="shared" si="7"/>
        <v>137.52801107826883</v>
      </c>
      <c r="E41" s="70">
        <f t="shared" si="8"/>
        <v>15.674425372208173</v>
      </c>
      <c r="F41" s="72">
        <f t="shared" si="9"/>
        <v>0.22</v>
      </c>
      <c r="G41" s="70">
        <f t="shared" si="10"/>
        <v>0.22</v>
      </c>
      <c r="H41" s="72">
        <f t="shared" si="3"/>
        <v>0.22</v>
      </c>
      <c r="I41" s="73">
        <f t="shared" si="11"/>
        <v>5.4632867132867245E-4</v>
      </c>
      <c r="J41" s="80">
        <f t="shared" si="15"/>
        <v>1.6936188811188805E-2</v>
      </c>
      <c r="K41" s="214">
        <f t="shared" si="12"/>
        <v>16.936188811188806</v>
      </c>
      <c r="L41" s="164">
        <f t="shared" si="13"/>
        <v>1</v>
      </c>
      <c r="M41" s="71">
        <f t="shared" si="4"/>
        <v>7.8372126861040865</v>
      </c>
      <c r="N41" s="71">
        <f t="shared" si="17"/>
        <v>1.054571930473375E-3</v>
      </c>
      <c r="O41" s="71">
        <f t="shared" si="16"/>
        <v>1.9302884615384617</v>
      </c>
      <c r="P41" s="71">
        <f t="shared" si="5"/>
        <v>2.4567307692307692</v>
      </c>
      <c r="Q41" s="71">
        <f t="shared" si="6"/>
        <v>1.403846153846154</v>
      </c>
    </row>
    <row r="42" spans="1:17" x14ac:dyDescent="0.2">
      <c r="A42" s="71">
        <f t="shared" ref="A42:A73" si="18">VINMAX</f>
        <v>12.5</v>
      </c>
      <c r="B42" s="74">
        <f t="shared" ref="B42:B73" si="19">VINMAX*((ROW()-10)/104)</f>
        <v>3.8461538461538463</v>
      </c>
      <c r="C42" s="72">
        <f t="shared" ref="C42:C73" si="20">IF(B42&gt;=$H$2,IF($D$2="CC", $G$2, B42/$G$2), 0)</f>
        <v>0</v>
      </c>
      <c r="D42" s="70">
        <f t="shared" ref="D42:D73" si="21">$B$2-B42*$J$2/($I$2*0.001)</f>
        <v>136.76315093840867</v>
      </c>
      <c r="E42" s="70">
        <f t="shared" si="8"/>
        <v>15.803741886216114</v>
      </c>
      <c r="F42" s="72">
        <f t="shared" ref="F42:F73" si="22">I_Cout_ss+C42</f>
        <v>0.22</v>
      </c>
      <c r="G42" s="70">
        <f t="shared" si="10"/>
        <v>0.22</v>
      </c>
      <c r="H42" s="72">
        <f t="shared" ref="H42:H73" si="23">G42-C42</f>
        <v>0.22</v>
      </c>
      <c r="I42" s="73">
        <f t="shared" si="11"/>
        <v>5.4632867132867245E-4</v>
      </c>
      <c r="J42" s="80">
        <f t="shared" si="15"/>
        <v>1.7482517482517477E-2</v>
      </c>
      <c r="K42" s="214">
        <f t="shared" si="12"/>
        <v>17.482517482517476</v>
      </c>
      <c r="L42" s="164">
        <f t="shared" si="13"/>
        <v>1</v>
      </c>
      <c r="M42" s="71">
        <f t="shared" ref="M42:M73" si="24">1/COUTMAX*(E42/2-C42)*1000</f>
        <v>7.9018709431080572</v>
      </c>
      <c r="N42" s="71">
        <f t="shared" si="17"/>
        <v>1.0401257396449725E-3</v>
      </c>
      <c r="O42" s="71">
        <f t="shared" si="16"/>
        <v>1.9038461538461537</v>
      </c>
      <c r="P42" s="71">
        <f t="shared" ref="P42:P73" si="25">(A42-B42)*(I_Cout_ss*$Q$2+C42)</f>
        <v>2.4230769230769225</v>
      </c>
      <c r="Q42" s="71">
        <f t="shared" ref="Q42:Q73" si="26">(A42-B42)*(I_Cout_ss*$R$2+C42)</f>
        <v>1.3846153846153846</v>
      </c>
    </row>
    <row r="43" spans="1:17" x14ac:dyDescent="0.2">
      <c r="A43" s="71">
        <f t="shared" si="18"/>
        <v>12.5</v>
      </c>
      <c r="B43" s="74">
        <f t="shared" si="19"/>
        <v>3.9663461538461537</v>
      </c>
      <c r="C43" s="72">
        <f t="shared" si="20"/>
        <v>0</v>
      </c>
      <c r="D43" s="70">
        <f t="shared" si="21"/>
        <v>135.99829079854854</v>
      </c>
      <c r="E43" s="70">
        <f t="shared" si="8"/>
        <v>15.936701118928504</v>
      </c>
      <c r="F43" s="72">
        <f t="shared" si="22"/>
        <v>0.22</v>
      </c>
      <c r="G43" s="70">
        <f t="shared" si="10"/>
        <v>0.22</v>
      </c>
      <c r="H43" s="72">
        <f t="shared" si="23"/>
        <v>0.22</v>
      </c>
      <c r="I43" s="73">
        <f t="shared" ref="I43:I74" si="27">(COUTMAX/1000000)*(B43-B42)/H43</f>
        <v>5.4632867132867039E-4</v>
      </c>
      <c r="J43" s="80">
        <f t="shared" si="15"/>
        <v>1.8028846153846149E-2</v>
      </c>
      <c r="K43" s="214">
        <f t="shared" si="12"/>
        <v>18.02884615384615</v>
      </c>
      <c r="L43" s="164">
        <f t="shared" si="13"/>
        <v>1</v>
      </c>
      <c r="M43" s="71">
        <f t="shared" si="24"/>
        <v>7.9683505594642519</v>
      </c>
      <c r="N43" s="71">
        <f t="shared" si="17"/>
        <v>1.0256795488165662E-3</v>
      </c>
      <c r="O43" s="71">
        <f t="shared" si="16"/>
        <v>1.8774038461538463</v>
      </c>
      <c r="P43" s="71">
        <f t="shared" si="25"/>
        <v>2.3894230769230766</v>
      </c>
      <c r="Q43" s="71">
        <f t="shared" si="26"/>
        <v>1.3653846153846154</v>
      </c>
    </row>
    <row r="44" spans="1:17" x14ac:dyDescent="0.2">
      <c r="A44" s="71">
        <f t="shared" si="18"/>
        <v>12.5</v>
      </c>
      <c r="B44" s="74">
        <f t="shared" si="19"/>
        <v>4.0865384615384617</v>
      </c>
      <c r="C44" s="72">
        <f t="shared" si="20"/>
        <v>0</v>
      </c>
      <c r="D44" s="70">
        <f t="shared" si="21"/>
        <v>135.23343065868841</v>
      </c>
      <c r="E44" s="70">
        <f t="shared" si="8"/>
        <v>16.07345918686125</v>
      </c>
      <c r="F44" s="72">
        <f t="shared" si="22"/>
        <v>0.22</v>
      </c>
      <c r="G44" s="70">
        <f t="shared" si="10"/>
        <v>0.22</v>
      </c>
      <c r="H44" s="72">
        <f t="shared" si="23"/>
        <v>0.22</v>
      </c>
      <c r="I44" s="73">
        <f t="shared" si="27"/>
        <v>5.4632867132867245E-4</v>
      </c>
      <c r="J44" s="80">
        <f t="shared" si="15"/>
        <v>1.8575174825174821E-2</v>
      </c>
      <c r="K44" s="214">
        <f t="shared" si="12"/>
        <v>18.57517482517482</v>
      </c>
      <c r="L44" s="164">
        <f t="shared" si="13"/>
        <v>1</v>
      </c>
      <c r="M44" s="71">
        <f t="shared" si="24"/>
        <v>8.0367295934306249</v>
      </c>
      <c r="N44" s="71">
        <f t="shared" si="17"/>
        <v>1.0112333579881678E-3</v>
      </c>
      <c r="O44" s="71">
        <f t="shared" si="16"/>
        <v>1.8509615384615385</v>
      </c>
      <c r="P44" s="71">
        <f t="shared" si="25"/>
        <v>2.3557692307692304</v>
      </c>
      <c r="Q44" s="71">
        <f t="shared" si="26"/>
        <v>1.3461538461538463</v>
      </c>
    </row>
    <row r="45" spans="1:17" x14ac:dyDescent="0.2">
      <c r="A45" s="71">
        <f t="shared" si="18"/>
        <v>12.5</v>
      </c>
      <c r="B45" s="74">
        <f t="shared" si="19"/>
        <v>4.2067307692307692</v>
      </c>
      <c r="C45" s="72">
        <f t="shared" si="20"/>
        <v>0</v>
      </c>
      <c r="D45" s="70">
        <f t="shared" si="21"/>
        <v>134.46857051882824</v>
      </c>
      <c r="E45" s="70">
        <f t="shared" si="8"/>
        <v>16.214181256763059</v>
      </c>
      <c r="F45" s="72">
        <f t="shared" si="22"/>
        <v>0.22</v>
      </c>
      <c r="G45" s="70">
        <f t="shared" si="10"/>
        <v>0.22</v>
      </c>
      <c r="H45" s="72">
        <f t="shared" si="23"/>
        <v>0.22</v>
      </c>
      <c r="I45" s="73">
        <f t="shared" si="27"/>
        <v>5.4632867132867039E-4</v>
      </c>
      <c r="J45" s="80">
        <f t="shared" si="15"/>
        <v>1.9121503496503493E-2</v>
      </c>
      <c r="K45" s="214">
        <f t="shared" si="12"/>
        <v>19.121503496503493</v>
      </c>
      <c r="L45" s="164">
        <f t="shared" si="13"/>
        <v>1</v>
      </c>
      <c r="M45" s="71">
        <f t="shared" si="24"/>
        <v>8.1070906283815294</v>
      </c>
      <c r="N45" s="71">
        <f t="shared" si="17"/>
        <v>9.9678716715976157E-4</v>
      </c>
      <c r="O45" s="71">
        <f t="shared" si="16"/>
        <v>1.8245192307692306</v>
      </c>
      <c r="P45" s="71">
        <f t="shared" si="25"/>
        <v>2.3221153846153841</v>
      </c>
      <c r="Q45" s="71">
        <f t="shared" si="26"/>
        <v>1.3269230769230769</v>
      </c>
    </row>
    <row r="46" spans="1:17" x14ac:dyDescent="0.2">
      <c r="A46" s="71">
        <f t="shared" si="18"/>
        <v>12.5</v>
      </c>
      <c r="B46" s="74">
        <f t="shared" si="19"/>
        <v>4.3269230769230766</v>
      </c>
      <c r="C46" s="72">
        <f t="shared" si="20"/>
        <v>0</v>
      </c>
      <c r="D46" s="70">
        <f t="shared" si="21"/>
        <v>133.70371037896811</v>
      </c>
      <c r="E46" s="70">
        <f t="shared" si="8"/>
        <v>16.359042211073746</v>
      </c>
      <c r="F46" s="72">
        <f t="shared" si="22"/>
        <v>0.22</v>
      </c>
      <c r="G46" s="70">
        <f t="shared" si="10"/>
        <v>0.22</v>
      </c>
      <c r="H46" s="72">
        <f t="shared" si="23"/>
        <v>0.22</v>
      </c>
      <c r="I46" s="73">
        <f t="shared" si="27"/>
        <v>5.4632867132867039E-4</v>
      </c>
      <c r="J46" s="80">
        <f t="shared" si="15"/>
        <v>1.9667832167832165E-2</v>
      </c>
      <c r="K46" s="214">
        <f t="shared" si="12"/>
        <v>19.667832167832163</v>
      </c>
      <c r="L46" s="164">
        <f t="shared" si="13"/>
        <v>1</v>
      </c>
      <c r="M46" s="71">
        <f t="shared" si="24"/>
        <v>8.1795211055368728</v>
      </c>
      <c r="N46" s="71">
        <f t="shared" si="17"/>
        <v>9.8234097633135924E-4</v>
      </c>
      <c r="O46" s="71">
        <f t="shared" si="16"/>
        <v>1.7980769230769231</v>
      </c>
      <c r="P46" s="71">
        <f t="shared" si="25"/>
        <v>2.2884615384615383</v>
      </c>
      <c r="Q46" s="71">
        <f t="shared" si="26"/>
        <v>1.3076923076923077</v>
      </c>
    </row>
    <row r="47" spans="1:17" x14ac:dyDescent="0.2">
      <c r="A47" s="71">
        <f t="shared" si="18"/>
        <v>12.5</v>
      </c>
      <c r="B47" s="74">
        <f t="shared" si="19"/>
        <v>4.447115384615385</v>
      </c>
      <c r="C47" s="72">
        <f t="shared" si="20"/>
        <v>0</v>
      </c>
      <c r="D47" s="70">
        <f t="shared" si="21"/>
        <v>132.93885023910798</v>
      </c>
      <c r="E47" s="70">
        <f t="shared" si="8"/>
        <v>16.508227372975796</v>
      </c>
      <c r="F47" s="72">
        <f t="shared" si="22"/>
        <v>0.22</v>
      </c>
      <c r="G47" s="70">
        <f t="shared" si="10"/>
        <v>0.22</v>
      </c>
      <c r="H47" s="72">
        <f t="shared" si="23"/>
        <v>0.22</v>
      </c>
      <c r="I47" s="73">
        <f t="shared" si="27"/>
        <v>5.463286713286744E-4</v>
      </c>
      <c r="J47" s="80">
        <f t="shared" si="15"/>
        <v>2.021416083916084E-2</v>
      </c>
      <c r="K47" s="214">
        <f t="shared" si="12"/>
        <v>20.21416083916084</v>
      </c>
      <c r="L47" s="164">
        <f t="shared" si="13"/>
        <v>1</v>
      </c>
      <c r="M47" s="71">
        <f t="shared" si="24"/>
        <v>8.2541136864878979</v>
      </c>
      <c r="N47" s="71">
        <f t="shared" si="17"/>
        <v>9.6789478550296396E-4</v>
      </c>
      <c r="O47" s="71">
        <f t="shared" si="16"/>
        <v>1.7716346153846152</v>
      </c>
      <c r="P47" s="71">
        <f t="shared" si="25"/>
        <v>2.2548076923076921</v>
      </c>
      <c r="Q47" s="71">
        <f t="shared" si="26"/>
        <v>1.2884615384615383</v>
      </c>
    </row>
    <row r="48" spans="1:17" x14ac:dyDescent="0.2">
      <c r="A48" s="71">
        <f t="shared" si="18"/>
        <v>12.5</v>
      </c>
      <c r="B48" s="74">
        <f t="shared" si="19"/>
        <v>4.5673076923076916</v>
      </c>
      <c r="C48" s="72">
        <f t="shared" si="20"/>
        <v>0</v>
      </c>
      <c r="D48" s="70">
        <f t="shared" si="21"/>
        <v>132.17399009924785</v>
      </c>
      <c r="E48" s="70">
        <f t="shared" si="8"/>
        <v>16.661933297359727</v>
      </c>
      <c r="F48" s="72">
        <f t="shared" si="22"/>
        <v>0.22</v>
      </c>
      <c r="G48" s="70">
        <f t="shared" si="10"/>
        <v>0.22</v>
      </c>
      <c r="H48" s="72">
        <f t="shared" si="23"/>
        <v>0.22</v>
      </c>
      <c r="I48" s="73">
        <f t="shared" si="27"/>
        <v>5.4632867132866638E-4</v>
      </c>
      <c r="J48" s="80">
        <f t="shared" si="15"/>
        <v>2.0760489510489505E-2</v>
      </c>
      <c r="K48" s="214">
        <f t="shared" si="12"/>
        <v>20.760489510489506</v>
      </c>
      <c r="L48" s="164">
        <f t="shared" si="13"/>
        <v>1</v>
      </c>
      <c r="M48" s="71">
        <f t="shared" si="24"/>
        <v>8.3309666486798637</v>
      </c>
      <c r="N48" s="71">
        <f t="shared" si="17"/>
        <v>9.5344859467454764E-4</v>
      </c>
      <c r="O48" s="71">
        <f t="shared" si="16"/>
        <v>1.7451923076923079</v>
      </c>
      <c r="P48" s="71">
        <f t="shared" si="25"/>
        <v>2.2211538461538463</v>
      </c>
      <c r="Q48" s="71">
        <f t="shared" si="26"/>
        <v>1.2692307692307694</v>
      </c>
    </row>
    <row r="49" spans="1:17" x14ac:dyDescent="0.2">
      <c r="A49" s="71">
        <f t="shared" si="18"/>
        <v>12.5</v>
      </c>
      <c r="B49" s="74">
        <f t="shared" si="19"/>
        <v>4.6875</v>
      </c>
      <c r="C49" s="72">
        <f t="shared" si="20"/>
        <v>0</v>
      </c>
      <c r="D49" s="70">
        <f t="shared" si="21"/>
        <v>131.40912995938771</v>
      </c>
      <c r="E49" s="70">
        <f t="shared" si="8"/>
        <v>16.820368634801628</v>
      </c>
      <c r="F49" s="72">
        <f t="shared" si="22"/>
        <v>0.22</v>
      </c>
      <c r="G49" s="70">
        <f t="shared" si="10"/>
        <v>0.22</v>
      </c>
      <c r="H49" s="72">
        <f t="shared" si="23"/>
        <v>0.22</v>
      </c>
      <c r="I49" s="73">
        <f t="shared" si="27"/>
        <v>5.463286713286744E-4</v>
      </c>
      <c r="J49" s="80">
        <f t="shared" si="15"/>
        <v>2.130681818181818E-2</v>
      </c>
      <c r="K49" s="214">
        <f t="shared" si="12"/>
        <v>21.30681818181818</v>
      </c>
      <c r="L49" s="164">
        <f t="shared" si="13"/>
        <v>1</v>
      </c>
      <c r="M49" s="71">
        <f t="shared" si="24"/>
        <v>8.410184317400816</v>
      </c>
      <c r="N49" s="71">
        <f t="shared" si="17"/>
        <v>9.3900240384615908E-4</v>
      </c>
      <c r="O49" s="71">
        <f t="shared" si="16"/>
        <v>1.71875</v>
      </c>
      <c r="P49" s="71">
        <f t="shared" si="25"/>
        <v>2.1874999999999996</v>
      </c>
      <c r="Q49" s="71">
        <f t="shared" si="26"/>
        <v>1.25</v>
      </c>
    </row>
    <row r="50" spans="1:17" x14ac:dyDescent="0.2">
      <c r="A50" s="71">
        <f t="shared" si="18"/>
        <v>12.5</v>
      </c>
      <c r="B50" s="74">
        <f t="shared" si="19"/>
        <v>4.8076923076923084</v>
      </c>
      <c r="C50" s="72">
        <f t="shared" si="20"/>
        <v>0</v>
      </c>
      <c r="D50" s="70">
        <f t="shared" si="21"/>
        <v>130.64426981952755</v>
      </c>
      <c r="E50" s="70">
        <f t="shared" si="8"/>
        <v>16.983755076538582</v>
      </c>
      <c r="F50" s="72">
        <f t="shared" si="22"/>
        <v>0.22</v>
      </c>
      <c r="G50" s="70">
        <f t="shared" si="10"/>
        <v>0.22</v>
      </c>
      <c r="H50" s="72">
        <f t="shared" si="23"/>
        <v>0.22</v>
      </c>
      <c r="I50" s="73">
        <f t="shared" si="27"/>
        <v>5.463286713286744E-4</v>
      </c>
      <c r="J50" s="80">
        <f t="shared" si="15"/>
        <v>2.1853146853146856E-2</v>
      </c>
      <c r="K50" s="214">
        <f t="shared" si="12"/>
        <v>21.853146853146857</v>
      </c>
      <c r="L50" s="164">
        <f t="shared" si="13"/>
        <v>1</v>
      </c>
      <c r="M50" s="71">
        <f t="shared" si="24"/>
        <v>8.491877538269291</v>
      </c>
      <c r="N50" s="71">
        <f t="shared" si="17"/>
        <v>9.2455621301775653E-4</v>
      </c>
      <c r="O50" s="71">
        <f t="shared" si="16"/>
        <v>1.6923076923076921</v>
      </c>
      <c r="P50" s="71">
        <f t="shared" si="25"/>
        <v>2.1538461538461533</v>
      </c>
      <c r="Q50" s="71">
        <f t="shared" si="26"/>
        <v>1.2307692307692306</v>
      </c>
    </row>
    <row r="51" spans="1:17" x14ac:dyDescent="0.2">
      <c r="A51" s="71">
        <f t="shared" si="18"/>
        <v>12.5</v>
      </c>
      <c r="B51" s="74">
        <f t="shared" si="19"/>
        <v>4.927884615384615</v>
      </c>
      <c r="C51" s="72">
        <f t="shared" si="20"/>
        <v>0</v>
      </c>
      <c r="D51" s="70">
        <f t="shared" si="21"/>
        <v>129.87940967966742</v>
      </c>
      <c r="E51" s="70">
        <f t="shared" si="8"/>
        <v>17.152328389441792</v>
      </c>
      <c r="F51" s="72">
        <f t="shared" si="22"/>
        <v>0.22</v>
      </c>
      <c r="G51" s="70">
        <f t="shared" si="10"/>
        <v>0.22</v>
      </c>
      <c r="H51" s="72">
        <f t="shared" si="23"/>
        <v>0.22</v>
      </c>
      <c r="I51" s="73">
        <f t="shared" si="27"/>
        <v>5.4632867132866638E-4</v>
      </c>
      <c r="J51" s="80">
        <f t="shared" si="15"/>
        <v>2.2399475524475521E-2</v>
      </c>
      <c r="K51" s="214">
        <f t="shared" si="12"/>
        <v>22.39947552447552</v>
      </c>
      <c r="L51" s="164">
        <f t="shared" si="13"/>
        <v>1</v>
      </c>
      <c r="M51" s="71">
        <f t="shared" si="24"/>
        <v>8.5761641947208958</v>
      </c>
      <c r="N51" s="71">
        <f t="shared" si="17"/>
        <v>9.1011002218934086E-4</v>
      </c>
      <c r="O51" s="71">
        <f t="shared" si="16"/>
        <v>1.6658653846153848</v>
      </c>
      <c r="P51" s="71">
        <f t="shared" si="25"/>
        <v>2.1201923076923075</v>
      </c>
      <c r="Q51" s="71">
        <f t="shared" si="26"/>
        <v>1.2115384615384617</v>
      </c>
    </row>
    <row r="52" spans="1:17" x14ac:dyDescent="0.2">
      <c r="A52" s="71">
        <f t="shared" si="18"/>
        <v>12.5</v>
      </c>
      <c r="B52" s="74">
        <f t="shared" si="19"/>
        <v>5.0480769230769234</v>
      </c>
      <c r="C52" s="72">
        <f t="shared" si="20"/>
        <v>0</v>
      </c>
      <c r="D52" s="70">
        <f t="shared" si="21"/>
        <v>129.11454953980729</v>
      </c>
      <c r="E52" s="70">
        <f t="shared" si="8"/>
        <v>17.326339551148333</v>
      </c>
      <c r="F52" s="72">
        <f t="shared" si="22"/>
        <v>0.22</v>
      </c>
      <c r="G52" s="70">
        <f t="shared" si="10"/>
        <v>0.22</v>
      </c>
      <c r="H52" s="72">
        <f t="shared" si="23"/>
        <v>0.22</v>
      </c>
      <c r="I52" s="73">
        <f t="shared" si="27"/>
        <v>5.463286713286744E-4</v>
      </c>
      <c r="J52" s="80">
        <f t="shared" si="15"/>
        <v>2.2945804195804196E-2</v>
      </c>
      <c r="K52" s="214">
        <f t="shared" si="12"/>
        <v>22.945804195804197</v>
      </c>
      <c r="L52" s="164">
        <f t="shared" si="13"/>
        <v>1</v>
      </c>
      <c r="M52" s="71">
        <f t="shared" si="24"/>
        <v>8.6631697755741683</v>
      </c>
      <c r="N52" s="71">
        <f t="shared" si="17"/>
        <v>8.9566383136095175E-4</v>
      </c>
      <c r="O52" s="71">
        <f t="shared" si="16"/>
        <v>1.6394230769230769</v>
      </c>
      <c r="P52" s="71">
        <f t="shared" si="25"/>
        <v>2.0865384615384612</v>
      </c>
      <c r="Q52" s="71">
        <f t="shared" si="26"/>
        <v>1.1923076923076923</v>
      </c>
    </row>
    <row r="53" spans="1:17" x14ac:dyDescent="0.2">
      <c r="A53" s="71">
        <f t="shared" si="18"/>
        <v>12.5</v>
      </c>
      <c r="B53" s="74">
        <f t="shared" si="19"/>
        <v>5.1682692307692308</v>
      </c>
      <c r="C53" s="72">
        <f t="shared" si="20"/>
        <v>0</v>
      </c>
      <c r="D53" s="70">
        <f t="shared" si="21"/>
        <v>128.34968939994712</v>
      </c>
      <c r="E53" s="70">
        <f t="shared" si="8"/>
        <v>17.506055996845248</v>
      </c>
      <c r="F53" s="72">
        <f t="shared" si="22"/>
        <v>0.22</v>
      </c>
      <c r="G53" s="70">
        <f t="shared" si="10"/>
        <v>0.22</v>
      </c>
      <c r="H53" s="72">
        <f t="shared" si="23"/>
        <v>0.22</v>
      </c>
      <c r="I53" s="73">
        <f t="shared" si="27"/>
        <v>5.4632867132867039E-4</v>
      </c>
      <c r="J53" s="80">
        <f t="shared" si="15"/>
        <v>2.3492132867132868E-2</v>
      </c>
      <c r="K53" s="214">
        <f t="shared" si="12"/>
        <v>23.492132867132867</v>
      </c>
      <c r="L53" s="164">
        <f t="shared" si="13"/>
        <v>1</v>
      </c>
      <c r="M53" s="71">
        <f t="shared" si="24"/>
        <v>8.753027998422624</v>
      </c>
      <c r="N53" s="71">
        <f t="shared" si="17"/>
        <v>8.8121764053254281E-4</v>
      </c>
      <c r="O53" s="71">
        <f t="shared" si="16"/>
        <v>1.6129807692307692</v>
      </c>
      <c r="P53" s="71">
        <f t="shared" si="25"/>
        <v>2.052884615384615</v>
      </c>
      <c r="Q53" s="71">
        <f t="shared" si="26"/>
        <v>1.1730769230769231</v>
      </c>
    </row>
    <row r="54" spans="1:17" x14ac:dyDescent="0.2">
      <c r="A54" s="71">
        <f t="shared" si="18"/>
        <v>12.5</v>
      </c>
      <c r="B54" s="74">
        <f t="shared" si="19"/>
        <v>5.2884615384615383</v>
      </c>
      <c r="C54" s="72">
        <f t="shared" si="20"/>
        <v>0</v>
      </c>
      <c r="D54" s="70">
        <f t="shared" si="21"/>
        <v>127.58482926008699</v>
      </c>
      <c r="E54" s="70">
        <f t="shared" si="8"/>
        <v>17.691762990732062</v>
      </c>
      <c r="F54" s="72">
        <f t="shared" si="22"/>
        <v>0.22</v>
      </c>
      <c r="G54" s="70">
        <f t="shared" si="10"/>
        <v>0.22</v>
      </c>
      <c r="H54" s="72">
        <f t="shared" si="23"/>
        <v>0.22</v>
      </c>
      <c r="I54" s="73">
        <f t="shared" si="27"/>
        <v>5.4632867132867039E-4</v>
      </c>
      <c r="J54" s="80">
        <f t="shared" si="15"/>
        <v>2.403846153846154E-2</v>
      </c>
      <c r="K54" s="214">
        <f t="shared" si="12"/>
        <v>24.03846153846154</v>
      </c>
      <c r="L54" s="164">
        <f t="shared" si="13"/>
        <v>1</v>
      </c>
      <c r="M54" s="71">
        <f t="shared" si="24"/>
        <v>8.8458814953660312</v>
      </c>
      <c r="N54" s="71">
        <f t="shared" si="17"/>
        <v>8.6677144970414048E-4</v>
      </c>
      <c r="O54" s="71">
        <f t="shared" si="16"/>
        <v>1.5865384615384617</v>
      </c>
      <c r="P54" s="71">
        <f t="shared" si="25"/>
        <v>2.0192307692307692</v>
      </c>
      <c r="Q54" s="71">
        <f t="shared" si="26"/>
        <v>1.153846153846154</v>
      </c>
    </row>
    <row r="55" spans="1:17" x14ac:dyDescent="0.2">
      <c r="A55" s="71">
        <f t="shared" si="18"/>
        <v>12.5</v>
      </c>
      <c r="B55" s="74">
        <f t="shared" si="19"/>
        <v>5.4086538461538467</v>
      </c>
      <c r="C55" s="72">
        <f t="shared" si="20"/>
        <v>0</v>
      </c>
      <c r="D55" s="70">
        <f t="shared" si="21"/>
        <v>126.81996912022686</v>
      </c>
      <c r="E55" s="70">
        <f t="shared" si="8"/>
        <v>17.883765136954025</v>
      </c>
      <c r="F55" s="72">
        <f t="shared" si="22"/>
        <v>0.22</v>
      </c>
      <c r="G55" s="70">
        <f t="shared" si="10"/>
        <v>0.22</v>
      </c>
      <c r="H55" s="72">
        <f t="shared" si="23"/>
        <v>0.22</v>
      </c>
      <c r="I55" s="73">
        <f t="shared" si="27"/>
        <v>5.463286713286744E-4</v>
      </c>
      <c r="J55" s="80">
        <f t="shared" si="15"/>
        <v>2.4584790209790215E-2</v>
      </c>
      <c r="K55" s="214">
        <f t="shared" si="12"/>
        <v>24.584790209790214</v>
      </c>
      <c r="L55" s="164">
        <f t="shared" si="13"/>
        <v>1</v>
      </c>
      <c r="M55" s="71">
        <f t="shared" si="24"/>
        <v>8.9418825684770145</v>
      </c>
      <c r="N55" s="71">
        <f t="shared" si="17"/>
        <v>8.5232525887574432E-4</v>
      </c>
      <c r="O55" s="71">
        <f t="shared" si="16"/>
        <v>1.5600961538461537</v>
      </c>
      <c r="P55" s="71">
        <f t="shared" si="25"/>
        <v>1.9855769230769227</v>
      </c>
      <c r="Q55" s="71">
        <f t="shared" si="26"/>
        <v>1.1346153846153846</v>
      </c>
    </row>
    <row r="56" spans="1:17" x14ac:dyDescent="0.2">
      <c r="A56" s="71">
        <f t="shared" si="18"/>
        <v>12.5</v>
      </c>
      <c r="B56" s="74">
        <f t="shared" si="19"/>
        <v>5.5288461538461533</v>
      </c>
      <c r="C56" s="72">
        <f t="shared" si="20"/>
        <v>0</v>
      </c>
      <c r="D56" s="70">
        <f t="shared" si="21"/>
        <v>126.05510898036673</v>
      </c>
      <c r="E56" s="70">
        <f t="shared" si="8"/>
        <v>18.082388046838812</v>
      </c>
      <c r="F56" s="72">
        <f t="shared" si="22"/>
        <v>0.22</v>
      </c>
      <c r="G56" s="70">
        <f t="shared" si="10"/>
        <v>0.22</v>
      </c>
      <c r="H56" s="72">
        <f t="shared" si="23"/>
        <v>0.22</v>
      </c>
      <c r="I56" s="73">
        <f t="shared" si="27"/>
        <v>5.4632867132866638E-4</v>
      </c>
      <c r="J56" s="80">
        <f t="shared" si="15"/>
        <v>2.513111888111888E-2</v>
      </c>
      <c r="K56" s="214">
        <f t="shared" si="12"/>
        <v>25.13111888111888</v>
      </c>
      <c r="L56" s="164">
        <f t="shared" si="13"/>
        <v>1</v>
      </c>
      <c r="M56" s="71">
        <f t="shared" si="24"/>
        <v>9.0411940234194059</v>
      </c>
      <c r="N56" s="71">
        <f t="shared" si="17"/>
        <v>8.3787906804732974E-4</v>
      </c>
      <c r="O56" s="71">
        <f t="shared" si="16"/>
        <v>1.5336538461538463</v>
      </c>
      <c r="P56" s="71">
        <f t="shared" si="25"/>
        <v>1.9519230769230769</v>
      </c>
      <c r="Q56" s="71">
        <f t="shared" si="26"/>
        <v>1.1153846153846154</v>
      </c>
    </row>
    <row r="57" spans="1:17" x14ac:dyDescent="0.2">
      <c r="A57" s="71">
        <f t="shared" si="18"/>
        <v>12.5</v>
      </c>
      <c r="B57" s="74">
        <f t="shared" si="19"/>
        <v>5.6490384615384617</v>
      </c>
      <c r="C57" s="72">
        <f t="shared" si="20"/>
        <v>0</v>
      </c>
      <c r="D57" s="70">
        <f t="shared" si="21"/>
        <v>125.29024884050658</v>
      </c>
      <c r="E57" s="70">
        <f t="shared" si="8"/>
        <v>18.287980181631838</v>
      </c>
      <c r="F57" s="72">
        <f t="shared" si="22"/>
        <v>0.22</v>
      </c>
      <c r="G57" s="70">
        <f t="shared" si="10"/>
        <v>0.22</v>
      </c>
      <c r="H57" s="72">
        <f t="shared" si="23"/>
        <v>0.22</v>
      </c>
      <c r="I57" s="73">
        <f t="shared" si="27"/>
        <v>5.463286713286744E-4</v>
      </c>
      <c r="J57" s="80">
        <f t="shared" si="15"/>
        <v>2.5677447552447556E-2</v>
      </c>
      <c r="K57" s="214">
        <f t="shared" si="12"/>
        <v>25.677447552447557</v>
      </c>
      <c r="L57" s="164">
        <f t="shared" si="13"/>
        <v>1</v>
      </c>
      <c r="M57" s="71">
        <f t="shared" si="24"/>
        <v>9.1439900908159188</v>
      </c>
      <c r="N57" s="71">
        <f t="shared" si="17"/>
        <v>8.2343287721893944E-4</v>
      </c>
      <c r="O57" s="71">
        <f t="shared" si="16"/>
        <v>1.5072115384615385</v>
      </c>
      <c r="P57" s="71">
        <f t="shared" si="25"/>
        <v>1.9182692307692306</v>
      </c>
      <c r="Q57" s="71">
        <f t="shared" si="26"/>
        <v>1.0961538461538463</v>
      </c>
    </row>
    <row r="58" spans="1:17" x14ac:dyDescent="0.2">
      <c r="A58" s="71">
        <f t="shared" si="18"/>
        <v>12.5</v>
      </c>
      <c r="B58" s="74">
        <f t="shared" si="19"/>
        <v>5.7692307692307692</v>
      </c>
      <c r="C58" s="72">
        <f t="shared" si="20"/>
        <v>0</v>
      </c>
      <c r="D58" s="70">
        <f t="shared" si="21"/>
        <v>124.52538870064643</v>
      </c>
      <c r="E58" s="70">
        <f t="shared" si="8"/>
        <v>18.50091489266747</v>
      </c>
      <c r="F58" s="72">
        <f t="shared" si="22"/>
        <v>0.22</v>
      </c>
      <c r="G58" s="70">
        <f t="shared" si="10"/>
        <v>0.22</v>
      </c>
      <c r="H58" s="72">
        <f t="shared" si="23"/>
        <v>0.22</v>
      </c>
      <c r="I58" s="73">
        <f t="shared" si="27"/>
        <v>5.4632867132867039E-4</v>
      </c>
      <c r="J58" s="80">
        <f t="shared" si="15"/>
        <v>2.6223776223776227E-2</v>
      </c>
      <c r="K58" s="214">
        <f t="shared" si="12"/>
        <v>26.223776223776227</v>
      </c>
      <c r="L58" s="164">
        <f t="shared" si="13"/>
        <v>1</v>
      </c>
      <c r="M58" s="71">
        <f t="shared" si="24"/>
        <v>9.2504574463337352</v>
      </c>
      <c r="N58" s="71">
        <f t="shared" si="17"/>
        <v>8.0898668639053115E-4</v>
      </c>
      <c r="O58" s="71">
        <f t="shared" si="16"/>
        <v>1.4807692307692308</v>
      </c>
      <c r="P58" s="71">
        <f t="shared" si="25"/>
        <v>1.8846153846153844</v>
      </c>
      <c r="Q58" s="71">
        <f t="shared" si="26"/>
        <v>1.0769230769230769</v>
      </c>
    </row>
    <row r="59" spans="1:17" x14ac:dyDescent="0.2">
      <c r="A59" s="71">
        <f t="shared" si="18"/>
        <v>12.5</v>
      </c>
      <c r="B59" s="74">
        <f t="shared" si="19"/>
        <v>5.8894230769230766</v>
      </c>
      <c r="C59" s="72">
        <f t="shared" si="20"/>
        <v>0</v>
      </c>
      <c r="D59" s="70">
        <f t="shared" si="21"/>
        <v>123.7605285607863</v>
      </c>
      <c r="E59" s="70">
        <f t="shared" si="8"/>
        <v>18.721592684104401</v>
      </c>
      <c r="F59" s="72">
        <f t="shared" si="22"/>
        <v>0.22</v>
      </c>
      <c r="G59" s="70">
        <f t="shared" si="10"/>
        <v>0.22</v>
      </c>
      <c r="H59" s="72">
        <f t="shared" si="23"/>
        <v>0.22</v>
      </c>
      <c r="I59" s="73">
        <f t="shared" si="27"/>
        <v>5.4632867132867039E-4</v>
      </c>
      <c r="J59" s="80">
        <f t="shared" si="15"/>
        <v>2.6770104895104899E-2</v>
      </c>
      <c r="K59" s="214">
        <f t="shared" si="12"/>
        <v>26.7701048951049</v>
      </c>
      <c r="L59" s="164">
        <f t="shared" si="13"/>
        <v>1</v>
      </c>
      <c r="M59" s="71">
        <f t="shared" si="24"/>
        <v>9.3607963420522005</v>
      </c>
      <c r="N59" s="71">
        <f t="shared" si="17"/>
        <v>7.9454049556212881E-4</v>
      </c>
      <c r="O59" s="71">
        <f t="shared" si="16"/>
        <v>1.4543269230769231</v>
      </c>
      <c r="P59" s="71">
        <f t="shared" si="25"/>
        <v>1.8509615384615383</v>
      </c>
      <c r="Q59" s="71">
        <f t="shared" si="26"/>
        <v>1.0576923076923077</v>
      </c>
    </row>
    <row r="60" spans="1:17" x14ac:dyDescent="0.2">
      <c r="A60" s="71">
        <f t="shared" si="18"/>
        <v>12.5</v>
      </c>
      <c r="B60" s="74">
        <f t="shared" si="19"/>
        <v>6.009615384615385</v>
      </c>
      <c r="C60" s="72">
        <f t="shared" si="20"/>
        <v>0</v>
      </c>
      <c r="D60" s="70">
        <f t="shared" si="21"/>
        <v>122.99566842092617</v>
      </c>
      <c r="E60" s="70">
        <f t="shared" si="8"/>
        <v>18.950443727076031</v>
      </c>
      <c r="F60" s="72">
        <f t="shared" si="22"/>
        <v>0.22</v>
      </c>
      <c r="G60" s="70">
        <f t="shared" si="10"/>
        <v>0.22</v>
      </c>
      <c r="H60" s="72">
        <f t="shared" si="23"/>
        <v>0.22</v>
      </c>
      <c r="I60" s="73">
        <f t="shared" si="27"/>
        <v>5.463286713286744E-4</v>
      </c>
      <c r="J60" s="80">
        <f t="shared" si="15"/>
        <v>2.7316433566433575E-2</v>
      </c>
      <c r="K60" s="214">
        <f t="shared" si="12"/>
        <v>27.316433566433574</v>
      </c>
      <c r="L60" s="164">
        <f t="shared" si="13"/>
        <v>1</v>
      </c>
      <c r="M60" s="71">
        <f t="shared" si="24"/>
        <v>9.4752218635380157</v>
      </c>
      <c r="N60" s="71">
        <f t="shared" si="17"/>
        <v>7.8009430473373212E-4</v>
      </c>
      <c r="O60" s="71">
        <f t="shared" si="16"/>
        <v>1.4278846153846152</v>
      </c>
      <c r="P60" s="71">
        <f t="shared" si="25"/>
        <v>1.8173076923076921</v>
      </c>
      <c r="Q60" s="71">
        <f t="shared" si="26"/>
        <v>1.0384615384615383</v>
      </c>
    </row>
    <row r="61" spans="1:17" x14ac:dyDescent="0.2">
      <c r="A61" s="71">
        <f t="shared" si="18"/>
        <v>12.5</v>
      </c>
      <c r="B61" s="74">
        <f t="shared" si="19"/>
        <v>6.1298076923076916</v>
      </c>
      <c r="C61" s="72">
        <f t="shared" si="20"/>
        <v>0</v>
      </c>
      <c r="D61" s="70">
        <f t="shared" si="21"/>
        <v>122.23080828106603</v>
      </c>
      <c r="E61" s="70">
        <f t="shared" si="8"/>
        <v>19.187930658461685</v>
      </c>
      <c r="F61" s="72">
        <f t="shared" si="22"/>
        <v>0.22</v>
      </c>
      <c r="G61" s="70">
        <f t="shared" si="10"/>
        <v>0.22</v>
      </c>
      <c r="H61" s="72">
        <f t="shared" si="23"/>
        <v>0.22</v>
      </c>
      <c r="I61" s="73">
        <f t="shared" si="27"/>
        <v>5.4632867132866638E-4</v>
      </c>
      <c r="J61" s="80">
        <f t="shared" si="15"/>
        <v>2.786276223776224E-2</v>
      </c>
      <c r="K61" s="214">
        <f t="shared" si="12"/>
        <v>27.86276223776224</v>
      </c>
      <c r="L61" s="164">
        <f t="shared" si="13"/>
        <v>1</v>
      </c>
      <c r="M61" s="71">
        <f t="shared" si="24"/>
        <v>9.5939653292308442</v>
      </c>
      <c r="N61" s="71">
        <f>I61*G61*(A61-B61)</f>
        <v>7.6564811390531862E-4</v>
      </c>
      <c r="O61" s="71">
        <f t="shared" si="16"/>
        <v>1.4014423076923079</v>
      </c>
      <c r="P61" s="71">
        <f t="shared" si="25"/>
        <v>1.7836538461538463</v>
      </c>
      <c r="Q61" s="71">
        <f t="shared" si="26"/>
        <v>1.0192307692307694</v>
      </c>
    </row>
    <row r="62" spans="1:17" x14ac:dyDescent="0.2">
      <c r="A62" s="71">
        <f t="shared" si="18"/>
        <v>12.5</v>
      </c>
      <c r="B62" s="74">
        <f t="shared" si="19"/>
        <v>6.25</v>
      </c>
      <c r="C62" s="72">
        <f t="shared" si="20"/>
        <v>0</v>
      </c>
      <c r="D62" s="70">
        <f t="shared" si="21"/>
        <v>121.46594814120587</v>
      </c>
      <c r="E62" s="70">
        <f t="shared" si="8"/>
        <v>19.434551702592941</v>
      </c>
      <c r="F62" s="72">
        <f t="shared" si="22"/>
        <v>0.22</v>
      </c>
      <c r="G62" s="70">
        <f t="shared" si="10"/>
        <v>0.22</v>
      </c>
      <c r="H62" s="72">
        <f t="shared" si="23"/>
        <v>0.22</v>
      </c>
      <c r="I62" s="73">
        <f t="shared" si="27"/>
        <v>5.463286713286744E-4</v>
      </c>
      <c r="J62" s="80">
        <f t="shared" si="15"/>
        <v>2.8409090909090915E-2</v>
      </c>
      <c r="K62" s="214">
        <f t="shared" si="12"/>
        <v>28.409090909090914</v>
      </c>
      <c r="L62" s="164">
        <f t="shared" si="13"/>
        <v>1</v>
      </c>
      <c r="M62" s="71">
        <f t="shared" si="24"/>
        <v>9.7172758512964705</v>
      </c>
      <c r="N62" s="71">
        <f t="shared" si="17"/>
        <v>7.5120192307692724E-4</v>
      </c>
      <c r="O62" s="71">
        <f t="shared" si="16"/>
        <v>1.375</v>
      </c>
      <c r="P62" s="71">
        <f t="shared" si="25"/>
        <v>1.7499999999999998</v>
      </c>
      <c r="Q62" s="71">
        <f t="shared" si="26"/>
        <v>1</v>
      </c>
    </row>
    <row r="63" spans="1:17" x14ac:dyDescent="0.2">
      <c r="A63" s="71">
        <f t="shared" si="18"/>
        <v>12.5</v>
      </c>
      <c r="B63" s="74">
        <f t="shared" si="19"/>
        <v>6.3701923076923075</v>
      </c>
      <c r="C63" s="72">
        <f t="shared" si="20"/>
        <v>0</v>
      </c>
      <c r="D63" s="70">
        <f t="shared" si="21"/>
        <v>120.70108800134574</v>
      </c>
      <c r="E63" s="70">
        <f t="shared" si="8"/>
        <v>19.690844160219541</v>
      </c>
      <c r="F63" s="72">
        <f t="shared" si="22"/>
        <v>0.22</v>
      </c>
      <c r="G63" s="70">
        <f t="shared" si="10"/>
        <v>0.22</v>
      </c>
      <c r="H63" s="72">
        <f t="shared" si="23"/>
        <v>0.22</v>
      </c>
      <c r="I63" s="73">
        <f t="shared" si="27"/>
        <v>5.4632867132867039E-4</v>
      </c>
      <c r="J63" s="80">
        <f t="shared" si="15"/>
        <v>2.8955419580419587E-2</v>
      </c>
      <c r="K63" s="214">
        <f t="shared" si="12"/>
        <v>28.955419580419587</v>
      </c>
      <c r="L63" s="164">
        <f t="shared" si="13"/>
        <v>1</v>
      </c>
      <c r="M63" s="71">
        <f t="shared" si="24"/>
        <v>9.8454220801097705</v>
      </c>
      <c r="N63" s="71">
        <f t="shared" si="17"/>
        <v>7.3675573224851949E-4</v>
      </c>
      <c r="O63" s="71">
        <f t="shared" si="16"/>
        <v>1.3485576923076923</v>
      </c>
      <c r="P63" s="71">
        <f t="shared" si="25"/>
        <v>1.7163461538461537</v>
      </c>
      <c r="Q63" s="71">
        <f t="shared" si="26"/>
        <v>0.98076923076923084</v>
      </c>
    </row>
    <row r="64" spans="1:17" x14ac:dyDescent="0.2">
      <c r="A64" s="71">
        <f t="shared" si="18"/>
        <v>12.5</v>
      </c>
      <c r="B64" s="74">
        <f t="shared" si="19"/>
        <v>6.4903846153846159</v>
      </c>
      <c r="C64" s="72">
        <f t="shared" si="20"/>
        <v>0</v>
      </c>
      <c r="D64" s="70">
        <f t="shared" si="21"/>
        <v>119.93622786148561</v>
      </c>
      <c r="E64" s="70">
        <f t="shared" si="8"/>
        <v>19.957388316151206</v>
      </c>
      <c r="F64" s="72">
        <f t="shared" si="22"/>
        <v>0.22</v>
      </c>
      <c r="G64" s="70">
        <f t="shared" si="10"/>
        <v>0.22</v>
      </c>
      <c r="H64" s="72">
        <f t="shared" si="23"/>
        <v>0.22</v>
      </c>
      <c r="I64" s="73">
        <f t="shared" si="27"/>
        <v>5.463286713286744E-4</v>
      </c>
      <c r="J64" s="80">
        <f t="shared" si="15"/>
        <v>2.9501748251748262E-2</v>
      </c>
      <c r="K64" s="214">
        <f t="shared" si="12"/>
        <v>29.501748251748264</v>
      </c>
      <c r="L64" s="164">
        <f t="shared" si="13"/>
        <v>1</v>
      </c>
      <c r="M64" s="71">
        <f t="shared" si="24"/>
        <v>9.9786941580756032</v>
      </c>
      <c r="N64" s="71">
        <f t="shared" si="17"/>
        <v>7.2230954142012236E-4</v>
      </c>
      <c r="O64" s="71">
        <f t="shared" si="16"/>
        <v>1.3221153846153846</v>
      </c>
      <c r="P64" s="71">
        <f t="shared" si="25"/>
        <v>1.6826923076923075</v>
      </c>
      <c r="Q64" s="71">
        <f t="shared" si="26"/>
        <v>0.96153846153846145</v>
      </c>
    </row>
    <row r="65" spans="1:17" x14ac:dyDescent="0.2">
      <c r="A65" s="71">
        <f t="shared" si="18"/>
        <v>12.5</v>
      </c>
      <c r="B65" s="74">
        <f t="shared" si="19"/>
        <v>6.6105769230769234</v>
      </c>
      <c r="C65" s="72">
        <f t="shared" si="20"/>
        <v>0</v>
      </c>
      <c r="D65" s="70">
        <f t="shared" si="21"/>
        <v>119.17136772162546</v>
      </c>
      <c r="E65" s="70">
        <f t="shared" si="8"/>
        <v>20.234811825386203</v>
      </c>
      <c r="F65" s="72">
        <f t="shared" si="22"/>
        <v>0.22</v>
      </c>
      <c r="G65" s="70">
        <f t="shared" si="10"/>
        <v>0.22</v>
      </c>
      <c r="H65" s="72">
        <f t="shared" si="23"/>
        <v>0.22</v>
      </c>
      <c r="I65" s="73">
        <f t="shared" si="27"/>
        <v>5.4632867132867039E-4</v>
      </c>
      <c r="J65" s="80">
        <f t="shared" si="15"/>
        <v>3.0048076923076934E-2</v>
      </c>
      <c r="K65" s="214">
        <f t="shared" si="12"/>
        <v>30.048076923076934</v>
      </c>
      <c r="L65" s="164">
        <f t="shared" si="13"/>
        <v>1</v>
      </c>
      <c r="M65" s="71">
        <f t="shared" si="24"/>
        <v>10.117405912693101</v>
      </c>
      <c r="N65" s="71">
        <f t="shared" si="17"/>
        <v>7.0786335059171471E-4</v>
      </c>
      <c r="O65" s="71">
        <f t="shared" si="16"/>
        <v>1.2956730769230769</v>
      </c>
      <c r="P65" s="71">
        <f t="shared" si="25"/>
        <v>1.6490384615384612</v>
      </c>
      <c r="Q65" s="71">
        <f t="shared" si="26"/>
        <v>0.94230769230769229</v>
      </c>
    </row>
    <row r="66" spans="1:17" x14ac:dyDescent="0.2">
      <c r="A66" s="71">
        <f t="shared" si="18"/>
        <v>12.5</v>
      </c>
      <c r="B66" s="74">
        <f t="shared" si="19"/>
        <v>6.7307692307692308</v>
      </c>
      <c r="C66" s="72">
        <f t="shared" si="20"/>
        <v>0</v>
      </c>
      <c r="D66" s="70">
        <f t="shared" si="21"/>
        <v>118.40650758176531</v>
      </c>
      <c r="E66" s="70">
        <f t="shared" si="8"/>
        <v>20.523794647505987</v>
      </c>
      <c r="F66" s="72">
        <f t="shared" si="22"/>
        <v>0.22</v>
      </c>
      <c r="G66" s="70">
        <f t="shared" si="10"/>
        <v>0.22</v>
      </c>
      <c r="H66" s="72">
        <f t="shared" si="23"/>
        <v>0.22</v>
      </c>
      <c r="I66" s="73">
        <f t="shared" si="27"/>
        <v>5.4632867132867039E-4</v>
      </c>
      <c r="J66" s="80">
        <f t="shared" si="15"/>
        <v>3.0594405594405606E-2</v>
      </c>
      <c r="K66" s="214">
        <f t="shared" si="12"/>
        <v>30.594405594405607</v>
      </c>
      <c r="L66" s="164">
        <f t="shared" si="13"/>
        <v>1</v>
      </c>
      <c r="M66" s="71">
        <f t="shared" si="24"/>
        <v>10.261897323752994</v>
      </c>
      <c r="N66" s="71">
        <f t="shared" si="17"/>
        <v>6.9341715976331238E-4</v>
      </c>
      <c r="O66" s="71">
        <f t="shared" si="16"/>
        <v>1.2692307692307692</v>
      </c>
      <c r="P66" s="71">
        <f t="shared" si="25"/>
        <v>1.6153846153846152</v>
      </c>
      <c r="Q66" s="71">
        <f t="shared" si="26"/>
        <v>0.92307692307692313</v>
      </c>
    </row>
    <row r="67" spans="1:17" x14ac:dyDescent="0.2">
      <c r="A67" s="71">
        <f t="shared" si="18"/>
        <v>12.5</v>
      </c>
      <c r="B67" s="74">
        <f t="shared" si="19"/>
        <v>6.8509615384615392</v>
      </c>
      <c r="C67" s="72">
        <f t="shared" si="20"/>
        <v>0</v>
      </c>
      <c r="D67" s="70">
        <f t="shared" si="21"/>
        <v>117.64164744190518</v>
      </c>
      <c r="E67" s="70">
        <f t="shared" si="8"/>
        <v>20.82507461099258</v>
      </c>
      <c r="F67" s="72">
        <f t="shared" si="22"/>
        <v>0.22</v>
      </c>
      <c r="G67" s="70">
        <f t="shared" si="10"/>
        <v>0.22</v>
      </c>
      <c r="H67" s="72">
        <f t="shared" si="23"/>
        <v>0.22</v>
      </c>
      <c r="I67" s="73">
        <f t="shared" si="27"/>
        <v>5.463286713286744E-4</v>
      </c>
      <c r="J67" s="80">
        <f t="shared" si="15"/>
        <v>3.1140734265734282E-2</v>
      </c>
      <c r="K67" s="214">
        <f t="shared" si="12"/>
        <v>31.140734265734281</v>
      </c>
      <c r="L67" s="164">
        <f t="shared" si="13"/>
        <v>1</v>
      </c>
      <c r="M67" s="71">
        <f t="shared" si="24"/>
        <v>10.412537305496292</v>
      </c>
      <c r="N67" s="71">
        <f t="shared" si="17"/>
        <v>6.7897096893491493E-4</v>
      </c>
      <c r="O67" s="71">
        <f t="shared" si="16"/>
        <v>1.2427884615384615</v>
      </c>
      <c r="P67" s="71">
        <f t="shared" si="25"/>
        <v>1.5817307692307689</v>
      </c>
      <c r="Q67" s="71">
        <f t="shared" si="26"/>
        <v>0.90384615384615374</v>
      </c>
    </row>
    <row r="68" spans="1:17" x14ac:dyDescent="0.2">
      <c r="A68" s="71">
        <f t="shared" si="18"/>
        <v>12.5</v>
      </c>
      <c r="B68" s="74">
        <f t="shared" si="19"/>
        <v>6.9711538461538467</v>
      </c>
      <c r="C68" s="72">
        <f t="shared" si="20"/>
        <v>0</v>
      </c>
      <c r="D68" s="70">
        <f t="shared" si="21"/>
        <v>116.87678730204505</v>
      </c>
      <c r="E68" s="70">
        <f t="shared" si="8"/>
        <v>21.13945370332641</v>
      </c>
      <c r="F68" s="72">
        <f t="shared" si="22"/>
        <v>0.22</v>
      </c>
      <c r="G68" s="70">
        <f t="shared" si="10"/>
        <v>0.22</v>
      </c>
      <c r="H68" s="72">
        <f t="shared" si="23"/>
        <v>0.22</v>
      </c>
      <c r="I68" s="73">
        <f t="shared" si="27"/>
        <v>5.4632867132867039E-4</v>
      </c>
      <c r="J68" s="80">
        <f t="shared" si="15"/>
        <v>3.168706293706295E-2</v>
      </c>
      <c r="K68" s="214">
        <f t="shared" si="12"/>
        <v>31.687062937062951</v>
      </c>
      <c r="L68" s="164">
        <f t="shared" si="13"/>
        <v>1</v>
      </c>
      <c r="M68" s="71">
        <f t="shared" si="24"/>
        <v>10.569726851663205</v>
      </c>
      <c r="N68" s="71">
        <f t="shared" si="17"/>
        <v>6.6452477810650761E-4</v>
      </c>
      <c r="O68" s="71">
        <f t="shared" si="16"/>
        <v>1.2163461538461537</v>
      </c>
      <c r="P68" s="71">
        <f t="shared" si="25"/>
        <v>1.5480769230769227</v>
      </c>
      <c r="Q68" s="71">
        <f t="shared" si="26"/>
        <v>0.88461538461538458</v>
      </c>
    </row>
    <row r="69" spans="1:17" x14ac:dyDescent="0.2">
      <c r="A69" s="71">
        <f t="shared" si="18"/>
        <v>12.5</v>
      </c>
      <c r="B69" s="74">
        <f t="shared" si="19"/>
        <v>7.0913461538461533</v>
      </c>
      <c r="C69" s="72">
        <f t="shared" si="20"/>
        <v>0</v>
      </c>
      <c r="D69" s="70">
        <f t="shared" si="21"/>
        <v>116.11192716218491</v>
      </c>
      <c r="E69" s="70">
        <f t="shared" si="8"/>
        <v>21.467805199763962</v>
      </c>
      <c r="F69" s="72">
        <f t="shared" si="22"/>
        <v>0.22</v>
      </c>
      <c r="G69" s="70">
        <f t="shared" si="10"/>
        <v>0.22</v>
      </c>
      <c r="H69" s="72">
        <f t="shared" si="23"/>
        <v>0.22</v>
      </c>
      <c r="I69" s="73">
        <f t="shared" si="27"/>
        <v>5.4632867132866638E-4</v>
      </c>
      <c r="J69" s="80">
        <f t="shared" si="15"/>
        <v>3.2233391608391615E-2</v>
      </c>
      <c r="K69" s="214">
        <f t="shared" si="12"/>
        <v>32.233391608391614</v>
      </c>
      <c r="L69" s="164">
        <f t="shared" si="13"/>
        <v>1</v>
      </c>
      <c r="M69" s="71">
        <f t="shared" si="24"/>
        <v>10.733902599881981</v>
      </c>
      <c r="N69" s="71">
        <f t="shared" si="17"/>
        <v>6.5007858727810072E-4</v>
      </c>
      <c r="O69" s="71">
        <f t="shared" si="16"/>
        <v>1.1899038461538463</v>
      </c>
      <c r="P69" s="71">
        <f t="shared" si="25"/>
        <v>1.5144230769230769</v>
      </c>
      <c r="Q69" s="71">
        <f t="shared" si="26"/>
        <v>0.86538461538461553</v>
      </c>
    </row>
    <row r="70" spans="1:17" x14ac:dyDescent="0.2">
      <c r="A70" s="71">
        <f t="shared" si="18"/>
        <v>12.5</v>
      </c>
      <c r="B70" s="74">
        <f t="shared" si="19"/>
        <v>7.2115384615384608</v>
      </c>
      <c r="C70" s="72">
        <f t="shared" si="20"/>
        <v>0</v>
      </c>
      <c r="D70" s="70">
        <f t="shared" si="21"/>
        <v>115.34706702232477</v>
      </c>
      <c r="E70" s="70">
        <f t="shared" si="8"/>
        <v>21.811081764221406</v>
      </c>
      <c r="F70" s="72">
        <f t="shared" si="22"/>
        <v>0.22</v>
      </c>
      <c r="G70" s="70">
        <f t="shared" si="10"/>
        <v>0.22</v>
      </c>
      <c r="H70" s="72">
        <f t="shared" si="23"/>
        <v>0.22</v>
      </c>
      <c r="I70" s="73">
        <f t="shared" si="27"/>
        <v>5.4632867132867039E-4</v>
      </c>
      <c r="J70" s="80">
        <f t="shared" si="15"/>
        <v>3.2779720279720287E-2</v>
      </c>
      <c r="K70" s="214">
        <f t="shared" si="12"/>
        <v>32.779720279720287</v>
      </c>
      <c r="L70" s="164">
        <f t="shared" si="13"/>
        <v>1</v>
      </c>
      <c r="M70" s="71">
        <f t="shared" si="24"/>
        <v>10.905540882110705</v>
      </c>
      <c r="N70" s="71">
        <f t="shared" si="17"/>
        <v>6.3563239644970316E-4</v>
      </c>
      <c r="O70" s="71">
        <f t="shared" si="16"/>
        <v>1.1634615384615385</v>
      </c>
      <c r="P70" s="71">
        <f t="shared" si="25"/>
        <v>1.4807692307692308</v>
      </c>
      <c r="Q70" s="71">
        <f t="shared" si="26"/>
        <v>0.84615384615384626</v>
      </c>
    </row>
    <row r="71" spans="1:17" x14ac:dyDescent="0.2">
      <c r="A71" s="71">
        <f t="shared" si="18"/>
        <v>12.5</v>
      </c>
      <c r="B71" s="74">
        <f t="shared" si="19"/>
        <v>7.3317307692307692</v>
      </c>
      <c r="C71" s="72">
        <f t="shared" si="20"/>
        <v>0</v>
      </c>
      <c r="D71" s="70">
        <f t="shared" si="21"/>
        <v>114.58220688246462</v>
      </c>
      <c r="E71" s="70">
        <f t="shared" si="8"/>
        <v>22.170324680514085</v>
      </c>
      <c r="F71" s="72">
        <f t="shared" si="22"/>
        <v>0.22</v>
      </c>
      <c r="G71" s="70">
        <f t="shared" si="10"/>
        <v>0.22</v>
      </c>
      <c r="H71" s="72">
        <f t="shared" si="23"/>
        <v>0.22</v>
      </c>
      <c r="I71" s="73">
        <f t="shared" si="27"/>
        <v>5.463286713286744E-4</v>
      </c>
      <c r="J71" s="80">
        <f t="shared" si="15"/>
        <v>3.3326048951048959E-2</v>
      </c>
      <c r="K71" s="214">
        <f t="shared" si="12"/>
        <v>33.326048951048961</v>
      </c>
      <c r="L71" s="164">
        <f t="shared" si="13"/>
        <v>1</v>
      </c>
      <c r="M71" s="71">
        <f t="shared" si="24"/>
        <v>11.085162340257043</v>
      </c>
      <c r="N71" s="71">
        <f t="shared" si="17"/>
        <v>6.2118620562130527E-4</v>
      </c>
      <c r="O71" s="71">
        <f t="shared" si="16"/>
        <v>1.1370192307692308</v>
      </c>
      <c r="P71" s="71">
        <f t="shared" si="25"/>
        <v>1.4471153846153846</v>
      </c>
      <c r="Q71" s="71">
        <f t="shared" si="26"/>
        <v>0.82692307692307698</v>
      </c>
    </row>
    <row r="72" spans="1:17" x14ac:dyDescent="0.2">
      <c r="A72" s="71">
        <f t="shared" si="18"/>
        <v>12.5</v>
      </c>
      <c r="B72" s="74">
        <f t="shared" si="19"/>
        <v>7.4519230769230766</v>
      </c>
      <c r="C72" s="72">
        <f t="shared" si="20"/>
        <v>0</v>
      </c>
      <c r="D72" s="70">
        <f t="shared" si="21"/>
        <v>113.81734674260449</v>
      </c>
      <c r="E72" s="70">
        <f t="shared" si="8"/>
        <v>22.546674402344507</v>
      </c>
      <c r="F72" s="72">
        <f t="shared" si="22"/>
        <v>0.22</v>
      </c>
      <c r="G72" s="70">
        <f t="shared" si="10"/>
        <v>0.22</v>
      </c>
      <c r="H72" s="72">
        <f t="shared" si="23"/>
        <v>0.22</v>
      </c>
      <c r="I72" s="73">
        <f t="shared" si="27"/>
        <v>5.4632867132867039E-4</v>
      </c>
      <c r="J72" s="80">
        <f t="shared" si="15"/>
        <v>3.3872377622377631E-2</v>
      </c>
      <c r="K72" s="214">
        <f t="shared" si="12"/>
        <v>33.872377622377634</v>
      </c>
      <c r="L72" s="164">
        <f t="shared" si="13"/>
        <v>1</v>
      </c>
      <c r="M72" s="71">
        <f t="shared" si="24"/>
        <v>11.273337201172254</v>
      </c>
      <c r="N72" s="71">
        <f t="shared" si="17"/>
        <v>6.0674001479289839E-4</v>
      </c>
      <c r="O72" s="71">
        <f t="shared" si="16"/>
        <v>1.1105769230769231</v>
      </c>
      <c r="P72" s="71">
        <f t="shared" si="25"/>
        <v>1.4134615384615383</v>
      </c>
      <c r="Q72" s="71">
        <f t="shared" si="26"/>
        <v>0.80769230769230771</v>
      </c>
    </row>
    <row r="73" spans="1:17" x14ac:dyDescent="0.2">
      <c r="A73" s="71">
        <f t="shared" si="18"/>
        <v>12.5</v>
      </c>
      <c r="B73" s="74">
        <f t="shared" si="19"/>
        <v>7.5721153846153841</v>
      </c>
      <c r="C73" s="72">
        <f t="shared" si="20"/>
        <v>0</v>
      </c>
      <c r="D73" s="70">
        <f t="shared" si="21"/>
        <v>113.05248660274434</v>
      </c>
      <c r="E73" s="70">
        <f t="shared" si="8"/>
        <v>22.941382647191045</v>
      </c>
      <c r="F73" s="72">
        <f t="shared" si="22"/>
        <v>0.22</v>
      </c>
      <c r="G73" s="70">
        <f t="shared" si="10"/>
        <v>0.22</v>
      </c>
      <c r="H73" s="72">
        <f t="shared" si="23"/>
        <v>0.22</v>
      </c>
      <c r="I73" s="73">
        <f t="shared" si="27"/>
        <v>5.4632867132867039E-4</v>
      </c>
      <c r="J73" s="80">
        <f t="shared" si="15"/>
        <v>3.4418706293706303E-2</v>
      </c>
      <c r="K73" s="214">
        <f t="shared" si="12"/>
        <v>34.4187062937063</v>
      </c>
      <c r="L73" s="164">
        <f t="shared" si="13"/>
        <v>1</v>
      </c>
      <c r="M73" s="71">
        <f t="shared" si="24"/>
        <v>11.470691323595522</v>
      </c>
      <c r="N73" s="71">
        <f t="shared" si="17"/>
        <v>5.9229382396449605E-4</v>
      </c>
      <c r="O73" s="71">
        <f t="shared" si="16"/>
        <v>1.0841346153846154</v>
      </c>
      <c r="P73" s="71">
        <f t="shared" si="25"/>
        <v>1.3798076923076923</v>
      </c>
      <c r="Q73" s="71">
        <f t="shared" si="26"/>
        <v>0.78846153846153855</v>
      </c>
    </row>
    <row r="74" spans="1:17" x14ac:dyDescent="0.2">
      <c r="A74" s="71">
        <f t="shared" ref="A74:A105" si="28">VINMAX</f>
        <v>12.5</v>
      </c>
      <c r="B74" s="74">
        <f t="shared" ref="B74:B105" si="29">VINMAX*((ROW()-10)/104)</f>
        <v>7.6923076923076925</v>
      </c>
      <c r="C74" s="72">
        <f t="shared" ref="C74:C105" si="30">IF(B74&gt;=$H$2,IF($D$2="CC", $G$2, B74/$G$2), 0)</f>
        <v>0</v>
      </c>
      <c r="D74" s="70">
        <f t="shared" ref="D74:D105" si="31">$B$2-B74*$J$2/($I$2*0.001)</f>
        <v>112.28762646288419</v>
      </c>
      <c r="E74" s="70">
        <f t="shared" si="8"/>
        <v>23.355826304279912</v>
      </c>
      <c r="F74" s="72">
        <f t="shared" ref="F74:F105" si="32">I_Cout_ss+C74</f>
        <v>0.22</v>
      </c>
      <c r="G74" s="70">
        <f t="shared" si="10"/>
        <v>0.22</v>
      </c>
      <c r="H74" s="72">
        <f t="shared" ref="H74:H105" si="33">G74-C74</f>
        <v>0.22</v>
      </c>
      <c r="I74" s="73">
        <f t="shared" si="27"/>
        <v>5.463286713286744E-4</v>
      </c>
      <c r="J74" s="80">
        <f t="shared" si="15"/>
        <v>3.4965034965034975E-2</v>
      </c>
      <c r="K74" s="214">
        <f t="shared" si="12"/>
        <v>34.965034965034974</v>
      </c>
      <c r="L74" s="164">
        <f t="shared" si="13"/>
        <v>1</v>
      </c>
      <c r="M74" s="71">
        <f t="shared" ref="M74:M105" si="34">1/COUTMAX*(E74/2-C74)*1000</f>
        <v>11.677913152139956</v>
      </c>
      <c r="N74" s="71">
        <f t="shared" si="17"/>
        <v>5.7784763313609784E-4</v>
      </c>
      <c r="O74" s="71">
        <f t="shared" si="16"/>
        <v>1.0576923076923077</v>
      </c>
      <c r="P74" s="71">
        <f t="shared" ref="P74:P105" si="35">(A74-B74)*(I_Cout_ss*$Q$2+C74)</f>
        <v>1.346153846153846</v>
      </c>
      <c r="Q74" s="71">
        <f t="shared" ref="Q74:Q105" si="36">(A74-B74)*(I_Cout_ss*$R$2+C74)</f>
        <v>0.76923076923076916</v>
      </c>
    </row>
    <row r="75" spans="1:17" x14ac:dyDescent="0.2">
      <c r="A75" s="71">
        <f t="shared" si="28"/>
        <v>12.5</v>
      </c>
      <c r="B75" s="74">
        <f t="shared" si="29"/>
        <v>7.8125</v>
      </c>
      <c r="C75" s="72">
        <f t="shared" si="30"/>
        <v>0</v>
      </c>
      <c r="D75" s="70">
        <f t="shared" si="31"/>
        <v>111.52276632302406</v>
      </c>
      <c r="E75" s="70">
        <f t="shared" ref="E75:E110" si="37">MIN(D75/(A75-B75),$C$2)</f>
        <v>23.791523482245132</v>
      </c>
      <c r="F75" s="72">
        <f t="shared" si="32"/>
        <v>0.22</v>
      </c>
      <c r="G75" s="70">
        <f t="shared" ref="G75:G110" si="38">IF($F$2="YES", F75, E75)</f>
        <v>0.22</v>
      </c>
      <c r="H75" s="72">
        <f t="shared" si="33"/>
        <v>0.22</v>
      </c>
      <c r="I75" s="73">
        <f t="shared" ref="I75:I106" si="39">(COUTMAX/1000000)*(B75-B74)/H75</f>
        <v>5.4632867132867039E-4</v>
      </c>
      <c r="J75" s="80">
        <f t="shared" si="15"/>
        <v>3.5511363636363646E-2</v>
      </c>
      <c r="K75" s="214">
        <f t="shared" ref="K75:K114" si="40">J75*1000</f>
        <v>35.511363636363647</v>
      </c>
      <c r="L75" s="164">
        <f t="shared" ref="L75:L110" si="41">H75/G75</f>
        <v>1</v>
      </c>
      <c r="M75" s="71">
        <f t="shared" si="34"/>
        <v>11.895761741122568</v>
      </c>
      <c r="N75" s="71">
        <f t="shared" ref="N75:N110" si="42">I75*G75*(A75-B75)</f>
        <v>5.6340144230769128E-4</v>
      </c>
      <c r="O75" s="71">
        <f t="shared" ref="O75:O114" si="43">G75*(A75-B75)</f>
        <v>1.03125</v>
      </c>
      <c r="P75" s="71">
        <f t="shared" si="35"/>
        <v>1.3124999999999998</v>
      </c>
      <c r="Q75" s="71">
        <f t="shared" si="36"/>
        <v>0.75</v>
      </c>
    </row>
    <row r="76" spans="1:17" x14ac:dyDescent="0.2">
      <c r="A76" s="71">
        <f t="shared" si="28"/>
        <v>12.5</v>
      </c>
      <c r="B76" s="74">
        <f t="shared" si="29"/>
        <v>7.9326923076923075</v>
      </c>
      <c r="C76" s="72">
        <f t="shared" si="30"/>
        <v>0</v>
      </c>
      <c r="D76" s="70">
        <f t="shared" si="31"/>
        <v>110.75790618316393</v>
      </c>
      <c r="E76" s="70">
        <f t="shared" si="37"/>
        <v>24.250152090629573</v>
      </c>
      <c r="F76" s="72">
        <f t="shared" si="32"/>
        <v>0.22</v>
      </c>
      <c r="G76" s="70">
        <f t="shared" si="38"/>
        <v>0.22</v>
      </c>
      <c r="H76" s="72">
        <f t="shared" si="33"/>
        <v>0.22</v>
      </c>
      <c r="I76" s="73">
        <f t="shared" si="39"/>
        <v>5.4632867132867039E-4</v>
      </c>
      <c r="J76" s="80">
        <f t="shared" ref="J76:J110" si="44">J75+I76</f>
        <v>3.6057692307692318E-2</v>
      </c>
      <c r="K76" s="214">
        <f t="shared" si="40"/>
        <v>36.057692307692321</v>
      </c>
      <c r="L76" s="164">
        <f t="shared" si="41"/>
        <v>1</v>
      </c>
      <c r="M76" s="71">
        <f t="shared" si="34"/>
        <v>12.125076045314787</v>
      </c>
      <c r="N76" s="71">
        <f t="shared" si="42"/>
        <v>5.4895525147928906E-4</v>
      </c>
      <c r="O76" s="71">
        <f t="shared" si="43"/>
        <v>1.0048076923076923</v>
      </c>
      <c r="P76" s="71">
        <f t="shared" si="35"/>
        <v>1.2788461538461537</v>
      </c>
      <c r="Q76" s="71">
        <f t="shared" si="36"/>
        <v>0.73076923076923084</v>
      </c>
    </row>
    <row r="77" spans="1:17" x14ac:dyDescent="0.2">
      <c r="A77" s="71">
        <f t="shared" si="28"/>
        <v>12.5</v>
      </c>
      <c r="B77" s="74">
        <f t="shared" si="29"/>
        <v>8.0528846153846168</v>
      </c>
      <c r="C77" s="72">
        <f t="shared" si="30"/>
        <v>0</v>
      </c>
      <c r="D77" s="70">
        <f t="shared" si="31"/>
        <v>109.99304604330378</v>
      </c>
      <c r="E77" s="70">
        <f t="shared" si="37"/>
        <v>24.733571434602371</v>
      </c>
      <c r="F77" s="72">
        <f t="shared" si="32"/>
        <v>0.22</v>
      </c>
      <c r="G77" s="70">
        <f t="shared" si="38"/>
        <v>0.22</v>
      </c>
      <c r="H77" s="72">
        <f t="shared" si="33"/>
        <v>0.22</v>
      </c>
      <c r="I77" s="73">
        <f t="shared" si="39"/>
        <v>5.4632867132867852E-4</v>
      </c>
      <c r="J77" s="80">
        <f t="shared" si="44"/>
        <v>3.6604020979020997E-2</v>
      </c>
      <c r="K77" s="214">
        <f t="shared" si="40"/>
        <v>36.604020979020994</v>
      </c>
      <c r="L77" s="164">
        <f t="shared" si="41"/>
        <v>1</v>
      </c>
      <c r="M77" s="71">
        <f t="shared" si="34"/>
        <v>12.366785717301186</v>
      </c>
      <c r="N77" s="71">
        <f t="shared" si="42"/>
        <v>5.3450906065089442E-4</v>
      </c>
      <c r="O77" s="71">
        <f t="shared" si="43"/>
        <v>0.97836538461538436</v>
      </c>
      <c r="P77" s="71">
        <f t="shared" si="35"/>
        <v>1.2451923076923073</v>
      </c>
      <c r="Q77" s="71">
        <f t="shared" si="36"/>
        <v>0.71153846153846134</v>
      </c>
    </row>
    <row r="78" spans="1:17" x14ac:dyDescent="0.2">
      <c r="A78" s="71">
        <f t="shared" si="28"/>
        <v>12.5</v>
      </c>
      <c r="B78" s="74">
        <f t="shared" si="29"/>
        <v>8.1730769230769234</v>
      </c>
      <c r="C78" s="72">
        <f t="shared" si="30"/>
        <v>0</v>
      </c>
      <c r="D78" s="70">
        <f t="shared" si="31"/>
        <v>109.22818590344365</v>
      </c>
      <c r="E78" s="70">
        <f t="shared" si="37"/>
        <v>25.243847408795865</v>
      </c>
      <c r="F78" s="72">
        <f t="shared" si="32"/>
        <v>0.22</v>
      </c>
      <c r="G78" s="70">
        <f t="shared" si="38"/>
        <v>0.22</v>
      </c>
      <c r="H78" s="72">
        <f t="shared" si="33"/>
        <v>0.22</v>
      </c>
      <c r="I78" s="73">
        <f t="shared" si="39"/>
        <v>5.4632867132866638E-4</v>
      </c>
      <c r="J78" s="80">
        <f t="shared" si="44"/>
        <v>3.7150349650349662E-2</v>
      </c>
      <c r="K78" s="214">
        <f t="shared" si="40"/>
        <v>37.150349650349661</v>
      </c>
      <c r="L78" s="164">
        <f t="shared" si="41"/>
        <v>1</v>
      </c>
      <c r="M78" s="71">
        <f t="shared" si="34"/>
        <v>12.621923704397933</v>
      </c>
      <c r="N78" s="71">
        <f t="shared" si="42"/>
        <v>5.2006286982248049E-4</v>
      </c>
      <c r="O78" s="71">
        <f t="shared" si="43"/>
        <v>0.95192307692307687</v>
      </c>
      <c r="P78" s="71">
        <f t="shared" si="35"/>
        <v>1.2115384615384612</v>
      </c>
      <c r="Q78" s="71">
        <f t="shared" si="36"/>
        <v>0.69230769230769229</v>
      </c>
    </row>
    <row r="79" spans="1:17" x14ac:dyDescent="0.2">
      <c r="A79" s="71">
        <f t="shared" si="28"/>
        <v>12.5</v>
      </c>
      <c r="B79" s="74">
        <f t="shared" si="29"/>
        <v>8.2932692307692299</v>
      </c>
      <c r="C79" s="72">
        <f t="shared" si="30"/>
        <v>0</v>
      </c>
      <c r="D79" s="70">
        <f t="shared" si="31"/>
        <v>108.46332576358351</v>
      </c>
      <c r="E79" s="70">
        <f t="shared" si="37"/>
        <v>25.783282010086133</v>
      </c>
      <c r="F79" s="72">
        <f t="shared" si="32"/>
        <v>0.22</v>
      </c>
      <c r="G79" s="70">
        <f t="shared" si="38"/>
        <v>0.22</v>
      </c>
      <c r="H79" s="72">
        <f t="shared" si="33"/>
        <v>0.22</v>
      </c>
      <c r="I79" s="73">
        <f t="shared" si="39"/>
        <v>5.4632867132866638E-4</v>
      </c>
      <c r="J79" s="80">
        <f t="shared" si="44"/>
        <v>3.7696678321678327E-2</v>
      </c>
      <c r="K79" s="214">
        <f t="shared" si="40"/>
        <v>37.696678321678327</v>
      </c>
      <c r="L79" s="164">
        <f t="shared" si="41"/>
        <v>1</v>
      </c>
      <c r="M79" s="71">
        <f t="shared" si="34"/>
        <v>12.891641005043068</v>
      </c>
      <c r="N79" s="71">
        <f t="shared" si="42"/>
        <v>5.0561667899407838E-4</v>
      </c>
      <c r="O79" s="71">
        <f t="shared" si="43"/>
        <v>0.92548076923076938</v>
      </c>
      <c r="P79" s="71">
        <f t="shared" si="35"/>
        <v>1.1778846153846154</v>
      </c>
      <c r="Q79" s="71">
        <f t="shared" si="36"/>
        <v>0.67307692307692324</v>
      </c>
    </row>
    <row r="80" spans="1:17" x14ac:dyDescent="0.2">
      <c r="A80" s="71">
        <f t="shared" si="28"/>
        <v>12.5</v>
      </c>
      <c r="B80" s="74">
        <f t="shared" si="29"/>
        <v>8.4134615384615383</v>
      </c>
      <c r="C80" s="72">
        <f t="shared" si="30"/>
        <v>0</v>
      </c>
      <c r="D80" s="70">
        <f t="shared" si="31"/>
        <v>107.69846562372337</v>
      </c>
      <c r="E80" s="70">
        <f t="shared" si="37"/>
        <v>26.354448058511128</v>
      </c>
      <c r="F80" s="72">
        <f t="shared" si="32"/>
        <v>0.22</v>
      </c>
      <c r="G80" s="70">
        <f t="shared" si="38"/>
        <v>0.22</v>
      </c>
      <c r="H80" s="72">
        <f t="shared" si="33"/>
        <v>0.22</v>
      </c>
      <c r="I80" s="73">
        <f t="shared" si="39"/>
        <v>5.463286713286744E-4</v>
      </c>
      <c r="J80" s="80">
        <f t="shared" si="44"/>
        <v>3.8243006993006999E-2</v>
      </c>
      <c r="K80" s="214">
        <f t="shared" si="40"/>
        <v>38.243006993007</v>
      </c>
      <c r="L80" s="164">
        <f t="shared" si="41"/>
        <v>1</v>
      </c>
      <c r="M80" s="71">
        <f t="shared" si="34"/>
        <v>13.177224029255564</v>
      </c>
      <c r="N80" s="71">
        <f t="shared" si="42"/>
        <v>4.911704881656832E-4</v>
      </c>
      <c r="O80" s="71">
        <f t="shared" si="43"/>
        <v>0.89903846153846156</v>
      </c>
      <c r="P80" s="71">
        <f t="shared" si="35"/>
        <v>1.1442307692307692</v>
      </c>
      <c r="Q80" s="71">
        <f t="shared" si="36"/>
        <v>0.65384615384615385</v>
      </c>
    </row>
    <row r="81" spans="1:17" x14ac:dyDescent="0.2">
      <c r="A81" s="71">
        <f t="shared" si="28"/>
        <v>12.5</v>
      </c>
      <c r="B81" s="74">
        <f t="shared" si="29"/>
        <v>8.5336538461538467</v>
      </c>
      <c r="C81" s="72">
        <f t="shared" si="30"/>
        <v>0</v>
      </c>
      <c r="D81" s="70">
        <f t="shared" si="31"/>
        <v>106.93360548386322</v>
      </c>
      <c r="E81" s="70">
        <f t="shared" si="37"/>
        <v>26.960230231083095</v>
      </c>
      <c r="F81" s="72">
        <f t="shared" si="32"/>
        <v>0.22</v>
      </c>
      <c r="G81" s="70">
        <f t="shared" si="38"/>
        <v>0.22</v>
      </c>
      <c r="H81" s="72">
        <f t="shared" si="33"/>
        <v>0.22</v>
      </c>
      <c r="I81" s="73">
        <f t="shared" si="39"/>
        <v>5.463286713286744E-4</v>
      </c>
      <c r="J81" s="80">
        <f t="shared" si="44"/>
        <v>3.8789335664335671E-2</v>
      </c>
      <c r="K81" s="214">
        <f t="shared" si="40"/>
        <v>38.789335664335674</v>
      </c>
      <c r="L81" s="164">
        <f t="shared" si="41"/>
        <v>1</v>
      </c>
      <c r="M81" s="71">
        <f t="shared" si="34"/>
        <v>13.480115115541548</v>
      </c>
      <c r="N81" s="71">
        <f t="shared" si="42"/>
        <v>4.767242973372807E-4</v>
      </c>
      <c r="O81" s="71">
        <f t="shared" si="43"/>
        <v>0.87259615384615374</v>
      </c>
      <c r="P81" s="71">
        <f t="shared" si="35"/>
        <v>1.1105769230769229</v>
      </c>
      <c r="Q81" s="71">
        <f t="shared" si="36"/>
        <v>0.63461538461538458</v>
      </c>
    </row>
    <row r="82" spans="1:17" x14ac:dyDescent="0.2">
      <c r="A82" s="71">
        <f t="shared" si="28"/>
        <v>12.5</v>
      </c>
      <c r="B82" s="74">
        <f t="shared" si="29"/>
        <v>8.6538461538461533</v>
      </c>
      <c r="C82" s="72">
        <f t="shared" si="30"/>
        <v>0</v>
      </c>
      <c r="D82" s="70">
        <f t="shared" si="31"/>
        <v>106.1687453440031</v>
      </c>
      <c r="E82" s="70">
        <f t="shared" si="37"/>
        <v>27.603873789440801</v>
      </c>
      <c r="F82" s="72">
        <f t="shared" si="32"/>
        <v>0.22</v>
      </c>
      <c r="G82" s="70">
        <f t="shared" si="38"/>
        <v>0.22</v>
      </c>
      <c r="H82" s="72">
        <f t="shared" si="33"/>
        <v>0.22</v>
      </c>
      <c r="I82" s="73">
        <f t="shared" si="39"/>
        <v>5.4632867132866638E-4</v>
      </c>
      <c r="J82" s="80">
        <f t="shared" si="44"/>
        <v>3.9335664335664336E-2</v>
      </c>
      <c r="K82" s="214">
        <f t="shared" si="40"/>
        <v>39.335664335664333</v>
      </c>
      <c r="L82" s="164">
        <f t="shared" si="41"/>
        <v>1</v>
      </c>
      <c r="M82" s="71">
        <f t="shared" si="34"/>
        <v>13.8019368947204</v>
      </c>
      <c r="N82" s="71">
        <f t="shared" si="42"/>
        <v>4.622781065088716E-4</v>
      </c>
      <c r="O82" s="71">
        <f t="shared" si="43"/>
        <v>0.84615384615384626</v>
      </c>
      <c r="P82" s="71">
        <f t="shared" si="35"/>
        <v>1.0769230769230769</v>
      </c>
      <c r="Q82" s="71">
        <f t="shared" si="36"/>
        <v>0.61538461538461553</v>
      </c>
    </row>
    <row r="83" spans="1:17" x14ac:dyDescent="0.2">
      <c r="A83" s="71">
        <f t="shared" si="28"/>
        <v>12.5</v>
      </c>
      <c r="B83" s="74">
        <f t="shared" si="29"/>
        <v>8.7740384615384617</v>
      </c>
      <c r="C83" s="72">
        <f t="shared" si="30"/>
        <v>0</v>
      </c>
      <c r="D83" s="70">
        <f t="shared" si="31"/>
        <v>105.40388520414294</v>
      </c>
      <c r="E83" s="70">
        <f t="shared" si="37"/>
        <v>28.289042738660299</v>
      </c>
      <c r="F83" s="72">
        <f t="shared" si="32"/>
        <v>0.22</v>
      </c>
      <c r="G83" s="70">
        <f t="shared" si="38"/>
        <v>0.22</v>
      </c>
      <c r="H83" s="72">
        <f t="shared" si="33"/>
        <v>0.22</v>
      </c>
      <c r="I83" s="73">
        <f t="shared" si="39"/>
        <v>5.463286713286744E-4</v>
      </c>
      <c r="J83" s="80">
        <f t="shared" si="44"/>
        <v>3.9881993006993008E-2</v>
      </c>
      <c r="K83" s="214">
        <f t="shared" si="40"/>
        <v>39.881993006993007</v>
      </c>
      <c r="L83" s="164">
        <f t="shared" si="41"/>
        <v>1</v>
      </c>
      <c r="M83" s="71">
        <f t="shared" si="34"/>
        <v>14.14452136933015</v>
      </c>
      <c r="N83" s="71">
        <f t="shared" si="42"/>
        <v>4.4783191568047588E-4</v>
      </c>
      <c r="O83" s="71">
        <f t="shared" si="43"/>
        <v>0.81971153846153844</v>
      </c>
      <c r="P83" s="71">
        <f t="shared" si="35"/>
        <v>1.0432692307692306</v>
      </c>
      <c r="Q83" s="71">
        <f t="shared" si="36"/>
        <v>0.59615384615384615</v>
      </c>
    </row>
    <row r="84" spans="1:17" x14ac:dyDescent="0.2">
      <c r="A84" s="71">
        <f t="shared" si="28"/>
        <v>12.5</v>
      </c>
      <c r="B84" s="74">
        <f t="shared" si="29"/>
        <v>8.8942307692307701</v>
      </c>
      <c r="C84" s="72">
        <f t="shared" si="30"/>
        <v>0</v>
      </c>
      <c r="D84" s="70">
        <f t="shared" si="31"/>
        <v>104.63902506428281</v>
      </c>
      <c r="E84" s="70">
        <f t="shared" si="37"/>
        <v>29.019889617827772</v>
      </c>
      <c r="F84" s="72">
        <f t="shared" si="32"/>
        <v>0.22</v>
      </c>
      <c r="G84" s="70">
        <f t="shared" si="38"/>
        <v>0.22</v>
      </c>
      <c r="H84" s="72">
        <f t="shared" si="33"/>
        <v>0.22</v>
      </c>
      <c r="I84" s="73">
        <f t="shared" si="39"/>
        <v>5.463286713286744E-4</v>
      </c>
      <c r="J84" s="80">
        <f t="shared" si="44"/>
        <v>4.042832167832168E-2</v>
      </c>
      <c r="K84" s="214">
        <f t="shared" si="40"/>
        <v>40.42832167832168</v>
      </c>
      <c r="L84" s="164">
        <f t="shared" si="41"/>
        <v>1</v>
      </c>
      <c r="M84" s="71">
        <f t="shared" si="34"/>
        <v>14.509944808913886</v>
      </c>
      <c r="N84" s="71">
        <f t="shared" si="42"/>
        <v>4.3338572485207333E-4</v>
      </c>
      <c r="O84" s="71">
        <f t="shared" si="43"/>
        <v>0.79326923076923062</v>
      </c>
      <c r="P84" s="71">
        <f t="shared" si="35"/>
        <v>1.0096153846153844</v>
      </c>
      <c r="Q84" s="71">
        <f t="shared" si="36"/>
        <v>0.57692307692307676</v>
      </c>
    </row>
    <row r="85" spans="1:17" x14ac:dyDescent="0.2">
      <c r="A85" s="71">
        <f t="shared" si="28"/>
        <v>12.5</v>
      </c>
      <c r="B85" s="74">
        <f t="shared" si="29"/>
        <v>9.0144230769230766</v>
      </c>
      <c r="C85" s="72">
        <f t="shared" si="30"/>
        <v>0</v>
      </c>
      <c r="D85" s="70">
        <f t="shared" si="31"/>
        <v>103.87416492442267</v>
      </c>
      <c r="E85" s="70">
        <f t="shared" si="37"/>
        <v>29.80113973004126</v>
      </c>
      <c r="F85" s="72">
        <f t="shared" si="32"/>
        <v>0.22</v>
      </c>
      <c r="G85" s="70">
        <f t="shared" si="38"/>
        <v>0.22</v>
      </c>
      <c r="H85" s="72">
        <f t="shared" si="33"/>
        <v>0.22</v>
      </c>
      <c r="I85" s="73">
        <f t="shared" si="39"/>
        <v>5.4632867132866638E-4</v>
      </c>
      <c r="J85" s="80">
        <f t="shared" si="44"/>
        <v>4.0974650349650345E-2</v>
      </c>
      <c r="K85" s="214">
        <f t="shared" si="40"/>
        <v>40.974650349650346</v>
      </c>
      <c r="L85" s="164">
        <f t="shared" si="41"/>
        <v>1</v>
      </c>
      <c r="M85" s="71">
        <f t="shared" si="34"/>
        <v>14.90056986502063</v>
      </c>
      <c r="N85" s="71">
        <f t="shared" si="42"/>
        <v>4.1893953402366487E-4</v>
      </c>
      <c r="O85" s="71">
        <f t="shared" si="43"/>
        <v>0.76682692307692313</v>
      </c>
      <c r="P85" s="71">
        <f t="shared" si="35"/>
        <v>0.97596153846153844</v>
      </c>
      <c r="Q85" s="71">
        <f t="shared" si="36"/>
        <v>0.55769230769230771</v>
      </c>
    </row>
    <row r="86" spans="1:17" x14ac:dyDescent="0.2">
      <c r="A86" s="71">
        <f t="shared" si="28"/>
        <v>12.5</v>
      </c>
      <c r="B86" s="74">
        <f t="shared" si="29"/>
        <v>9.1346153846153832</v>
      </c>
      <c r="C86" s="72">
        <f t="shared" si="30"/>
        <v>0</v>
      </c>
      <c r="D86" s="70">
        <f t="shared" si="31"/>
        <v>103.10930478456254</v>
      </c>
      <c r="E86" s="70">
        <f t="shared" si="37"/>
        <v>30.638193421698571</v>
      </c>
      <c r="F86" s="72">
        <f t="shared" si="32"/>
        <v>0.22</v>
      </c>
      <c r="G86" s="70">
        <f t="shared" si="38"/>
        <v>0.22</v>
      </c>
      <c r="H86" s="72">
        <f t="shared" si="33"/>
        <v>0.22</v>
      </c>
      <c r="I86" s="73">
        <f t="shared" si="39"/>
        <v>5.4632867132866638E-4</v>
      </c>
      <c r="J86" s="80">
        <f t="shared" si="44"/>
        <v>4.152097902097901E-2</v>
      </c>
      <c r="K86" s="214">
        <f t="shared" si="40"/>
        <v>41.520979020979013</v>
      </c>
      <c r="L86" s="164">
        <f t="shared" si="41"/>
        <v>1</v>
      </c>
      <c r="M86" s="71">
        <f t="shared" si="34"/>
        <v>15.319096710849285</v>
      </c>
      <c r="N86" s="71">
        <f t="shared" si="42"/>
        <v>4.0449334319526275E-4</v>
      </c>
      <c r="O86" s="71">
        <f t="shared" si="43"/>
        <v>0.74038461538461564</v>
      </c>
      <c r="P86" s="71">
        <f t="shared" si="35"/>
        <v>0.94230769230769262</v>
      </c>
      <c r="Q86" s="71">
        <f t="shared" si="36"/>
        <v>0.53846153846153866</v>
      </c>
    </row>
    <row r="87" spans="1:17" x14ac:dyDescent="0.2">
      <c r="A87" s="71">
        <f t="shared" si="28"/>
        <v>12.5</v>
      </c>
      <c r="B87" s="74">
        <f t="shared" si="29"/>
        <v>9.2548076923076934</v>
      </c>
      <c r="C87" s="72">
        <f t="shared" si="30"/>
        <v>0</v>
      </c>
      <c r="D87" s="70">
        <f t="shared" si="31"/>
        <v>102.34444464470238</v>
      </c>
      <c r="E87" s="70">
        <f t="shared" si="37"/>
        <v>31.537251090515706</v>
      </c>
      <c r="F87" s="72">
        <f t="shared" si="32"/>
        <v>0.22</v>
      </c>
      <c r="G87" s="70">
        <f t="shared" si="38"/>
        <v>0.22</v>
      </c>
      <c r="H87" s="72">
        <f t="shared" si="33"/>
        <v>0.22</v>
      </c>
      <c r="I87" s="73">
        <f t="shared" si="39"/>
        <v>5.4632867132868254E-4</v>
      </c>
      <c r="J87" s="80">
        <f t="shared" si="44"/>
        <v>4.2067307692307696E-2</v>
      </c>
      <c r="K87" s="214">
        <f t="shared" si="40"/>
        <v>42.067307692307693</v>
      </c>
      <c r="L87" s="164">
        <f t="shared" si="41"/>
        <v>1</v>
      </c>
      <c r="M87" s="71">
        <f t="shared" si="34"/>
        <v>15.768625545257855</v>
      </c>
      <c r="N87" s="71">
        <f t="shared" si="42"/>
        <v>3.9004715236687175E-4</v>
      </c>
      <c r="O87" s="71">
        <f t="shared" si="43"/>
        <v>0.71394230769230749</v>
      </c>
      <c r="P87" s="71">
        <f t="shared" si="35"/>
        <v>0.9086538461538457</v>
      </c>
      <c r="Q87" s="71">
        <f t="shared" si="36"/>
        <v>0.51923076923076905</v>
      </c>
    </row>
    <row r="88" spans="1:17" x14ac:dyDescent="0.2">
      <c r="A88" s="71">
        <f t="shared" si="28"/>
        <v>12.5</v>
      </c>
      <c r="B88" s="74">
        <f t="shared" si="29"/>
        <v>9.375</v>
      </c>
      <c r="C88" s="72">
        <f t="shared" si="30"/>
        <v>0</v>
      </c>
      <c r="D88" s="70">
        <f t="shared" si="31"/>
        <v>101.57958450484224</v>
      </c>
      <c r="E88" s="70">
        <f t="shared" si="37"/>
        <v>32.505467041549515</v>
      </c>
      <c r="F88" s="72">
        <f t="shared" si="32"/>
        <v>0.22</v>
      </c>
      <c r="G88" s="70">
        <f t="shared" si="38"/>
        <v>0.22</v>
      </c>
      <c r="H88" s="72">
        <f t="shared" si="33"/>
        <v>0.22</v>
      </c>
      <c r="I88" s="73">
        <f t="shared" si="39"/>
        <v>5.4632867132866638E-4</v>
      </c>
      <c r="J88" s="80">
        <f t="shared" si="44"/>
        <v>4.261363636363636E-2</v>
      </c>
      <c r="K88" s="214">
        <f t="shared" si="40"/>
        <v>42.61363636363636</v>
      </c>
      <c r="L88" s="164">
        <f t="shared" si="41"/>
        <v>1</v>
      </c>
      <c r="M88" s="71">
        <f t="shared" si="34"/>
        <v>16.252733520774758</v>
      </c>
      <c r="N88" s="71">
        <f t="shared" si="42"/>
        <v>3.7560096153845814E-4</v>
      </c>
      <c r="O88" s="71">
        <f t="shared" si="43"/>
        <v>0.6875</v>
      </c>
      <c r="P88" s="71">
        <f t="shared" si="35"/>
        <v>0.87499999999999989</v>
      </c>
      <c r="Q88" s="71">
        <f t="shared" si="36"/>
        <v>0.5</v>
      </c>
    </row>
    <row r="89" spans="1:17" x14ac:dyDescent="0.2">
      <c r="A89" s="71">
        <f t="shared" si="28"/>
        <v>12.5</v>
      </c>
      <c r="B89" s="74">
        <f t="shared" si="29"/>
        <v>9.4951923076923066</v>
      </c>
      <c r="C89" s="72">
        <f t="shared" si="30"/>
        <v>0</v>
      </c>
      <c r="D89" s="70">
        <f t="shared" si="31"/>
        <v>100.81472436498211</v>
      </c>
      <c r="E89" s="70">
        <f t="shared" si="37"/>
        <v>33.551140268666032</v>
      </c>
      <c r="F89" s="72">
        <f t="shared" si="32"/>
        <v>0.22</v>
      </c>
      <c r="G89" s="70">
        <f t="shared" si="38"/>
        <v>0.22</v>
      </c>
      <c r="H89" s="72">
        <f t="shared" si="33"/>
        <v>0.22</v>
      </c>
      <c r="I89" s="73">
        <f t="shared" si="39"/>
        <v>5.4632867132866638E-4</v>
      </c>
      <c r="J89" s="80">
        <f t="shared" si="44"/>
        <v>4.3159965034965025E-2</v>
      </c>
      <c r="K89" s="214">
        <f t="shared" si="40"/>
        <v>43.159965034965026</v>
      </c>
      <c r="L89" s="164">
        <f t="shared" si="41"/>
        <v>1</v>
      </c>
      <c r="M89" s="71">
        <f t="shared" si="34"/>
        <v>16.775570134333016</v>
      </c>
      <c r="N89" s="71">
        <f t="shared" si="42"/>
        <v>3.6115477071005603E-4</v>
      </c>
      <c r="O89" s="71">
        <f t="shared" si="43"/>
        <v>0.66105769230769251</v>
      </c>
      <c r="P89" s="71">
        <f t="shared" si="35"/>
        <v>0.84134615384615408</v>
      </c>
      <c r="Q89" s="71">
        <f t="shared" si="36"/>
        <v>0.48076923076923095</v>
      </c>
    </row>
    <row r="90" spans="1:17" x14ac:dyDescent="0.2">
      <c r="A90" s="71">
        <f t="shared" si="28"/>
        <v>12.5</v>
      </c>
      <c r="B90" s="74">
        <f t="shared" si="29"/>
        <v>9.6153846153846168</v>
      </c>
      <c r="C90" s="72">
        <f t="shared" si="30"/>
        <v>0</v>
      </c>
      <c r="D90" s="70">
        <f t="shared" si="31"/>
        <v>100.04986422512195</v>
      </c>
      <c r="E90" s="70">
        <f t="shared" si="37"/>
        <v>34.683952931375629</v>
      </c>
      <c r="F90" s="72">
        <f t="shared" si="32"/>
        <v>0.22</v>
      </c>
      <c r="G90" s="70">
        <f t="shared" si="38"/>
        <v>0.22</v>
      </c>
      <c r="H90" s="72">
        <f t="shared" si="33"/>
        <v>0.22</v>
      </c>
      <c r="I90" s="73">
        <f t="shared" si="39"/>
        <v>5.4632867132868254E-4</v>
      </c>
      <c r="J90" s="80">
        <f t="shared" si="44"/>
        <v>4.3706293706293711E-2</v>
      </c>
      <c r="K90" s="214">
        <f t="shared" si="40"/>
        <v>43.706293706293714</v>
      </c>
      <c r="L90" s="164">
        <f t="shared" si="41"/>
        <v>1</v>
      </c>
      <c r="M90" s="71">
        <f t="shared" si="34"/>
        <v>17.341976465687814</v>
      </c>
      <c r="N90" s="71">
        <f t="shared" si="42"/>
        <v>3.4670857988166373E-4</v>
      </c>
      <c r="O90" s="71">
        <f t="shared" si="43"/>
        <v>0.63461538461538436</v>
      </c>
      <c r="P90" s="71">
        <f t="shared" si="35"/>
        <v>0.80769230769230727</v>
      </c>
      <c r="Q90" s="71">
        <f t="shared" si="36"/>
        <v>0.46153846153846134</v>
      </c>
    </row>
    <row r="91" spans="1:17" x14ac:dyDescent="0.2">
      <c r="A91" s="71">
        <f t="shared" si="28"/>
        <v>12.5</v>
      </c>
      <c r="B91" s="74">
        <f t="shared" si="29"/>
        <v>9.7355769230769234</v>
      </c>
      <c r="C91" s="72">
        <f t="shared" si="30"/>
        <v>0</v>
      </c>
      <c r="D91" s="70">
        <f t="shared" si="31"/>
        <v>99.285004085261818</v>
      </c>
      <c r="E91" s="70">
        <f t="shared" si="37"/>
        <v>35.915271043016453</v>
      </c>
      <c r="F91" s="72">
        <f t="shared" si="32"/>
        <v>0.22</v>
      </c>
      <c r="G91" s="70">
        <f t="shared" si="38"/>
        <v>0.22</v>
      </c>
      <c r="H91" s="72">
        <f t="shared" si="33"/>
        <v>0.22</v>
      </c>
      <c r="I91" s="73">
        <f t="shared" si="39"/>
        <v>5.4632867132866638E-4</v>
      </c>
      <c r="J91" s="80">
        <f t="shared" si="44"/>
        <v>4.4252622377622376E-2</v>
      </c>
      <c r="K91" s="214">
        <f t="shared" si="40"/>
        <v>44.252622377622373</v>
      </c>
      <c r="L91" s="164">
        <f t="shared" si="41"/>
        <v>1</v>
      </c>
      <c r="M91" s="71">
        <f t="shared" si="34"/>
        <v>17.95763552150823</v>
      </c>
      <c r="N91" s="71">
        <f t="shared" si="42"/>
        <v>3.3226238905325136E-4</v>
      </c>
      <c r="O91" s="71">
        <f t="shared" si="43"/>
        <v>0.60817307692307687</v>
      </c>
      <c r="P91" s="71">
        <f t="shared" si="35"/>
        <v>0.77403846153846134</v>
      </c>
      <c r="Q91" s="71">
        <f t="shared" si="36"/>
        <v>0.44230769230769229</v>
      </c>
    </row>
    <row r="92" spans="1:17" x14ac:dyDescent="0.2">
      <c r="A92" s="71">
        <f t="shared" si="28"/>
        <v>12.5</v>
      </c>
      <c r="B92" s="74">
        <f t="shared" si="29"/>
        <v>9.8557692307692299</v>
      </c>
      <c r="C92" s="72">
        <f t="shared" si="30"/>
        <v>0</v>
      </c>
      <c r="D92" s="70">
        <f t="shared" si="31"/>
        <v>98.520143945401685</v>
      </c>
      <c r="E92" s="70">
        <f t="shared" si="37"/>
        <v>37.258527164806445</v>
      </c>
      <c r="F92" s="72">
        <f t="shared" si="32"/>
        <v>0.22</v>
      </c>
      <c r="G92" s="70">
        <f t="shared" si="38"/>
        <v>0.22</v>
      </c>
      <c r="H92" s="72">
        <f t="shared" si="33"/>
        <v>0.22</v>
      </c>
      <c r="I92" s="73">
        <f t="shared" si="39"/>
        <v>5.4632867132866638E-4</v>
      </c>
      <c r="J92" s="80">
        <f t="shared" si="44"/>
        <v>4.4798951048951041E-2</v>
      </c>
      <c r="K92" s="214">
        <f t="shared" si="40"/>
        <v>44.798951048951039</v>
      </c>
      <c r="L92" s="164">
        <f t="shared" si="41"/>
        <v>1</v>
      </c>
      <c r="M92" s="71">
        <f t="shared" si="34"/>
        <v>18.629263582403222</v>
      </c>
      <c r="N92" s="71">
        <f t="shared" si="42"/>
        <v>3.178161982248493E-4</v>
      </c>
      <c r="O92" s="71">
        <f t="shared" si="43"/>
        <v>0.58173076923076938</v>
      </c>
      <c r="P92" s="71">
        <f t="shared" si="35"/>
        <v>0.74038461538461553</v>
      </c>
      <c r="Q92" s="71">
        <f t="shared" si="36"/>
        <v>0.42307692307692324</v>
      </c>
    </row>
    <row r="93" spans="1:17" x14ac:dyDescent="0.2">
      <c r="A93" s="71">
        <f t="shared" si="28"/>
        <v>12.5</v>
      </c>
      <c r="B93" s="74">
        <f t="shared" si="29"/>
        <v>9.9759615384615383</v>
      </c>
      <c r="C93" s="72">
        <f t="shared" si="30"/>
        <v>0</v>
      </c>
      <c r="D93" s="70">
        <f t="shared" si="31"/>
        <v>97.755283805541552</v>
      </c>
      <c r="E93" s="70">
        <f t="shared" si="37"/>
        <v>38.729712441052648</v>
      </c>
      <c r="F93" s="72">
        <f t="shared" si="32"/>
        <v>0.22</v>
      </c>
      <c r="G93" s="70">
        <f t="shared" si="38"/>
        <v>0.22</v>
      </c>
      <c r="H93" s="72">
        <f t="shared" si="33"/>
        <v>0.22</v>
      </c>
      <c r="I93" s="73">
        <f t="shared" si="39"/>
        <v>5.463286713286744E-4</v>
      </c>
      <c r="J93" s="80">
        <f t="shared" si="44"/>
        <v>4.5345279720279713E-2</v>
      </c>
      <c r="K93" s="214">
        <f t="shared" si="40"/>
        <v>45.345279720279713</v>
      </c>
      <c r="L93" s="164">
        <f t="shared" si="41"/>
        <v>1</v>
      </c>
      <c r="M93" s="71">
        <f t="shared" si="34"/>
        <v>19.364856220526324</v>
      </c>
      <c r="N93" s="71">
        <f t="shared" si="42"/>
        <v>3.0337000739645142E-4</v>
      </c>
      <c r="O93" s="71">
        <f t="shared" si="43"/>
        <v>0.55528846153846156</v>
      </c>
      <c r="P93" s="71">
        <f t="shared" si="35"/>
        <v>0.70673076923076916</v>
      </c>
      <c r="Q93" s="71">
        <f t="shared" si="36"/>
        <v>0.40384615384615385</v>
      </c>
    </row>
    <row r="94" spans="1:17" x14ac:dyDescent="0.2">
      <c r="A94" s="71">
        <f t="shared" si="28"/>
        <v>12.5</v>
      </c>
      <c r="B94" s="74">
        <f t="shared" si="29"/>
        <v>10.096153846153847</v>
      </c>
      <c r="C94" s="72">
        <f t="shared" si="30"/>
        <v>0</v>
      </c>
      <c r="D94" s="70">
        <f t="shared" si="31"/>
        <v>96.990423665681405</v>
      </c>
      <c r="E94" s="70">
        <f t="shared" si="37"/>
        <v>40.348016244923471</v>
      </c>
      <c r="F94" s="72">
        <f t="shared" si="32"/>
        <v>0.22</v>
      </c>
      <c r="G94" s="70">
        <f t="shared" si="38"/>
        <v>0.22</v>
      </c>
      <c r="H94" s="72">
        <f t="shared" si="33"/>
        <v>0.22</v>
      </c>
      <c r="I94" s="73">
        <f t="shared" si="39"/>
        <v>5.463286713286744E-4</v>
      </c>
      <c r="J94" s="80">
        <f t="shared" si="44"/>
        <v>4.5891608391608385E-2</v>
      </c>
      <c r="K94" s="214">
        <f t="shared" si="40"/>
        <v>45.891608391608386</v>
      </c>
      <c r="L94" s="164">
        <f t="shared" si="41"/>
        <v>1</v>
      </c>
      <c r="M94" s="71">
        <f t="shared" si="34"/>
        <v>20.174008122461736</v>
      </c>
      <c r="N94" s="71">
        <f t="shared" si="42"/>
        <v>2.8892381656804887E-4</v>
      </c>
      <c r="O94" s="71">
        <f t="shared" si="43"/>
        <v>0.52884615384615374</v>
      </c>
      <c r="P94" s="71">
        <f t="shared" si="35"/>
        <v>0.67307692307692291</v>
      </c>
      <c r="Q94" s="71">
        <f t="shared" si="36"/>
        <v>0.38461538461538453</v>
      </c>
    </row>
    <row r="95" spans="1:17" x14ac:dyDescent="0.2">
      <c r="A95" s="71">
        <f t="shared" si="28"/>
        <v>12.5</v>
      </c>
      <c r="B95" s="74">
        <f t="shared" si="29"/>
        <v>10.216346153846153</v>
      </c>
      <c r="C95" s="72">
        <f t="shared" si="30"/>
        <v>0</v>
      </c>
      <c r="D95" s="70">
        <f t="shared" si="31"/>
        <v>96.225563525821272</v>
      </c>
      <c r="E95" s="70">
        <f t="shared" si="37"/>
        <v>42.136667817622779</v>
      </c>
      <c r="F95" s="72">
        <f t="shared" si="32"/>
        <v>0.22</v>
      </c>
      <c r="G95" s="70">
        <f t="shared" si="38"/>
        <v>0.22</v>
      </c>
      <c r="H95" s="72">
        <f t="shared" si="33"/>
        <v>0.22</v>
      </c>
      <c r="I95" s="73">
        <f t="shared" si="39"/>
        <v>5.4632867132866638E-4</v>
      </c>
      <c r="J95" s="80">
        <f t="shared" si="44"/>
        <v>4.643793706293705E-2</v>
      </c>
      <c r="K95" s="214">
        <f t="shared" si="40"/>
        <v>46.437937062937053</v>
      </c>
      <c r="L95" s="164">
        <f t="shared" si="41"/>
        <v>1</v>
      </c>
      <c r="M95" s="71">
        <f t="shared" si="34"/>
        <v>21.06833390881139</v>
      </c>
      <c r="N95" s="71">
        <f t="shared" si="42"/>
        <v>2.7447762573964252E-4</v>
      </c>
      <c r="O95" s="71">
        <f t="shared" si="43"/>
        <v>0.50240384615384626</v>
      </c>
      <c r="P95" s="71">
        <f t="shared" si="35"/>
        <v>0.63942307692307698</v>
      </c>
      <c r="Q95" s="71">
        <f t="shared" si="36"/>
        <v>0.36538461538461547</v>
      </c>
    </row>
    <row r="96" spans="1:17" x14ac:dyDescent="0.2">
      <c r="A96" s="71">
        <f t="shared" si="28"/>
        <v>12.5</v>
      </c>
      <c r="B96" s="74">
        <f t="shared" si="29"/>
        <v>10.336538461538462</v>
      </c>
      <c r="C96" s="72">
        <f t="shared" si="30"/>
        <v>0</v>
      </c>
      <c r="D96" s="70">
        <f t="shared" si="31"/>
        <v>95.460703385961125</v>
      </c>
      <c r="E96" s="70">
        <f t="shared" si="37"/>
        <v>44.124058453955364</v>
      </c>
      <c r="F96" s="72">
        <f t="shared" si="32"/>
        <v>0.22</v>
      </c>
      <c r="G96" s="70">
        <f t="shared" si="38"/>
        <v>0.22</v>
      </c>
      <c r="H96" s="72">
        <f t="shared" si="33"/>
        <v>0.22</v>
      </c>
      <c r="I96" s="73">
        <f t="shared" si="39"/>
        <v>5.463286713286744E-4</v>
      </c>
      <c r="J96" s="80">
        <f t="shared" si="44"/>
        <v>4.6984265734265722E-2</v>
      </c>
      <c r="K96" s="214">
        <f t="shared" si="40"/>
        <v>46.984265734265719</v>
      </c>
      <c r="L96" s="164">
        <f t="shared" si="41"/>
        <v>1</v>
      </c>
      <c r="M96" s="71">
        <f t="shared" si="34"/>
        <v>22.062029226977682</v>
      </c>
      <c r="N96" s="71">
        <f t="shared" si="42"/>
        <v>2.6003143491124404E-4</v>
      </c>
      <c r="O96" s="71">
        <f t="shared" si="43"/>
        <v>0.47596153846153844</v>
      </c>
      <c r="P96" s="71">
        <f t="shared" si="35"/>
        <v>0.60576923076923062</v>
      </c>
      <c r="Q96" s="71">
        <f t="shared" si="36"/>
        <v>0.34615384615384615</v>
      </c>
    </row>
    <row r="97" spans="1:17" x14ac:dyDescent="0.2">
      <c r="A97" s="71">
        <f t="shared" si="28"/>
        <v>12.5</v>
      </c>
      <c r="B97" s="74">
        <f t="shared" si="29"/>
        <v>10.45673076923077</v>
      </c>
      <c r="C97" s="72">
        <f t="shared" si="30"/>
        <v>0</v>
      </c>
      <c r="D97" s="70">
        <f t="shared" si="31"/>
        <v>94.695843246100978</v>
      </c>
      <c r="E97" s="70">
        <f t="shared" si="37"/>
        <v>46.345259753385911</v>
      </c>
      <c r="F97" s="72">
        <f t="shared" si="32"/>
        <v>0.22</v>
      </c>
      <c r="G97" s="70">
        <f t="shared" si="38"/>
        <v>0.22</v>
      </c>
      <c r="H97" s="72">
        <f t="shared" si="33"/>
        <v>0.22</v>
      </c>
      <c r="I97" s="73">
        <f t="shared" si="39"/>
        <v>5.463286713286744E-4</v>
      </c>
      <c r="J97" s="80">
        <f t="shared" si="44"/>
        <v>4.7530594405594394E-2</v>
      </c>
      <c r="K97" s="214">
        <f t="shared" si="40"/>
        <v>47.530594405594393</v>
      </c>
      <c r="L97" s="164">
        <f t="shared" si="41"/>
        <v>1</v>
      </c>
      <c r="M97" s="71">
        <f t="shared" si="34"/>
        <v>23.172629876692955</v>
      </c>
      <c r="N97" s="71">
        <f t="shared" si="42"/>
        <v>2.4558524408284149E-4</v>
      </c>
      <c r="O97" s="71">
        <f t="shared" si="43"/>
        <v>0.44951923076923062</v>
      </c>
      <c r="P97" s="71">
        <f t="shared" si="35"/>
        <v>0.57211538461538436</v>
      </c>
      <c r="Q97" s="71">
        <f t="shared" si="36"/>
        <v>0.32692307692307682</v>
      </c>
    </row>
    <row r="98" spans="1:17" x14ac:dyDescent="0.2">
      <c r="A98" s="71">
        <f t="shared" si="28"/>
        <v>12.5</v>
      </c>
      <c r="B98" s="74">
        <f t="shared" si="29"/>
        <v>10.576923076923077</v>
      </c>
      <c r="C98" s="72">
        <f t="shared" si="30"/>
        <v>0</v>
      </c>
      <c r="D98" s="70">
        <f t="shared" si="31"/>
        <v>93.930983106240845</v>
      </c>
      <c r="E98" s="70">
        <f t="shared" si="37"/>
        <v>48.844111215245235</v>
      </c>
      <c r="F98" s="72">
        <f t="shared" si="32"/>
        <v>0.22</v>
      </c>
      <c r="G98" s="70">
        <f t="shared" si="38"/>
        <v>0.22</v>
      </c>
      <c r="H98" s="72">
        <f t="shared" si="33"/>
        <v>0.22</v>
      </c>
      <c r="I98" s="73">
        <f t="shared" si="39"/>
        <v>5.4632867132866638E-4</v>
      </c>
      <c r="J98" s="80">
        <f t="shared" si="44"/>
        <v>4.8076923076923059E-2</v>
      </c>
      <c r="K98" s="214">
        <f t="shared" si="40"/>
        <v>48.076923076923059</v>
      </c>
      <c r="L98" s="164">
        <f t="shared" si="41"/>
        <v>1</v>
      </c>
      <c r="M98" s="71">
        <f t="shared" si="34"/>
        <v>24.422055607622617</v>
      </c>
      <c r="N98" s="71">
        <f t="shared" si="42"/>
        <v>2.311390532544358E-4</v>
      </c>
      <c r="O98" s="71">
        <f t="shared" si="43"/>
        <v>0.42307692307692313</v>
      </c>
      <c r="P98" s="71">
        <f t="shared" si="35"/>
        <v>0.53846153846153844</v>
      </c>
      <c r="Q98" s="71">
        <f t="shared" si="36"/>
        <v>0.30769230769230776</v>
      </c>
    </row>
    <row r="99" spans="1:17" x14ac:dyDescent="0.2">
      <c r="A99" s="71">
        <f t="shared" si="28"/>
        <v>12.5</v>
      </c>
      <c r="B99" s="74">
        <f t="shared" si="29"/>
        <v>10.697115384615383</v>
      </c>
      <c r="C99" s="72">
        <f t="shared" si="30"/>
        <v>0</v>
      </c>
      <c r="D99" s="70">
        <f t="shared" si="31"/>
        <v>93.166122966380712</v>
      </c>
      <c r="E99" s="70">
        <f t="shared" si="37"/>
        <v>51.676142872019128</v>
      </c>
      <c r="F99" s="72">
        <f t="shared" si="32"/>
        <v>0.22</v>
      </c>
      <c r="G99" s="70">
        <f t="shared" si="38"/>
        <v>0.22</v>
      </c>
      <c r="H99" s="72">
        <f t="shared" si="33"/>
        <v>0.22</v>
      </c>
      <c r="I99" s="73">
        <f t="shared" si="39"/>
        <v>5.4632867132866638E-4</v>
      </c>
      <c r="J99" s="80">
        <f t="shared" si="44"/>
        <v>4.8623251748251724E-2</v>
      </c>
      <c r="K99" s="214">
        <f t="shared" si="40"/>
        <v>48.623251748251725</v>
      </c>
      <c r="L99" s="164">
        <f t="shared" si="41"/>
        <v>1</v>
      </c>
      <c r="M99" s="71">
        <f t="shared" si="34"/>
        <v>25.838071436009567</v>
      </c>
      <c r="N99" s="71">
        <f t="shared" si="42"/>
        <v>2.1669286242603371E-4</v>
      </c>
      <c r="O99" s="71">
        <f t="shared" si="43"/>
        <v>0.3966346153846157</v>
      </c>
      <c r="P99" s="71">
        <f t="shared" si="35"/>
        <v>0.50480769230769262</v>
      </c>
      <c r="Q99" s="71">
        <f t="shared" si="36"/>
        <v>0.28846153846153871</v>
      </c>
    </row>
    <row r="100" spans="1:17" x14ac:dyDescent="0.2">
      <c r="A100" s="71">
        <f t="shared" si="28"/>
        <v>12.5</v>
      </c>
      <c r="B100" s="74">
        <f t="shared" si="29"/>
        <v>10.817307692307693</v>
      </c>
      <c r="C100" s="72">
        <f t="shared" si="30"/>
        <v>0</v>
      </c>
      <c r="D100" s="70">
        <f t="shared" si="31"/>
        <v>92.401262826520551</v>
      </c>
      <c r="E100" s="70">
        <f t="shared" si="37"/>
        <v>54.912750479760817</v>
      </c>
      <c r="F100" s="72">
        <f t="shared" si="32"/>
        <v>0.22</v>
      </c>
      <c r="G100" s="70">
        <f t="shared" si="38"/>
        <v>0.22</v>
      </c>
      <c r="H100" s="72">
        <f t="shared" si="33"/>
        <v>0.22</v>
      </c>
      <c r="I100" s="73">
        <f t="shared" si="39"/>
        <v>5.4632867132868254E-4</v>
      </c>
      <c r="J100" s="80">
        <f t="shared" si="44"/>
        <v>4.916958041958041E-2</v>
      </c>
      <c r="K100" s="214">
        <f t="shared" si="40"/>
        <v>49.169580419580413</v>
      </c>
      <c r="L100" s="164">
        <f t="shared" si="41"/>
        <v>1</v>
      </c>
      <c r="M100" s="71">
        <f t="shared" si="34"/>
        <v>27.456375239880408</v>
      </c>
      <c r="N100" s="71">
        <f t="shared" si="42"/>
        <v>2.0224667159763715E-4</v>
      </c>
      <c r="O100" s="71">
        <f t="shared" si="43"/>
        <v>0.37019230769230743</v>
      </c>
      <c r="P100" s="71">
        <f t="shared" si="35"/>
        <v>0.47115384615384581</v>
      </c>
      <c r="Q100" s="71">
        <f t="shared" si="36"/>
        <v>0.26923076923076905</v>
      </c>
    </row>
    <row r="101" spans="1:17" x14ac:dyDescent="0.2">
      <c r="A101" s="71">
        <f t="shared" si="28"/>
        <v>12.5</v>
      </c>
      <c r="B101" s="74">
        <f t="shared" si="29"/>
        <v>10.9375</v>
      </c>
      <c r="C101" s="72">
        <f t="shared" si="30"/>
        <v>0</v>
      </c>
      <c r="D101" s="70">
        <f t="shared" si="31"/>
        <v>91.636402686660432</v>
      </c>
      <c r="E101" s="70">
        <f t="shared" si="37"/>
        <v>58.647297719462678</v>
      </c>
      <c r="F101" s="72">
        <f t="shared" si="32"/>
        <v>0.22</v>
      </c>
      <c r="G101" s="70">
        <f t="shared" si="38"/>
        <v>0.22</v>
      </c>
      <c r="H101" s="72">
        <f t="shared" si="33"/>
        <v>0.22</v>
      </c>
      <c r="I101" s="73">
        <f t="shared" si="39"/>
        <v>5.4632867132866638E-4</v>
      </c>
      <c r="J101" s="80">
        <f t="shared" si="44"/>
        <v>4.9715909090909075E-2</v>
      </c>
      <c r="K101" s="214">
        <f t="shared" si="40"/>
        <v>49.715909090909072</v>
      </c>
      <c r="L101" s="164">
        <f t="shared" si="41"/>
        <v>1</v>
      </c>
      <c r="M101" s="71">
        <f t="shared" si="34"/>
        <v>29.323648859731339</v>
      </c>
      <c r="N101" s="71">
        <f t="shared" si="42"/>
        <v>1.8780048076922907E-4</v>
      </c>
      <c r="O101" s="71">
        <f t="shared" si="43"/>
        <v>0.34375</v>
      </c>
      <c r="P101" s="71">
        <f t="shared" si="35"/>
        <v>0.43749999999999994</v>
      </c>
      <c r="Q101" s="71">
        <f t="shared" si="36"/>
        <v>0.25</v>
      </c>
    </row>
    <row r="102" spans="1:17" x14ac:dyDescent="0.2">
      <c r="A102" s="71">
        <f t="shared" si="28"/>
        <v>12.5</v>
      </c>
      <c r="B102" s="74">
        <f t="shared" si="29"/>
        <v>11.057692307692307</v>
      </c>
      <c r="C102" s="72">
        <f t="shared" si="30"/>
        <v>0</v>
      </c>
      <c r="D102" s="70">
        <f t="shared" si="31"/>
        <v>90.871542546800299</v>
      </c>
      <c r="E102" s="70">
        <f t="shared" si="37"/>
        <v>63.004269499114827</v>
      </c>
      <c r="F102" s="72">
        <f t="shared" si="32"/>
        <v>0.22</v>
      </c>
      <c r="G102" s="70">
        <f t="shared" si="38"/>
        <v>0.22</v>
      </c>
      <c r="H102" s="72">
        <f t="shared" si="33"/>
        <v>0.22</v>
      </c>
      <c r="I102" s="73">
        <f t="shared" si="39"/>
        <v>5.4632867132866638E-4</v>
      </c>
      <c r="J102" s="80">
        <f t="shared" si="44"/>
        <v>5.0262237762237739E-2</v>
      </c>
      <c r="K102" s="214">
        <f t="shared" si="40"/>
        <v>50.262237762237739</v>
      </c>
      <c r="L102" s="164">
        <f t="shared" si="41"/>
        <v>1</v>
      </c>
      <c r="M102" s="71">
        <f t="shared" si="34"/>
        <v>31.502134749557417</v>
      </c>
      <c r="N102" s="71">
        <f t="shared" si="42"/>
        <v>1.7335428994082696E-4</v>
      </c>
      <c r="O102" s="71">
        <f t="shared" si="43"/>
        <v>0.31730769230769257</v>
      </c>
      <c r="P102" s="71">
        <f t="shared" si="35"/>
        <v>0.40384615384615413</v>
      </c>
      <c r="Q102" s="71">
        <f t="shared" si="36"/>
        <v>0.23076923076923095</v>
      </c>
    </row>
    <row r="103" spans="1:17" x14ac:dyDescent="0.2">
      <c r="A103" s="71">
        <f t="shared" si="28"/>
        <v>12.5</v>
      </c>
      <c r="B103" s="74">
        <f t="shared" si="29"/>
        <v>11.177884615384617</v>
      </c>
      <c r="C103" s="72">
        <f t="shared" si="30"/>
        <v>0</v>
      </c>
      <c r="D103" s="70">
        <f t="shared" si="31"/>
        <v>90.106682406940138</v>
      </c>
      <c r="E103" s="70">
        <f t="shared" si="37"/>
        <v>68.153417965976615</v>
      </c>
      <c r="F103" s="72">
        <f t="shared" si="32"/>
        <v>0.22</v>
      </c>
      <c r="G103" s="70">
        <f t="shared" si="38"/>
        <v>0.22</v>
      </c>
      <c r="H103" s="72">
        <f t="shared" si="33"/>
        <v>0.22</v>
      </c>
      <c r="I103" s="73">
        <f t="shared" si="39"/>
        <v>5.4632867132868254E-4</v>
      </c>
      <c r="J103" s="80">
        <f t="shared" si="44"/>
        <v>5.0808566433566425E-2</v>
      </c>
      <c r="K103" s="214">
        <f t="shared" si="40"/>
        <v>50.808566433566426</v>
      </c>
      <c r="L103" s="164">
        <f t="shared" si="41"/>
        <v>1</v>
      </c>
      <c r="M103" s="71">
        <f t="shared" si="34"/>
        <v>34.076708982988308</v>
      </c>
      <c r="N103" s="71">
        <f t="shared" si="42"/>
        <v>1.5890809911242912E-4</v>
      </c>
      <c r="O103" s="71">
        <f t="shared" si="43"/>
        <v>0.2908653846153843</v>
      </c>
      <c r="P103" s="71">
        <f t="shared" si="35"/>
        <v>0.37019230769230727</v>
      </c>
      <c r="Q103" s="71">
        <f t="shared" si="36"/>
        <v>0.21153846153846131</v>
      </c>
    </row>
    <row r="104" spans="1:17" x14ac:dyDescent="0.2">
      <c r="A104" s="71">
        <f t="shared" si="28"/>
        <v>12.5</v>
      </c>
      <c r="B104" s="74">
        <f t="shared" si="29"/>
        <v>11.298076923076923</v>
      </c>
      <c r="C104" s="72">
        <f t="shared" si="30"/>
        <v>0</v>
      </c>
      <c r="D104" s="70">
        <f t="shared" si="31"/>
        <v>89.341822267080005</v>
      </c>
      <c r="E104" s="70">
        <f t="shared" si="37"/>
        <v>74.332396126210583</v>
      </c>
      <c r="F104" s="72">
        <f t="shared" si="32"/>
        <v>0.22</v>
      </c>
      <c r="G104" s="70">
        <f t="shared" si="38"/>
        <v>0.22</v>
      </c>
      <c r="H104" s="72">
        <f t="shared" si="33"/>
        <v>0.22</v>
      </c>
      <c r="I104" s="73">
        <f t="shared" si="39"/>
        <v>5.4632867132866638E-4</v>
      </c>
      <c r="J104" s="80">
        <f t="shared" si="44"/>
        <v>5.135489510489509E-2</v>
      </c>
      <c r="K104" s="214">
        <f t="shared" si="40"/>
        <v>51.354895104895093</v>
      </c>
      <c r="L104" s="164">
        <f t="shared" si="41"/>
        <v>1</v>
      </c>
      <c r="M104" s="71">
        <f t="shared" si="34"/>
        <v>37.166198063105291</v>
      </c>
      <c r="N104" s="71">
        <f t="shared" si="42"/>
        <v>1.4446190828402232E-4</v>
      </c>
      <c r="O104" s="71">
        <f t="shared" si="43"/>
        <v>0.26442307692307687</v>
      </c>
      <c r="P104" s="71">
        <f t="shared" si="35"/>
        <v>0.33653846153846145</v>
      </c>
      <c r="Q104" s="71">
        <f t="shared" si="36"/>
        <v>0.19230769230769226</v>
      </c>
    </row>
    <row r="105" spans="1:17" x14ac:dyDescent="0.2">
      <c r="A105" s="71">
        <f t="shared" si="28"/>
        <v>12.5</v>
      </c>
      <c r="B105" s="74">
        <f t="shared" si="29"/>
        <v>11.41826923076923</v>
      </c>
      <c r="C105" s="72">
        <f t="shared" si="30"/>
        <v>0</v>
      </c>
      <c r="D105" s="70">
        <f t="shared" si="31"/>
        <v>88.576962127219872</v>
      </c>
      <c r="E105" s="70">
        <f t="shared" si="37"/>
        <v>75.757575757575751</v>
      </c>
      <c r="F105" s="72">
        <f t="shared" si="32"/>
        <v>0.22</v>
      </c>
      <c r="G105" s="70">
        <f t="shared" si="38"/>
        <v>0.22</v>
      </c>
      <c r="H105" s="72">
        <f t="shared" si="33"/>
        <v>0.22</v>
      </c>
      <c r="I105" s="73">
        <f t="shared" si="39"/>
        <v>5.4632867132866638E-4</v>
      </c>
      <c r="J105" s="80">
        <f t="shared" si="44"/>
        <v>5.1901223776223755E-2</v>
      </c>
      <c r="K105" s="214">
        <f t="shared" si="40"/>
        <v>51.901223776223752</v>
      </c>
      <c r="L105" s="164">
        <f t="shared" si="41"/>
        <v>1</v>
      </c>
      <c r="M105" s="71">
        <f t="shared" si="34"/>
        <v>37.878787878787875</v>
      </c>
      <c r="N105" s="71">
        <f t="shared" si="42"/>
        <v>1.3001571745562023E-4</v>
      </c>
      <c r="O105" s="71">
        <f t="shared" si="43"/>
        <v>0.23798076923076941</v>
      </c>
      <c r="P105" s="71">
        <f t="shared" si="35"/>
        <v>0.30288461538461559</v>
      </c>
      <c r="Q105" s="71">
        <f t="shared" si="36"/>
        <v>0.17307692307692321</v>
      </c>
    </row>
    <row r="106" spans="1:17" x14ac:dyDescent="0.2">
      <c r="A106" s="71">
        <f t="shared" ref="A106:A114" si="45">VINMAX</f>
        <v>12.5</v>
      </c>
      <c r="B106" s="74">
        <f t="shared" ref="B106:B114" si="46">VINMAX*((ROW()-10)/104)</f>
        <v>11.538461538461538</v>
      </c>
      <c r="C106" s="72">
        <f t="shared" ref="C106:C110" si="47">IF(B106&gt;=$H$2,IF($D$2="CC", $G$2, B106/$G$2), 0)</f>
        <v>0</v>
      </c>
      <c r="D106" s="70">
        <f t="shared" ref="D106:D110" si="48">$B$2-B106*$J$2/($I$2*0.001)</f>
        <v>87.812101987359725</v>
      </c>
      <c r="E106" s="70">
        <f t="shared" si="37"/>
        <v>75.757575757575751</v>
      </c>
      <c r="F106" s="72">
        <f t="shared" ref="F106:F110" si="49">I_Cout_ss+C106</f>
        <v>0.22</v>
      </c>
      <c r="G106" s="70">
        <f t="shared" si="38"/>
        <v>0.22</v>
      </c>
      <c r="H106" s="72">
        <f t="shared" ref="H106:H110" si="50">G106-C106</f>
        <v>0.22</v>
      </c>
      <c r="I106" s="73">
        <f t="shared" si="39"/>
        <v>5.463286713286744E-4</v>
      </c>
      <c r="J106" s="80">
        <f t="shared" si="44"/>
        <v>5.2447552447552427E-2</v>
      </c>
      <c r="K106" s="214">
        <f t="shared" si="40"/>
        <v>52.447552447552425</v>
      </c>
      <c r="L106" s="164">
        <f t="shared" si="41"/>
        <v>1</v>
      </c>
      <c r="M106" s="71">
        <f t="shared" ref="M106:M114" si="51">1/COUTMAX*(E106/2-C106)*1000</f>
        <v>37.878787878787875</v>
      </c>
      <c r="N106" s="71">
        <f t="shared" si="42"/>
        <v>1.1556952662721959E-4</v>
      </c>
      <c r="O106" s="71">
        <f t="shared" si="43"/>
        <v>0.21153846153846156</v>
      </c>
      <c r="P106" s="71">
        <f t="shared" ref="P106:P114" si="52">(A106-B106)*(I_Cout_ss*$Q$2+C106)</f>
        <v>0.26923076923076922</v>
      </c>
      <c r="Q106" s="71">
        <f t="shared" ref="Q106:Q114" si="53">(A106-B106)*(I_Cout_ss*$R$2+C106)</f>
        <v>0.15384615384615388</v>
      </c>
    </row>
    <row r="107" spans="1:17" x14ac:dyDescent="0.2">
      <c r="A107" s="71">
        <f t="shared" si="45"/>
        <v>12.5</v>
      </c>
      <c r="B107" s="74">
        <f t="shared" si="46"/>
        <v>11.658653846153847</v>
      </c>
      <c r="C107" s="72">
        <f t="shared" si="47"/>
        <v>0</v>
      </c>
      <c r="D107" s="70">
        <f t="shared" si="48"/>
        <v>87.047241847499592</v>
      </c>
      <c r="E107" s="70">
        <f t="shared" si="37"/>
        <v>75.757575757575751</v>
      </c>
      <c r="F107" s="72">
        <f t="shared" si="49"/>
        <v>0.22</v>
      </c>
      <c r="G107" s="70">
        <f t="shared" si="38"/>
        <v>0.22</v>
      </c>
      <c r="H107" s="72">
        <f t="shared" si="50"/>
        <v>0.22</v>
      </c>
      <c r="I107" s="73">
        <f t="shared" ref="I107:I110" si="54">(COUTMAX/1000000)*(B107-B106)/H107</f>
        <v>5.463286713286744E-4</v>
      </c>
      <c r="J107" s="80">
        <f t="shared" si="44"/>
        <v>5.2993881118881099E-2</v>
      </c>
      <c r="K107" s="214">
        <f t="shared" si="40"/>
        <v>52.993881118881099</v>
      </c>
      <c r="L107" s="164">
        <f t="shared" si="41"/>
        <v>1</v>
      </c>
      <c r="M107" s="71">
        <f t="shared" si="51"/>
        <v>37.878787878787875</v>
      </c>
      <c r="N107" s="71">
        <f t="shared" si="42"/>
        <v>1.0112333579881707E-4</v>
      </c>
      <c r="O107" s="71">
        <f t="shared" si="43"/>
        <v>0.18509615384615372</v>
      </c>
      <c r="P107" s="71">
        <f t="shared" si="52"/>
        <v>0.23557692307692291</v>
      </c>
      <c r="Q107" s="71">
        <f t="shared" si="53"/>
        <v>0.13461538461538453</v>
      </c>
    </row>
    <row r="108" spans="1:17" x14ac:dyDescent="0.2">
      <c r="A108" s="71">
        <f t="shared" si="45"/>
        <v>12.5</v>
      </c>
      <c r="B108" s="74">
        <f t="shared" si="46"/>
        <v>11.778846153846153</v>
      </c>
      <c r="C108" s="72">
        <f t="shared" si="47"/>
        <v>0</v>
      </c>
      <c r="D108" s="70">
        <f t="shared" si="48"/>
        <v>86.282381707639459</v>
      </c>
      <c r="E108" s="70">
        <f t="shared" si="37"/>
        <v>75.757575757575751</v>
      </c>
      <c r="F108" s="72">
        <f t="shared" si="49"/>
        <v>0.22</v>
      </c>
      <c r="G108" s="70">
        <f t="shared" si="38"/>
        <v>0.22</v>
      </c>
      <c r="H108" s="72">
        <f t="shared" si="50"/>
        <v>0.22</v>
      </c>
      <c r="I108" s="73">
        <f t="shared" si="54"/>
        <v>5.4632867132866638E-4</v>
      </c>
      <c r="J108" s="80">
        <f t="shared" si="44"/>
        <v>5.3540209790209764E-2</v>
      </c>
      <c r="K108" s="214">
        <f t="shared" si="40"/>
        <v>53.540209790209765</v>
      </c>
      <c r="L108" s="164">
        <f t="shared" si="41"/>
        <v>1</v>
      </c>
      <c r="M108" s="71">
        <f t="shared" si="51"/>
        <v>37.878787878787875</v>
      </c>
      <c r="N108" s="71">
        <f t="shared" si="42"/>
        <v>8.6677144970413478E-5</v>
      </c>
      <c r="O108" s="71">
        <f t="shared" si="43"/>
        <v>0.15865384615384628</v>
      </c>
      <c r="P108" s="71">
        <f t="shared" si="52"/>
        <v>0.20192307692307707</v>
      </c>
      <c r="Q108" s="71">
        <f t="shared" si="53"/>
        <v>0.11538461538461547</v>
      </c>
    </row>
    <row r="109" spans="1:17" x14ac:dyDescent="0.2">
      <c r="A109" s="71">
        <f t="shared" si="45"/>
        <v>12.5</v>
      </c>
      <c r="B109" s="74">
        <f t="shared" si="46"/>
        <v>11.899038461538462</v>
      </c>
      <c r="C109" s="72">
        <f t="shared" si="47"/>
        <v>0</v>
      </c>
      <c r="D109" s="70">
        <f t="shared" si="48"/>
        <v>85.517521567779312</v>
      </c>
      <c r="E109" s="70">
        <f t="shared" si="37"/>
        <v>75.757575757575751</v>
      </c>
      <c r="F109" s="72">
        <f t="shared" si="49"/>
        <v>0.22</v>
      </c>
      <c r="G109" s="70">
        <f t="shared" si="38"/>
        <v>0.22</v>
      </c>
      <c r="H109" s="72">
        <f t="shared" si="50"/>
        <v>0.22</v>
      </c>
      <c r="I109" s="73">
        <f t="shared" si="54"/>
        <v>5.463286713286744E-4</v>
      </c>
      <c r="J109" s="80">
        <f t="shared" si="44"/>
        <v>5.4086538461538436E-2</v>
      </c>
      <c r="K109" s="214">
        <f t="shared" si="40"/>
        <v>54.086538461538439</v>
      </c>
      <c r="L109" s="164">
        <f t="shared" si="41"/>
        <v>1</v>
      </c>
      <c r="M109" s="71">
        <f t="shared" si="51"/>
        <v>37.878787878787875</v>
      </c>
      <c r="N109" s="71">
        <f t="shared" si="42"/>
        <v>7.2230954142012217E-5</v>
      </c>
      <c r="O109" s="71">
        <f t="shared" si="43"/>
        <v>0.13221153846153844</v>
      </c>
      <c r="P109" s="71">
        <f t="shared" si="52"/>
        <v>0.16826923076923073</v>
      </c>
      <c r="Q109" s="71">
        <f t="shared" si="53"/>
        <v>9.6153846153846131E-2</v>
      </c>
    </row>
    <row r="110" spans="1:17" x14ac:dyDescent="0.2">
      <c r="A110" s="71">
        <f t="shared" si="45"/>
        <v>12.5</v>
      </c>
      <c r="B110" s="74">
        <f t="shared" si="46"/>
        <v>12.01923076923077</v>
      </c>
      <c r="C110" s="72">
        <f t="shared" si="47"/>
        <v>0</v>
      </c>
      <c r="D110" s="70">
        <f t="shared" si="48"/>
        <v>84.752661427919165</v>
      </c>
      <c r="E110" s="70">
        <f t="shared" si="37"/>
        <v>75.757575757575751</v>
      </c>
      <c r="F110" s="72">
        <f t="shared" si="49"/>
        <v>0.22</v>
      </c>
      <c r="G110" s="70">
        <f t="shared" si="38"/>
        <v>0.22</v>
      </c>
      <c r="H110" s="72">
        <f t="shared" si="50"/>
        <v>0.22</v>
      </c>
      <c r="I110" s="73">
        <f t="shared" si="54"/>
        <v>5.463286713286744E-4</v>
      </c>
      <c r="J110" s="80">
        <f t="shared" si="44"/>
        <v>5.4632867132867108E-2</v>
      </c>
      <c r="K110" s="214">
        <f t="shared" si="40"/>
        <v>54.632867132867105</v>
      </c>
      <c r="L110" s="164">
        <f t="shared" si="41"/>
        <v>1</v>
      </c>
      <c r="M110" s="71">
        <f t="shared" si="51"/>
        <v>37.878787878787875</v>
      </c>
      <c r="N110" s="71">
        <f t="shared" si="42"/>
        <v>5.7784763313609688E-5</v>
      </c>
      <c r="O110" s="71">
        <f t="shared" si="43"/>
        <v>0.10576923076923059</v>
      </c>
      <c r="P110" s="71">
        <f t="shared" si="52"/>
        <v>0.13461538461538436</v>
      </c>
      <c r="Q110" s="71">
        <f t="shared" si="53"/>
        <v>7.6923076923076789E-2</v>
      </c>
    </row>
    <row r="111" spans="1:17" x14ac:dyDescent="0.2">
      <c r="A111" s="71">
        <f t="shared" si="45"/>
        <v>12.5</v>
      </c>
      <c r="B111" s="74">
        <f t="shared" si="46"/>
        <v>12.139423076923077</v>
      </c>
      <c r="C111" s="72">
        <f>IF(B111&gt;=$H$2,IF($D$2="CC", $G$2, B111/$G$2), 0)</f>
        <v>0</v>
      </c>
      <c r="D111" s="70">
        <f>$B$2-B111*$J$2/($I$2*0.001)</f>
        <v>83.987801288059032</v>
      </c>
      <c r="E111" s="70">
        <f>$C$2</f>
        <v>75.757575757575751</v>
      </c>
      <c r="F111" s="72">
        <f>I_Cout_ss+C111</f>
        <v>0.22</v>
      </c>
      <c r="G111" s="70">
        <f>IF($F$2="YES", F111, E111)</f>
        <v>0.22</v>
      </c>
      <c r="H111" s="72">
        <f>G111-C111</f>
        <v>0.22</v>
      </c>
      <c r="I111" s="73">
        <f>(COUTMAX/1000000)*(B111-B110)/H111</f>
        <v>5.4632867132866638E-4</v>
      </c>
      <c r="J111" s="80">
        <f>J110+I111</f>
        <v>5.5179195804195773E-2</v>
      </c>
      <c r="K111" s="214">
        <f t="shared" si="40"/>
        <v>55.179195804195771</v>
      </c>
      <c r="L111" s="164">
        <f>H111/G111</f>
        <v>1</v>
      </c>
      <c r="M111" s="71">
        <f t="shared" si="51"/>
        <v>37.878787878787875</v>
      </c>
      <c r="N111" s="71">
        <f>I111*G111*(A111-B111)</f>
        <v>4.3338572485206739E-5</v>
      </c>
      <c r="O111" s="71">
        <f t="shared" si="43"/>
        <v>7.9326923076923142E-2</v>
      </c>
      <c r="P111" s="71">
        <f t="shared" si="52"/>
        <v>0.10096153846153853</v>
      </c>
      <c r="Q111" s="71">
        <f t="shared" si="53"/>
        <v>5.7692307692307737E-2</v>
      </c>
    </row>
    <row r="112" spans="1:17" x14ac:dyDescent="0.2">
      <c r="A112" s="71">
        <f t="shared" si="45"/>
        <v>12.5</v>
      </c>
      <c r="B112" s="74">
        <f t="shared" si="46"/>
        <v>12.259615384615383</v>
      </c>
      <c r="C112" s="72">
        <f>IF(B112&gt;=$H$2,IF($D$2="CC", $G$2, B112/$G$2), 0)</f>
        <v>0</v>
      </c>
      <c r="D112" s="70">
        <f t="shared" ref="D112:D113" si="55">$B$2-B112*$J$2/($I$2*0.001)</f>
        <v>83.222941148198899</v>
      </c>
      <c r="E112" s="70">
        <f>$C$2</f>
        <v>75.757575757575751</v>
      </c>
      <c r="F112" s="72">
        <f t="shared" ref="F112:F113" si="56">I_Cout_ss+C112</f>
        <v>0.22</v>
      </c>
      <c r="G112" s="70">
        <f t="shared" ref="G112:G113" si="57">IF($F$2="YES", F112, E112)</f>
        <v>0.22</v>
      </c>
      <c r="H112" s="72">
        <f t="shared" ref="H112:H113" si="58">G112-C112</f>
        <v>0.22</v>
      </c>
      <c r="I112" s="73">
        <f t="shared" ref="I112:I113" si="59">(COUTMAX/1000000)*(B112-B111)/H112</f>
        <v>5.4632867132866638E-4</v>
      </c>
      <c r="J112" s="80">
        <f t="shared" ref="J112:J113" si="60">J111+I112</f>
        <v>5.5725524475524438E-2</v>
      </c>
      <c r="K112" s="214">
        <f t="shared" si="40"/>
        <v>55.725524475524438</v>
      </c>
      <c r="L112" s="164">
        <f t="shared" ref="L112:L113" si="61">H112/G112</f>
        <v>1</v>
      </c>
      <c r="M112" s="71">
        <f t="shared" si="51"/>
        <v>37.878787878787875</v>
      </c>
      <c r="N112" s="71">
        <f t="shared" ref="N112:N113" si="62">I112*G112*(A112-B112)</f>
        <v>2.8892381656804637E-5</v>
      </c>
      <c r="O112" s="71">
        <f t="shared" si="43"/>
        <v>5.2884615384615682E-2</v>
      </c>
      <c r="P112" s="71">
        <f t="shared" si="52"/>
        <v>6.7307692307692679E-2</v>
      </c>
      <c r="Q112" s="71">
        <f t="shared" si="53"/>
        <v>3.8461538461538679E-2</v>
      </c>
    </row>
    <row r="113" spans="1:17" x14ac:dyDescent="0.2">
      <c r="A113" s="71">
        <f t="shared" si="45"/>
        <v>12.5</v>
      </c>
      <c r="B113" s="74">
        <f t="shared" si="46"/>
        <v>12.379807692307693</v>
      </c>
      <c r="C113" s="72">
        <f>IF(B113&gt;=$H$2,IF($D$2="CC", $G$2, B113/$G$2), 0)</f>
        <v>0</v>
      </c>
      <c r="D113" s="70">
        <f t="shared" si="55"/>
        <v>82.458081008338738</v>
      </c>
      <c r="E113" s="70">
        <f>$C$2</f>
        <v>75.757575757575751</v>
      </c>
      <c r="F113" s="72">
        <f t="shared" si="56"/>
        <v>0.22</v>
      </c>
      <c r="G113" s="70">
        <f t="shared" si="57"/>
        <v>0.22</v>
      </c>
      <c r="H113" s="72">
        <f t="shared" si="58"/>
        <v>0.22</v>
      </c>
      <c r="I113" s="73">
        <f t="shared" si="59"/>
        <v>5.4632867132868254E-4</v>
      </c>
      <c r="J113" s="80">
        <f t="shared" si="60"/>
        <v>5.6271853146853124E-2</v>
      </c>
      <c r="K113" s="214">
        <f t="shared" si="40"/>
        <v>56.271853146853125</v>
      </c>
      <c r="L113" s="164">
        <f t="shared" si="61"/>
        <v>1</v>
      </c>
      <c r="M113" s="71">
        <f t="shared" si="51"/>
        <v>37.878787878787875</v>
      </c>
      <c r="N113" s="71">
        <f t="shared" si="62"/>
        <v>1.444619082840253E-5</v>
      </c>
      <c r="O113" s="71">
        <f t="shared" si="43"/>
        <v>2.6442307692307453E-2</v>
      </c>
      <c r="P113" s="71">
        <f t="shared" si="52"/>
        <v>3.3653846153845847E-2</v>
      </c>
      <c r="Q113" s="71">
        <f t="shared" si="53"/>
        <v>1.9230769230769055E-2</v>
      </c>
    </row>
    <row r="114" spans="1:17" x14ac:dyDescent="0.2">
      <c r="A114" s="71">
        <f t="shared" si="45"/>
        <v>12.5</v>
      </c>
      <c r="B114" s="74">
        <f t="shared" si="46"/>
        <v>12.5</v>
      </c>
      <c r="C114" s="72">
        <f>IF(B114&gt;=$H$2,IF($D$2="CC", $G$2, B114/$G$2), 0)</f>
        <v>0</v>
      </c>
      <c r="D114" s="70">
        <f t="shared" ref="D114" si="63">$B$2-B114*$J$2/($I$2*0.001)</f>
        <v>81.693220868478605</v>
      </c>
      <c r="E114" s="70">
        <f>$C$2</f>
        <v>75.757575757575751</v>
      </c>
      <c r="F114" s="72">
        <f t="shared" ref="F114" si="64">I_Cout_ss+C114</f>
        <v>0.22</v>
      </c>
      <c r="G114" s="70">
        <f t="shared" ref="G114" si="65">IF($F$2="YES", F114, E114)</f>
        <v>0.22</v>
      </c>
      <c r="H114" s="72">
        <f t="shared" ref="H114" si="66">G114-C114</f>
        <v>0.22</v>
      </c>
      <c r="I114" s="73">
        <f t="shared" ref="I114" si="67">(COUTMAX/1000000)*(B114-B113)/H114</f>
        <v>5.4632867132866638E-4</v>
      </c>
      <c r="J114" s="80">
        <f t="shared" ref="J114" si="68">J113+I114</f>
        <v>5.6818181818181789E-2</v>
      </c>
      <c r="K114" s="214">
        <f t="shared" si="40"/>
        <v>56.818181818181792</v>
      </c>
      <c r="L114" s="164">
        <f t="shared" ref="L114" si="69">H114/G114</f>
        <v>1</v>
      </c>
      <c r="M114" s="71">
        <f t="shared" si="51"/>
        <v>37.878787878787875</v>
      </c>
      <c r="N114" s="71">
        <f t="shared" ref="N114" si="70">I114*G114*(A114-B114)</f>
        <v>0</v>
      </c>
      <c r="O114" s="71">
        <f t="shared" si="43"/>
        <v>0</v>
      </c>
      <c r="P114" s="71">
        <f t="shared" si="52"/>
        <v>0</v>
      </c>
      <c r="Q114" s="71">
        <f t="shared" si="53"/>
        <v>0</v>
      </c>
    </row>
    <row r="115" spans="1:17" x14ac:dyDescent="0.2">
      <c r="K115" s="215">
        <f>K114+0.5</f>
        <v>57.318181818181792</v>
      </c>
      <c r="N115" s="71">
        <v>0</v>
      </c>
      <c r="O115" s="71">
        <v>0</v>
      </c>
    </row>
  </sheetData>
  <mergeCells count="1">
    <mergeCell ref="X12:Y12"/>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V70"/>
  <sheetViews>
    <sheetView zoomScale="85" zoomScaleNormal="85" workbookViewId="0">
      <selection activeCell="H22" sqref="H22"/>
    </sheetView>
  </sheetViews>
  <sheetFormatPr defaultRowHeight="12.75" x14ac:dyDescent="0.2"/>
  <cols>
    <col min="1" max="1" width="19.7109375" customWidth="1"/>
    <col min="2" max="2" width="17.28515625" customWidth="1"/>
    <col min="3" max="3" width="13.28515625" customWidth="1"/>
    <col min="4" max="4" width="16" customWidth="1"/>
    <col min="5" max="6" width="17.7109375" customWidth="1"/>
    <col min="7" max="7" width="31.5703125" customWidth="1"/>
    <col min="8" max="8" width="20" customWidth="1"/>
    <col min="13" max="13" width="12.7109375" customWidth="1"/>
    <col min="15" max="15" width="17.28515625" customWidth="1"/>
    <col min="17" max="17" width="13.28515625" customWidth="1"/>
    <col min="18" max="18" width="16.7109375" customWidth="1"/>
    <col min="20" max="20" width="13" customWidth="1"/>
    <col min="21" max="21" width="10.28515625" customWidth="1"/>
  </cols>
  <sheetData>
    <row r="1" spans="1:22" x14ac:dyDescent="0.2">
      <c r="A1" s="256"/>
      <c r="B1" s="256"/>
      <c r="C1" s="258"/>
      <c r="D1" s="258"/>
      <c r="E1" s="258"/>
      <c r="F1" s="258"/>
      <c r="G1" s="258"/>
      <c r="H1" s="256"/>
      <c r="I1" s="256"/>
      <c r="J1" s="256"/>
      <c r="K1" s="256"/>
      <c r="L1" s="256"/>
      <c r="M1" s="256"/>
      <c r="N1" s="256"/>
      <c r="O1" s="256"/>
      <c r="P1" s="256"/>
      <c r="Q1" s="256"/>
      <c r="R1" s="256"/>
      <c r="S1" s="256"/>
      <c r="T1" s="256"/>
      <c r="U1" s="256"/>
      <c r="V1" s="256"/>
    </row>
    <row r="2" spans="1:22" x14ac:dyDescent="0.2">
      <c r="A2" s="263"/>
      <c r="B2" s="278"/>
      <c r="C2" s="377" t="s">
        <v>186</v>
      </c>
      <c r="D2" s="378"/>
      <c r="E2" s="378"/>
      <c r="F2" s="266"/>
      <c r="G2" s="266"/>
      <c r="H2" s="260" t="s">
        <v>207</v>
      </c>
      <c r="I2" s="258"/>
      <c r="J2" s="258"/>
      <c r="K2" s="258"/>
      <c r="L2" s="258"/>
      <c r="M2" s="258"/>
      <c r="N2" s="258"/>
      <c r="O2" s="264"/>
      <c r="P2" s="264"/>
      <c r="Q2" s="264"/>
      <c r="R2" s="264"/>
      <c r="S2" s="264"/>
      <c r="T2" s="264"/>
      <c r="U2" s="258"/>
      <c r="V2" s="258"/>
    </row>
    <row r="3" spans="1:22" x14ac:dyDescent="0.2">
      <c r="A3" s="263"/>
      <c r="B3" s="265" t="s">
        <v>246</v>
      </c>
      <c r="C3" s="265" t="s">
        <v>187</v>
      </c>
      <c r="D3" s="265" t="s">
        <v>188</v>
      </c>
      <c r="E3" s="265" t="s">
        <v>189</v>
      </c>
      <c r="F3" s="279" t="s">
        <v>403</v>
      </c>
      <c r="G3" s="269"/>
      <c r="H3" s="260" t="s">
        <v>205</v>
      </c>
      <c r="I3" s="266"/>
      <c r="J3" s="266"/>
      <c r="K3" s="266"/>
      <c r="L3" s="266"/>
      <c r="M3" s="266"/>
      <c r="N3" s="258"/>
      <c r="O3" s="266"/>
      <c r="P3" s="266"/>
      <c r="Q3" s="267"/>
      <c r="R3" s="267"/>
      <c r="S3" s="267"/>
      <c r="T3" s="267"/>
      <c r="U3" s="258"/>
      <c r="V3" s="258"/>
    </row>
    <row r="4" spans="1:22" ht="21.6" customHeight="1" x14ac:dyDescent="0.2">
      <c r="A4" s="265" t="s">
        <v>190</v>
      </c>
      <c r="B4" s="263">
        <f>'Design Calculator'!AN57</f>
        <v>90</v>
      </c>
      <c r="C4" s="268">
        <f>'Design Calculator'!$AN$58</f>
        <v>30</v>
      </c>
      <c r="D4" s="268">
        <f>'Design Calculator'!$AN$59</f>
        <v>12</v>
      </c>
      <c r="E4" s="268">
        <f>IF('Design Calculator'!$AN$60 = "NA", F4, 'Design Calculator'!$AN$60)</f>
        <v>4</v>
      </c>
      <c r="F4" s="268">
        <f>'Design Calculator'!AN61</f>
        <v>1.5</v>
      </c>
      <c r="G4" s="272"/>
      <c r="H4" s="260" t="s">
        <v>206</v>
      </c>
      <c r="I4" s="266"/>
      <c r="J4" s="266"/>
      <c r="K4" s="266"/>
      <c r="L4" s="267"/>
      <c r="M4" s="267"/>
      <c r="N4" s="258"/>
      <c r="O4" s="266"/>
      <c r="P4" s="266"/>
      <c r="Q4" s="267"/>
      <c r="R4" s="267"/>
      <c r="S4" s="267"/>
      <c r="T4" s="267"/>
      <c r="U4" s="258"/>
      <c r="V4" s="258"/>
    </row>
    <row r="5" spans="1:22" x14ac:dyDescent="0.2">
      <c r="A5" s="258"/>
      <c r="B5" s="256"/>
      <c r="C5" s="266"/>
      <c r="D5" s="267"/>
      <c r="E5" s="267"/>
      <c r="F5" s="267"/>
      <c r="G5" s="267"/>
      <c r="H5" s="258"/>
      <c r="I5" s="266"/>
      <c r="J5" s="266"/>
      <c r="K5" s="266"/>
      <c r="L5" s="267"/>
      <c r="M5" s="267"/>
      <c r="N5" s="379"/>
      <c r="O5" s="379"/>
      <c r="P5" s="379"/>
      <c r="Q5" s="267"/>
      <c r="R5" s="380"/>
      <c r="S5" s="381"/>
      <c r="T5" s="381"/>
      <c r="U5" s="258"/>
      <c r="V5" s="258"/>
    </row>
    <row r="6" spans="1:22" x14ac:dyDescent="0.2">
      <c r="A6" s="258"/>
      <c r="B6" s="256"/>
      <c r="C6" s="266"/>
      <c r="D6" s="267"/>
      <c r="E6" s="267"/>
      <c r="F6" s="267"/>
      <c r="G6" s="267"/>
      <c r="H6" s="258"/>
      <c r="I6" s="266"/>
      <c r="J6" s="266"/>
      <c r="K6" s="266"/>
      <c r="L6" s="267"/>
      <c r="M6" s="267"/>
      <c r="N6" s="258"/>
      <c r="O6" s="269"/>
      <c r="P6" s="258"/>
      <c r="Q6" s="258"/>
      <c r="R6" s="258"/>
      <c r="S6" s="258"/>
      <c r="T6" s="258"/>
      <c r="U6" s="258"/>
      <c r="V6" s="258"/>
    </row>
    <row r="7" spans="1:22" ht="15" x14ac:dyDescent="0.25">
      <c r="A7" s="258"/>
      <c r="B7" s="270" t="s">
        <v>398</v>
      </c>
      <c r="C7" s="256"/>
      <c r="D7" s="256"/>
      <c r="E7" s="256"/>
      <c r="F7" s="256"/>
      <c r="G7" s="277" t="s">
        <v>385</v>
      </c>
      <c r="H7" s="258"/>
      <c r="I7" s="256"/>
      <c r="J7" s="276"/>
      <c r="K7" s="267"/>
      <c r="L7" s="258"/>
      <c r="M7" s="258"/>
      <c r="N7" s="269"/>
      <c r="O7" s="269"/>
      <c r="P7" s="269"/>
      <c r="Q7" s="258"/>
      <c r="R7" s="258"/>
      <c r="S7" s="258"/>
      <c r="T7" s="271"/>
      <c r="U7" s="266"/>
      <c r="V7" s="258"/>
    </row>
    <row r="8" spans="1:22" ht="15" x14ac:dyDescent="0.25">
      <c r="A8" s="258"/>
      <c r="B8" s="260" t="s">
        <v>191</v>
      </c>
      <c r="C8" s="256">
        <f>IF('Design Calculator'!F72="No", 'Design Calculator'!$F$78,'Design Calculator'!F91)</f>
        <v>0.41555555555555557</v>
      </c>
      <c r="D8" s="260" t="s">
        <v>8</v>
      </c>
      <c r="E8" s="256"/>
      <c r="F8" s="256"/>
      <c r="G8" s="260" t="s">
        <v>191</v>
      </c>
      <c r="H8" s="256">
        <f>Equations!F70</f>
        <v>28.135926573426573</v>
      </c>
      <c r="I8" s="256"/>
      <c r="J8" s="275"/>
      <c r="K8" s="267"/>
      <c r="L8" s="258"/>
      <c r="M8" s="258"/>
      <c r="N8" s="269"/>
      <c r="O8" s="258"/>
      <c r="P8" s="271"/>
      <c r="Q8" s="258"/>
      <c r="R8" s="258"/>
      <c r="S8" s="258"/>
      <c r="T8" s="271"/>
      <c r="U8" s="266"/>
      <c r="V8" s="258"/>
    </row>
    <row r="9" spans="1:22" ht="15" x14ac:dyDescent="0.25">
      <c r="A9" s="258"/>
      <c r="B9" s="260" t="s">
        <v>192</v>
      </c>
      <c r="C9" s="256">
        <f>VINMAX</f>
        <v>12.5</v>
      </c>
      <c r="D9" s="256" t="s">
        <v>92</v>
      </c>
      <c r="E9" s="256"/>
      <c r="F9" s="256"/>
      <c r="G9" s="260" t="s">
        <v>192</v>
      </c>
      <c r="H9" s="256">
        <f>VINMAX</f>
        <v>12.5</v>
      </c>
      <c r="I9" s="256"/>
      <c r="J9" s="256"/>
      <c r="K9" s="267"/>
      <c r="L9" s="258"/>
      <c r="M9" s="258"/>
      <c r="N9" s="269"/>
      <c r="O9" s="258"/>
      <c r="P9" s="271"/>
      <c r="Q9" s="258"/>
      <c r="R9" s="258"/>
      <c r="S9" s="258"/>
      <c r="T9" s="271"/>
      <c r="U9" s="258"/>
      <c r="V9" s="258"/>
    </row>
    <row r="10" spans="1:22" ht="15" x14ac:dyDescent="0.25">
      <c r="A10" s="258"/>
      <c r="B10" s="260" t="s">
        <v>193</v>
      </c>
      <c r="C10" s="256">
        <f>IF(C8&lt;10, IF(C8&lt;1, 0.1, 1), IF(C8&lt;100, 10, 100))</f>
        <v>0.1</v>
      </c>
      <c r="D10" s="260" t="s">
        <v>8</v>
      </c>
      <c r="E10" s="256"/>
      <c r="F10" s="256"/>
      <c r="G10" s="260" t="s">
        <v>193</v>
      </c>
      <c r="H10" s="256">
        <f>IF(H8&lt;10, IF(H8&lt;1, 0.1, 1), IF(H8&lt;100, 10, 100))</f>
        <v>10</v>
      </c>
      <c r="I10" s="256"/>
      <c r="J10" s="256"/>
      <c r="K10" s="267"/>
      <c r="L10" s="258"/>
      <c r="M10" s="258"/>
      <c r="N10" s="269"/>
      <c r="O10" s="258"/>
      <c r="P10" s="271"/>
      <c r="Q10" s="258"/>
      <c r="R10" s="258"/>
      <c r="S10" s="258"/>
      <c r="T10" s="271"/>
      <c r="U10" s="258"/>
      <c r="V10" s="258"/>
    </row>
    <row r="11" spans="1:22" ht="15" x14ac:dyDescent="0.25">
      <c r="A11" s="258"/>
      <c r="B11" s="260" t="s">
        <v>481</v>
      </c>
      <c r="C11" s="256">
        <f>IF('Design Calculator'!F60="NA", MIN(SOA!C10,1),SOA!C10)</f>
        <v>0.1</v>
      </c>
      <c r="D11" s="260"/>
      <c r="E11" s="256"/>
      <c r="F11" s="256"/>
      <c r="G11" s="260" t="s">
        <v>481</v>
      </c>
      <c r="H11" s="256">
        <f>IF('Design Calculator'!F60="NA", MIN(SOA!H10,1),SOA!H10)</f>
        <v>10</v>
      </c>
      <c r="I11" s="256"/>
      <c r="J11" s="256"/>
      <c r="K11" s="267"/>
      <c r="L11" s="258"/>
      <c r="M11" s="258"/>
      <c r="N11" s="258"/>
      <c r="O11" s="258"/>
      <c r="P11" s="271"/>
      <c r="Q11" s="258"/>
      <c r="R11" s="258"/>
      <c r="S11" s="258"/>
      <c r="T11" s="258"/>
      <c r="U11" s="258"/>
      <c r="V11" s="258"/>
    </row>
    <row r="12" spans="1:22" x14ac:dyDescent="0.2">
      <c r="A12" s="258"/>
      <c r="B12" s="260" t="s">
        <v>194</v>
      </c>
      <c r="C12" s="256">
        <f>C10*10</f>
        <v>1</v>
      </c>
      <c r="D12" s="260" t="s">
        <v>8</v>
      </c>
      <c r="E12" s="256"/>
      <c r="F12" s="256"/>
      <c r="G12" s="260" t="s">
        <v>482</v>
      </c>
      <c r="H12" s="256">
        <f>H10*10</f>
        <v>100</v>
      </c>
      <c r="I12" s="256"/>
      <c r="J12" s="256"/>
      <c r="K12" s="267"/>
      <c r="L12" s="258"/>
      <c r="M12" s="258"/>
      <c r="N12" s="258"/>
      <c r="O12" s="258"/>
      <c r="P12" s="258"/>
      <c r="Q12" s="258"/>
      <c r="R12" s="258"/>
      <c r="S12" s="258"/>
      <c r="T12" s="258"/>
      <c r="U12" s="258"/>
      <c r="V12" s="258"/>
    </row>
    <row r="13" spans="1:22" x14ac:dyDescent="0.2">
      <c r="A13" s="258"/>
      <c r="B13" s="260" t="s">
        <v>483</v>
      </c>
      <c r="C13" s="256">
        <f>IF('Design Calculator'!F61="NA", MIN(SOA!C12,10),SOA!C12)</f>
        <v>1</v>
      </c>
      <c r="D13" s="260"/>
      <c r="E13" s="256"/>
      <c r="F13" s="256"/>
      <c r="G13" s="260" t="s">
        <v>483</v>
      </c>
      <c r="H13" s="256">
        <f>IF('Design Calculator'!F61="NA", MIN(SOA!H12,10),SOA!H12)</f>
        <v>100</v>
      </c>
      <c r="I13" s="256"/>
      <c r="J13" s="256"/>
      <c r="K13" s="267"/>
      <c r="L13" s="258"/>
      <c r="M13" s="258"/>
      <c r="N13" s="258"/>
      <c r="O13" s="258"/>
      <c r="P13" s="258"/>
      <c r="Q13" s="258"/>
      <c r="R13" s="258"/>
      <c r="S13" s="258"/>
      <c r="T13" s="258"/>
      <c r="U13" s="258"/>
      <c r="V13" s="258"/>
    </row>
    <row r="14" spans="1:22" x14ac:dyDescent="0.2">
      <c r="A14" s="258"/>
      <c r="B14" s="260" t="s">
        <v>195</v>
      </c>
      <c r="C14" s="256">
        <f>IF(C11=0.1, B4, IF(C11=1, C4, IF(C11=10, D4, E4)))</f>
        <v>90</v>
      </c>
      <c r="D14" s="260" t="s">
        <v>28</v>
      </c>
      <c r="E14" s="256"/>
      <c r="F14" s="256"/>
      <c r="G14" s="260" t="s">
        <v>195</v>
      </c>
      <c r="H14" s="256">
        <f>IF(H11=0.1, B4, IF(H11=1, C4, IF(H11=10, D4, E4)))</f>
        <v>12</v>
      </c>
      <c r="I14" s="256"/>
      <c r="J14" s="256"/>
      <c r="K14" s="267"/>
      <c r="L14" s="258"/>
      <c r="M14" s="258"/>
      <c r="N14" s="258"/>
      <c r="O14" s="258"/>
      <c r="P14" s="258"/>
      <c r="Q14" s="258"/>
      <c r="R14" s="258"/>
      <c r="S14" s="258"/>
      <c r="T14" s="258"/>
      <c r="U14" s="258"/>
      <c r="V14" s="258"/>
    </row>
    <row r="15" spans="1:22" x14ac:dyDescent="0.2">
      <c r="A15" s="258"/>
      <c r="B15" s="260" t="s">
        <v>196</v>
      </c>
      <c r="C15" s="256">
        <f>IF(C13=1000, F4, IF(C13=1, C4, IF(C13=10, D4, E4)))</f>
        <v>30</v>
      </c>
      <c r="D15" s="260" t="s">
        <v>28</v>
      </c>
      <c r="E15" s="256"/>
      <c r="F15" s="256"/>
      <c r="G15" s="260" t="s">
        <v>196</v>
      </c>
      <c r="H15" s="256">
        <f>IF(H13=1000, F4, IF(H13=1, C4, IF(H13=10, D4, E4)))</f>
        <v>4</v>
      </c>
      <c r="I15" s="256"/>
      <c r="J15" s="256"/>
      <c r="K15" s="267"/>
      <c r="L15" s="258"/>
      <c r="M15" s="258"/>
      <c r="N15" s="258"/>
      <c r="O15" s="258"/>
      <c r="P15" s="258"/>
      <c r="Q15" s="258"/>
      <c r="R15" s="258"/>
      <c r="S15" s="258"/>
      <c r="T15" s="258"/>
      <c r="U15" s="258"/>
      <c r="V15" s="258"/>
    </row>
    <row r="16" spans="1:22" x14ac:dyDescent="0.2">
      <c r="A16" s="258"/>
      <c r="B16" s="256"/>
      <c r="C16" s="256"/>
      <c r="D16" s="256"/>
      <c r="E16" s="256"/>
      <c r="F16" s="256"/>
      <c r="G16" s="256"/>
      <c r="H16" s="256"/>
      <c r="I16" s="256"/>
      <c r="J16" s="256"/>
      <c r="K16" s="267"/>
      <c r="L16" s="258"/>
      <c r="M16" s="258"/>
      <c r="N16" s="258"/>
      <c r="O16" s="258"/>
      <c r="P16" s="258"/>
      <c r="Q16" s="258"/>
      <c r="R16" s="258"/>
      <c r="S16" s="258"/>
      <c r="T16" s="258"/>
      <c r="U16" s="258"/>
      <c r="V16" s="258"/>
    </row>
    <row r="17" spans="1:22" x14ac:dyDescent="0.2">
      <c r="A17" s="258"/>
      <c r="B17" s="260" t="s">
        <v>200</v>
      </c>
      <c r="C17" s="256"/>
      <c r="D17" s="256"/>
      <c r="E17" s="256"/>
      <c r="F17" s="256"/>
      <c r="G17" s="260" t="s">
        <v>200</v>
      </c>
      <c r="H17" s="256"/>
      <c r="I17" s="256"/>
      <c r="J17" s="256"/>
      <c r="K17" s="267"/>
      <c r="L17" s="258"/>
      <c r="M17" s="258"/>
      <c r="N17" s="258"/>
      <c r="O17" s="258"/>
      <c r="P17" s="258"/>
      <c r="Q17" s="258"/>
      <c r="R17" s="258"/>
      <c r="S17" s="258"/>
      <c r="T17" s="258"/>
      <c r="U17" s="258"/>
      <c r="V17" s="258"/>
    </row>
    <row r="18" spans="1:22" x14ac:dyDescent="0.2">
      <c r="A18" s="258"/>
      <c r="B18" s="260" t="s">
        <v>197</v>
      </c>
      <c r="C18" s="256">
        <f>C14/C11^C19</f>
        <v>30.000000000000004</v>
      </c>
      <c r="D18" s="256"/>
      <c r="E18" s="256"/>
      <c r="F18" s="260"/>
      <c r="G18" s="260" t="s">
        <v>197</v>
      </c>
      <c r="H18" s="256">
        <f>H14/H11^H19</f>
        <v>36.000000000000007</v>
      </c>
      <c r="I18" s="256"/>
      <c r="J18" s="256"/>
      <c r="K18" s="256"/>
      <c r="L18" s="256"/>
      <c r="M18" s="256"/>
      <c r="N18" s="256"/>
      <c r="O18" s="281"/>
      <c r="P18" s="281"/>
      <c r="Q18" s="258"/>
      <c r="R18" s="258"/>
      <c r="S18" s="258"/>
      <c r="T18" s="258"/>
      <c r="U18" s="258"/>
      <c r="V18" s="258"/>
    </row>
    <row r="19" spans="1:22" x14ac:dyDescent="0.2">
      <c r="A19" s="258"/>
      <c r="B19" s="260" t="s">
        <v>198</v>
      </c>
      <c r="C19" s="256">
        <f>LOG(C14/C15)/LOG(C11/C13)</f>
        <v>-0.47712125471966244</v>
      </c>
      <c r="D19" s="256"/>
      <c r="E19" s="256"/>
      <c r="F19" s="260"/>
      <c r="G19" s="260" t="s">
        <v>198</v>
      </c>
      <c r="H19" s="256">
        <f>IF(H14=H15,0.000000000001,LOG(H14/H15)/LOG(H11/H13))</f>
        <v>-0.47712125471966244</v>
      </c>
      <c r="I19" s="260" t="s">
        <v>489</v>
      </c>
      <c r="J19" s="256"/>
      <c r="K19" s="267"/>
      <c r="L19" s="258"/>
      <c r="M19" s="281"/>
      <c r="N19" s="281"/>
      <c r="O19" s="258"/>
      <c r="P19" s="258"/>
      <c r="Q19" s="258"/>
      <c r="R19" s="258"/>
      <c r="S19" s="258"/>
      <c r="T19" s="258"/>
      <c r="U19" s="258"/>
      <c r="V19" s="258"/>
    </row>
    <row r="20" spans="1:22" x14ac:dyDescent="0.2">
      <c r="A20" s="258"/>
      <c r="B20" s="260" t="s">
        <v>199</v>
      </c>
      <c r="C20" s="256">
        <f>C18*C8^C19</f>
        <v>45.612242068094105</v>
      </c>
      <c r="D20" s="260" t="s">
        <v>28</v>
      </c>
      <c r="E20" s="256"/>
      <c r="F20" s="256"/>
      <c r="G20" s="260" t="s">
        <v>199</v>
      </c>
      <c r="H20" s="256">
        <f>H18*H8^H19</f>
        <v>7.3253632971629647</v>
      </c>
      <c r="I20" s="256"/>
      <c r="J20" s="256"/>
      <c r="K20" s="267"/>
      <c r="L20" s="258"/>
      <c r="M20" s="269"/>
      <c r="N20" s="258"/>
      <c r="O20" s="258"/>
      <c r="P20" s="258"/>
      <c r="Q20" s="258"/>
      <c r="R20" s="258"/>
      <c r="S20" s="258"/>
      <c r="T20" s="258"/>
      <c r="U20" s="258"/>
      <c r="V20" s="258"/>
    </row>
    <row r="21" spans="1:22" x14ac:dyDescent="0.2">
      <c r="A21" s="258"/>
      <c r="B21" s="256"/>
      <c r="C21" s="256"/>
      <c r="D21" s="256"/>
      <c r="E21" s="256"/>
      <c r="F21" s="256"/>
      <c r="G21" s="256"/>
      <c r="H21" s="256"/>
      <c r="I21" s="256"/>
      <c r="J21" s="256"/>
      <c r="K21" s="267"/>
      <c r="L21" s="258"/>
      <c r="M21" s="258"/>
      <c r="N21" s="266"/>
      <c r="O21" s="258"/>
      <c r="P21" s="258"/>
      <c r="Q21" s="258"/>
      <c r="R21" s="258"/>
      <c r="S21" s="258"/>
      <c r="T21" s="258"/>
      <c r="U21" s="258"/>
      <c r="V21" s="258"/>
    </row>
    <row r="22" spans="1:22" x14ac:dyDescent="0.2">
      <c r="A22" s="258"/>
      <c r="B22" s="261" t="s">
        <v>202</v>
      </c>
      <c r="C22" s="256">
        <f xml:space="preserve"> C20*C9</f>
        <v>570.15302585117627</v>
      </c>
      <c r="D22" s="260"/>
      <c r="E22" s="256"/>
      <c r="F22" s="256"/>
      <c r="G22" s="261" t="s">
        <v>202</v>
      </c>
      <c r="H22" s="256">
        <f xml:space="preserve"> H20*H9</f>
        <v>91.567041214537056</v>
      </c>
      <c r="I22" s="256"/>
      <c r="J22" s="256"/>
      <c r="K22" s="267"/>
      <c r="L22" s="258"/>
      <c r="M22" s="258"/>
      <c r="N22" s="258"/>
      <c r="O22" s="258"/>
      <c r="P22" s="258"/>
      <c r="Q22" s="258"/>
      <c r="R22" s="258"/>
      <c r="S22" s="258"/>
      <c r="T22" s="258"/>
      <c r="U22" s="258"/>
      <c r="V22" s="258"/>
    </row>
    <row r="23" spans="1:22" x14ac:dyDescent="0.2">
      <c r="A23" s="258"/>
      <c r="B23" s="256"/>
      <c r="C23" s="256"/>
      <c r="D23" s="256"/>
      <c r="E23" s="256"/>
      <c r="F23" s="256"/>
      <c r="G23" s="256"/>
      <c r="H23" s="256"/>
      <c r="I23" s="256"/>
      <c r="J23" s="256"/>
      <c r="K23" s="267"/>
      <c r="L23" s="258"/>
      <c r="M23" s="258"/>
      <c r="N23" s="258"/>
      <c r="O23" s="258"/>
      <c r="P23" s="258"/>
      <c r="Q23" s="258"/>
      <c r="R23" s="258"/>
      <c r="S23" s="258"/>
      <c r="T23" s="258"/>
      <c r="U23" s="258"/>
      <c r="V23" s="258"/>
    </row>
    <row r="24" spans="1:22" x14ac:dyDescent="0.2">
      <c r="A24" s="258"/>
      <c r="B24" s="256"/>
      <c r="C24" s="256"/>
      <c r="D24" s="256"/>
      <c r="E24" s="256"/>
      <c r="F24" s="256"/>
      <c r="G24" s="260" t="s">
        <v>406</v>
      </c>
      <c r="H24" s="256" t="str">
        <f>'Design Calculator'!F80</f>
        <v>Yes</v>
      </c>
      <c r="I24" s="256"/>
      <c r="J24" s="256"/>
      <c r="K24" s="267"/>
      <c r="L24" s="258"/>
      <c r="M24" s="258"/>
      <c r="N24" s="258"/>
      <c r="O24" s="266"/>
      <c r="P24" s="258"/>
      <c r="Q24" s="258"/>
      <c r="R24" s="258"/>
      <c r="S24" s="258"/>
      <c r="T24" s="258"/>
      <c r="U24" s="258"/>
      <c r="V24" s="258"/>
    </row>
    <row r="25" spans="1:22" x14ac:dyDescent="0.2">
      <c r="A25" s="258"/>
      <c r="B25" s="275" t="s">
        <v>208</v>
      </c>
      <c r="C25" s="256">
        <f>(TJMAX-TJ)/(TJMAX-25)</f>
        <v>0.6</v>
      </c>
      <c r="D25" s="267"/>
      <c r="E25" s="267"/>
      <c r="F25" s="267"/>
      <c r="G25" s="260" t="s">
        <v>405</v>
      </c>
      <c r="H25" s="256">
        <f>IF(H24="Yes", TJ,TAMB)</f>
        <v>75</v>
      </c>
      <c r="I25" s="256"/>
      <c r="J25" s="256"/>
      <c r="K25" s="267"/>
      <c r="L25" s="258"/>
      <c r="M25" s="258"/>
      <c r="N25" s="258"/>
      <c r="O25" s="266"/>
      <c r="P25" s="258"/>
      <c r="Q25" s="258"/>
      <c r="R25" s="258"/>
      <c r="S25" s="258"/>
      <c r="T25" s="258"/>
      <c r="U25" s="258"/>
      <c r="V25" s="258"/>
    </row>
    <row r="26" spans="1:22" x14ac:dyDescent="0.2">
      <c r="A26" s="258"/>
      <c r="B26" s="273" t="s">
        <v>203</v>
      </c>
      <c r="C26" s="256">
        <f>IF((C22*C25)&lt;0,0.000000001,C22*C25)</f>
        <v>342.09181551070577</v>
      </c>
      <c r="D26" s="274" t="s">
        <v>93</v>
      </c>
      <c r="E26" s="267"/>
      <c r="F26" s="267"/>
      <c r="G26" s="256"/>
      <c r="H26" s="256"/>
      <c r="I26" s="256"/>
      <c r="J26" s="256"/>
      <c r="K26" s="267"/>
      <c r="L26" s="258"/>
      <c r="M26" s="258"/>
      <c r="N26" s="258"/>
      <c r="O26" s="258"/>
      <c r="P26" s="258"/>
      <c r="Q26" s="258"/>
      <c r="R26" s="258"/>
      <c r="S26" s="258"/>
      <c r="T26" s="258"/>
      <c r="U26" s="258"/>
      <c r="V26" s="258"/>
    </row>
    <row r="27" spans="1:22" x14ac:dyDescent="0.2">
      <c r="A27" s="258"/>
      <c r="B27" s="266"/>
      <c r="C27" s="266"/>
      <c r="D27" s="267"/>
      <c r="E27" s="267"/>
      <c r="F27" s="267"/>
      <c r="G27" s="275" t="s">
        <v>208</v>
      </c>
      <c r="H27" s="256">
        <f>(TJMAX-H25)/(TJMAX-25)</f>
        <v>0.6</v>
      </c>
      <c r="I27" s="256"/>
      <c r="J27" s="256"/>
      <c r="K27" s="267"/>
      <c r="L27" s="258"/>
      <c r="M27" s="258"/>
      <c r="N27" s="258"/>
      <c r="O27" s="258"/>
      <c r="P27" s="258"/>
      <c r="Q27" s="258"/>
      <c r="R27" s="258"/>
      <c r="S27" s="258"/>
      <c r="T27" s="258"/>
      <c r="U27" s="258"/>
      <c r="V27" s="258"/>
    </row>
    <row r="28" spans="1:22" x14ac:dyDescent="0.2">
      <c r="A28" s="258"/>
      <c r="B28" s="266"/>
      <c r="C28" s="256"/>
      <c r="D28" s="267"/>
      <c r="E28" s="267"/>
      <c r="F28" s="267"/>
      <c r="G28" s="273" t="s">
        <v>203</v>
      </c>
      <c r="H28" s="256">
        <f>IF((H22*H27)&lt;0,0.000000001,H22*H27)</f>
        <v>54.940224728722235</v>
      </c>
      <c r="I28" s="256"/>
      <c r="J28" s="256"/>
      <c r="K28" s="267"/>
      <c r="L28" s="258"/>
      <c r="M28" s="258"/>
      <c r="N28" s="258"/>
      <c r="O28" s="258"/>
      <c r="P28" s="258"/>
      <c r="Q28" s="258"/>
      <c r="R28" s="258"/>
      <c r="S28" s="258"/>
      <c r="T28" s="258"/>
      <c r="U28" s="258"/>
      <c r="V28" s="258"/>
    </row>
    <row r="29" spans="1:22" x14ac:dyDescent="0.2">
      <c r="A29" s="258"/>
      <c r="B29" s="275" t="s">
        <v>437</v>
      </c>
      <c r="C29" s="256"/>
      <c r="D29" s="267"/>
      <c r="E29" s="267"/>
      <c r="F29" s="267"/>
      <c r="G29" s="256"/>
      <c r="H29" s="258"/>
      <c r="I29" s="272"/>
      <c r="J29" s="272"/>
      <c r="K29" s="272"/>
      <c r="L29" s="258"/>
      <c r="M29" s="258"/>
      <c r="N29" s="258"/>
      <c r="O29" s="258"/>
      <c r="P29" s="258"/>
      <c r="Q29" s="258"/>
      <c r="R29" s="258"/>
      <c r="S29" s="258"/>
      <c r="T29" s="258"/>
      <c r="U29" s="258"/>
      <c r="V29" s="258"/>
    </row>
    <row r="30" spans="1:22" x14ac:dyDescent="0.2">
      <c r="A30" s="258"/>
      <c r="B30" s="256"/>
      <c r="C30" s="270" t="s">
        <v>438</v>
      </c>
      <c r="D30" s="280" t="s">
        <v>439</v>
      </c>
      <c r="E30" s="280" t="s">
        <v>440</v>
      </c>
      <c r="F30" s="280" t="s">
        <v>441</v>
      </c>
      <c r="G30" s="267"/>
      <c r="H30" s="258"/>
      <c r="I30" s="272"/>
      <c r="J30" s="272"/>
      <c r="K30" s="272"/>
      <c r="L30" s="258"/>
      <c r="M30" s="258"/>
      <c r="N30" s="258"/>
      <c r="O30" s="258"/>
      <c r="P30" s="258"/>
      <c r="Q30" s="258"/>
      <c r="R30" s="258"/>
      <c r="S30" s="258"/>
      <c r="T30" s="258"/>
      <c r="U30" s="258"/>
      <c r="V30" s="258"/>
    </row>
    <row r="31" spans="1:22" x14ac:dyDescent="0.2">
      <c r="A31" s="256"/>
      <c r="B31" s="275" t="s">
        <v>442</v>
      </c>
      <c r="C31" s="262">
        <v>0.1</v>
      </c>
      <c r="D31" s="257">
        <v>1</v>
      </c>
      <c r="E31" s="267">
        <v>10</v>
      </c>
      <c r="F31" s="266">
        <v>100</v>
      </c>
      <c r="G31" s="277"/>
      <c r="H31" s="258"/>
      <c r="I31" s="258"/>
      <c r="J31" s="258"/>
      <c r="K31" s="258"/>
      <c r="L31" s="258"/>
      <c r="M31" s="258"/>
      <c r="N31" s="258"/>
      <c r="O31" s="258"/>
      <c r="P31" s="258"/>
      <c r="Q31" s="258"/>
      <c r="R31" s="258"/>
      <c r="S31" s="258"/>
      <c r="T31" s="258"/>
      <c r="U31" s="258"/>
      <c r="V31" s="258"/>
    </row>
    <row r="32" spans="1:22" x14ac:dyDescent="0.2">
      <c r="A32" s="256"/>
      <c r="B32" s="262" t="s">
        <v>443</v>
      </c>
      <c r="C32" s="257">
        <v>1</v>
      </c>
      <c r="D32" s="257">
        <v>10</v>
      </c>
      <c r="E32" s="267">
        <v>100</v>
      </c>
      <c r="F32" s="266">
        <v>1000</v>
      </c>
      <c r="G32" s="273"/>
      <c r="H32" s="258"/>
      <c r="I32" s="258"/>
      <c r="J32" s="258"/>
      <c r="K32" s="258"/>
      <c r="L32" s="258"/>
      <c r="M32" s="258"/>
      <c r="N32" s="258"/>
      <c r="O32" s="258"/>
      <c r="P32" s="258"/>
      <c r="Q32" s="258"/>
      <c r="R32" s="258"/>
      <c r="S32" s="258"/>
      <c r="T32" s="258"/>
      <c r="U32" s="258"/>
      <c r="V32" s="258"/>
    </row>
    <row r="33" spans="2:22" x14ac:dyDescent="0.2">
      <c r="B33" s="262" t="s">
        <v>197</v>
      </c>
      <c r="C33" s="257">
        <f>B4/(C31^C34)</f>
        <v>30.000000000000004</v>
      </c>
      <c r="D33" s="257">
        <f>C4/(D31^D34)</f>
        <v>30</v>
      </c>
      <c r="E33" s="257">
        <f>IF('Design Calculator'!F61="NA",D33,D4/(E31^E34))</f>
        <v>36.000000000000007</v>
      </c>
      <c r="F33" s="257">
        <f>IF('Design Calculator'!F61="NA", E33, E4/(F31^F34))</f>
        <v>28.444444444444443</v>
      </c>
      <c r="G33" s="260"/>
      <c r="H33" s="258"/>
      <c r="I33" s="258"/>
      <c r="J33" s="258"/>
      <c r="K33" s="258"/>
      <c r="L33" s="258"/>
      <c r="M33" s="258"/>
      <c r="N33" s="258"/>
      <c r="O33" s="258"/>
      <c r="P33" s="258"/>
      <c r="Q33" s="258"/>
      <c r="R33" s="258"/>
      <c r="S33" s="258"/>
      <c r="T33" s="258"/>
      <c r="U33" s="258"/>
      <c r="V33" s="258"/>
    </row>
    <row r="34" spans="2:22" x14ac:dyDescent="0.2">
      <c r="B34" s="262" t="s">
        <v>198</v>
      </c>
      <c r="C34" s="259">
        <f>LOG(B4/C4)/LOG(C31/C32)</f>
        <v>-0.47712125471966244</v>
      </c>
      <c r="D34" s="259">
        <f>LOG(C4/D4)/LOG(D31/D32)</f>
        <v>-0.3979400086720376</v>
      </c>
      <c r="E34" s="259">
        <f>IF('Design Calculator'!F61="NA", D34, LOG(D4/E4)/LOG(E31/E32))</f>
        <v>-0.47712125471966244</v>
      </c>
      <c r="F34" s="259">
        <f>IF('Design Calculator'!F61="NA",E34,LOG(E4/F4)/LOG(F31/F32))</f>
        <v>-0.4259687322722811</v>
      </c>
      <c r="G34" s="260"/>
      <c r="H34" s="258"/>
      <c r="I34" s="258"/>
      <c r="J34" s="258"/>
      <c r="K34" s="258"/>
      <c r="L34" s="258"/>
      <c r="M34" s="258"/>
      <c r="N34" s="258"/>
      <c r="O34" s="258"/>
      <c r="P34" s="258"/>
      <c r="Q34" s="258"/>
      <c r="R34" s="258"/>
      <c r="S34" s="258"/>
      <c r="T34" s="258"/>
      <c r="U34" s="258"/>
      <c r="V34" s="258"/>
    </row>
    <row r="35" spans="2:22" x14ac:dyDescent="0.2">
      <c r="B35" s="256"/>
      <c r="C35" s="256"/>
      <c r="D35" s="256"/>
      <c r="E35" s="267"/>
      <c r="F35" s="258"/>
      <c r="G35" s="260"/>
      <c r="H35" s="258"/>
      <c r="I35" s="258"/>
      <c r="J35" s="258"/>
      <c r="K35" s="258"/>
      <c r="L35" s="258"/>
      <c r="M35" s="258"/>
      <c r="N35" s="258"/>
      <c r="O35" s="258"/>
      <c r="P35" s="258"/>
      <c r="Q35" s="258"/>
      <c r="R35" s="258"/>
      <c r="S35" s="258"/>
      <c r="T35" s="258"/>
      <c r="U35" s="258"/>
      <c r="V35" s="258"/>
    </row>
    <row r="36" spans="2:22" ht="13.5" thickBot="1" x14ac:dyDescent="0.25">
      <c r="B36" s="136" t="s">
        <v>491</v>
      </c>
      <c r="C36" s="137"/>
      <c r="D36" s="256"/>
      <c r="E36" s="267"/>
      <c r="F36" s="258"/>
      <c r="G36" s="260"/>
      <c r="H36" s="258"/>
      <c r="I36" s="258"/>
      <c r="J36" s="258"/>
      <c r="K36" s="258"/>
      <c r="L36" s="258"/>
      <c r="M36" s="258"/>
      <c r="N36" s="258"/>
      <c r="O36" s="258"/>
      <c r="P36" s="258"/>
      <c r="Q36" s="258"/>
      <c r="R36" s="258"/>
      <c r="S36" s="258"/>
      <c r="T36" s="258"/>
      <c r="U36" s="258"/>
      <c r="V36" s="258"/>
    </row>
    <row r="37" spans="2:22" ht="14.25" x14ac:dyDescent="0.25">
      <c r="B37" s="138" t="s">
        <v>60</v>
      </c>
      <c r="C37" s="139" t="s">
        <v>124</v>
      </c>
      <c r="D37" s="256"/>
      <c r="E37" s="267"/>
      <c r="F37" s="258"/>
      <c r="G37" s="260"/>
      <c r="H37" s="258"/>
      <c r="I37" s="258"/>
      <c r="J37" s="258"/>
      <c r="K37" s="258"/>
      <c r="L37" s="258"/>
      <c r="M37" s="258"/>
      <c r="N37" s="258"/>
      <c r="O37" s="258"/>
      <c r="P37" s="258"/>
      <c r="Q37" s="258"/>
      <c r="R37" s="258"/>
      <c r="S37" s="258"/>
      <c r="T37" s="258"/>
      <c r="U37" s="258"/>
      <c r="V37" s="258"/>
    </row>
    <row r="38" spans="2:22" x14ac:dyDescent="0.2">
      <c r="B38" s="140" t="s">
        <v>9</v>
      </c>
      <c r="C38" s="141" t="s">
        <v>10</v>
      </c>
      <c r="D38" s="256"/>
      <c r="E38" s="267"/>
      <c r="F38" s="258"/>
      <c r="G38" s="260"/>
      <c r="H38" s="258"/>
      <c r="I38" s="258"/>
      <c r="J38" s="258"/>
      <c r="K38" s="258"/>
      <c r="L38" s="258"/>
      <c r="M38" s="258"/>
      <c r="N38" s="258"/>
      <c r="O38" s="258"/>
      <c r="P38" s="258"/>
      <c r="Q38" s="258"/>
      <c r="R38" s="258"/>
      <c r="S38" s="258"/>
      <c r="T38" s="258"/>
      <c r="U38" s="258"/>
      <c r="V38" s="258"/>
    </row>
    <row r="39" spans="2:22" x14ac:dyDescent="0.2">
      <c r="B39" s="142">
        <v>1</v>
      </c>
      <c r="C39" s="143">
        <f>SOA!$C$26/B39</f>
        <v>342.09181551070577</v>
      </c>
      <c r="D39" s="256"/>
      <c r="E39" s="267"/>
      <c r="F39" s="258"/>
      <c r="G39" s="256"/>
      <c r="H39" s="258"/>
      <c r="I39" s="258"/>
      <c r="J39" s="258"/>
      <c r="K39" s="258"/>
      <c r="L39" s="258"/>
      <c r="M39" s="258"/>
      <c r="N39" s="258"/>
      <c r="O39" s="258"/>
      <c r="P39" s="258"/>
      <c r="Q39" s="258"/>
      <c r="R39" s="258"/>
      <c r="S39" s="258"/>
      <c r="T39" s="258"/>
      <c r="U39" s="258"/>
      <c r="V39" s="258"/>
    </row>
    <row r="40" spans="2:22" x14ac:dyDescent="0.2">
      <c r="B40" s="142">
        <v>1.2</v>
      </c>
      <c r="C40" s="143">
        <f>SOA!$C$26/B40</f>
        <v>285.07651292558813</v>
      </c>
      <c r="D40" s="256"/>
      <c r="E40" s="267"/>
      <c r="F40" s="258"/>
      <c r="G40" s="260"/>
      <c r="H40" s="258"/>
      <c r="I40" s="258"/>
      <c r="J40" s="258"/>
      <c r="K40" s="258"/>
      <c r="L40" s="258"/>
      <c r="M40" s="258"/>
      <c r="N40" s="258"/>
      <c r="O40" s="258"/>
      <c r="P40" s="258"/>
      <c r="Q40" s="258"/>
      <c r="R40" s="258"/>
      <c r="S40" s="258"/>
      <c r="T40" s="258"/>
      <c r="U40" s="258"/>
      <c r="V40" s="258"/>
    </row>
    <row r="41" spans="2:22" x14ac:dyDescent="0.2">
      <c r="B41" s="142">
        <v>30</v>
      </c>
      <c r="C41" s="143">
        <f>SOA!$C$26/B41</f>
        <v>11.403060517023526</v>
      </c>
      <c r="D41" s="256"/>
      <c r="E41" s="267"/>
      <c r="F41" s="258"/>
      <c r="G41" s="256"/>
      <c r="H41" s="258"/>
      <c r="I41" s="258"/>
      <c r="J41" s="258"/>
      <c r="K41" s="258"/>
      <c r="L41" s="258"/>
      <c r="M41" s="258"/>
      <c r="N41" s="258"/>
      <c r="O41" s="258"/>
      <c r="P41" s="258"/>
      <c r="Q41" s="258"/>
      <c r="R41" s="258"/>
      <c r="S41" s="258"/>
      <c r="T41" s="258"/>
      <c r="U41" s="258"/>
      <c r="V41" s="258"/>
    </row>
    <row r="42" spans="2:22" x14ac:dyDescent="0.2">
      <c r="B42" s="142"/>
      <c r="C42" s="143"/>
      <c r="D42" s="256"/>
      <c r="E42" s="267"/>
      <c r="F42" s="258"/>
      <c r="G42" s="260"/>
      <c r="H42" s="258"/>
      <c r="I42" s="258"/>
      <c r="J42" s="258"/>
      <c r="K42" s="258"/>
      <c r="L42" s="258"/>
      <c r="M42" s="258"/>
      <c r="N42" s="258"/>
      <c r="O42" s="258"/>
      <c r="P42" s="258"/>
      <c r="Q42" s="258"/>
      <c r="R42" s="258"/>
      <c r="S42" s="258"/>
      <c r="T42" s="258"/>
      <c r="U42" s="258"/>
      <c r="V42" s="258"/>
    </row>
    <row r="43" spans="2:22" ht="13.5" thickBot="1" x14ac:dyDescent="0.25">
      <c r="B43" s="144"/>
      <c r="C43" s="145"/>
      <c r="D43" s="256"/>
      <c r="E43" s="267"/>
      <c r="F43" s="258"/>
      <c r="G43" s="260"/>
      <c r="H43" s="258"/>
      <c r="I43" s="258"/>
      <c r="J43" s="258"/>
      <c r="K43" s="258"/>
      <c r="L43" s="258"/>
      <c r="M43" s="258"/>
      <c r="N43" s="258"/>
      <c r="O43" s="258"/>
      <c r="P43" s="258"/>
      <c r="Q43" s="258"/>
      <c r="R43" s="258"/>
      <c r="S43" s="258"/>
      <c r="T43" s="258"/>
      <c r="U43" s="258"/>
      <c r="V43" s="258"/>
    </row>
    <row r="44" spans="2:22" x14ac:dyDescent="0.2">
      <c r="B44" s="256"/>
      <c r="C44" s="256"/>
      <c r="D44" s="256"/>
      <c r="E44" s="267"/>
      <c r="F44" s="258"/>
      <c r="G44" s="260"/>
      <c r="H44" s="258"/>
      <c r="I44" s="258"/>
      <c r="J44" s="258"/>
      <c r="K44" s="258"/>
      <c r="L44" s="258"/>
      <c r="M44" s="258"/>
      <c r="N44" s="258"/>
      <c r="O44" s="258"/>
      <c r="P44" s="258"/>
      <c r="Q44" s="258"/>
      <c r="R44" s="258"/>
      <c r="S44" s="258"/>
      <c r="T44" s="258"/>
      <c r="U44" s="258"/>
      <c r="V44" s="258"/>
    </row>
    <row r="45" spans="2:22" x14ac:dyDescent="0.2">
      <c r="B45" s="256"/>
      <c r="C45" s="256"/>
      <c r="D45" s="256"/>
      <c r="E45" s="267"/>
      <c r="F45" s="258"/>
      <c r="G45" s="256"/>
      <c r="H45" s="258"/>
      <c r="I45" s="258"/>
      <c r="J45" s="258"/>
      <c r="K45" s="258"/>
      <c r="L45" s="258"/>
      <c r="M45" s="258"/>
      <c r="N45" s="258"/>
      <c r="O45" s="258"/>
      <c r="P45" s="258"/>
      <c r="Q45" s="258"/>
      <c r="R45" s="258"/>
      <c r="S45" s="258"/>
      <c r="T45" s="258"/>
      <c r="U45" s="258"/>
      <c r="V45" s="258"/>
    </row>
    <row r="46" spans="2:22" x14ac:dyDescent="0.2">
      <c r="B46" s="256"/>
      <c r="C46" s="256"/>
      <c r="D46" s="256"/>
      <c r="E46" s="267"/>
      <c r="F46" s="258"/>
      <c r="G46" s="261"/>
      <c r="H46" s="258"/>
      <c r="I46" s="258"/>
      <c r="J46" s="258"/>
      <c r="K46" s="258"/>
      <c r="L46" s="258"/>
      <c r="M46" s="258"/>
      <c r="N46" s="258"/>
      <c r="O46" s="258"/>
      <c r="P46" s="258"/>
      <c r="Q46" s="258"/>
      <c r="R46" s="258"/>
      <c r="S46" s="258"/>
      <c r="T46" s="258"/>
      <c r="U46" s="258"/>
      <c r="V46" s="258"/>
    </row>
    <row r="47" spans="2:22" x14ac:dyDescent="0.2">
      <c r="B47" s="256"/>
      <c r="C47" s="256"/>
      <c r="D47" s="256"/>
      <c r="E47" s="267"/>
      <c r="F47" s="258"/>
      <c r="G47" s="256"/>
      <c r="H47" s="258"/>
      <c r="I47" s="258"/>
      <c r="J47" s="258"/>
      <c r="K47" s="258"/>
      <c r="L47" s="258"/>
      <c r="M47" s="258"/>
      <c r="N47" s="258"/>
      <c r="O47" s="258"/>
      <c r="P47" s="258"/>
      <c r="Q47" s="258"/>
      <c r="R47" s="258"/>
      <c r="S47" s="258"/>
      <c r="T47" s="258"/>
      <c r="U47" s="258"/>
      <c r="V47" s="258"/>
    </row>
    <row r="48" spans="2:22" x14ac:dyDescent="0.2">
      <c r="B48" s="256"/>
      <c r="C48" s="256"/>
      <c r="D48" s="256"/>
      <c r="E48" s="267"/>
      <c r="F48" s="258"/>
      <c r="G48" s="256"/>
      <c r="H48" s="258"/>
      <c r="I48" s="258"/>
      <c r="J48" s="258"/>
      <c r="K48" s="258"/>
      <c r="L48" s="258"/>
      <c r="M48" s="258"/>
      <c r="N48" s="258"/>
      <c r="O48" s="258"/>
      <c r="P48" s="258"/>
      <c r="Q48" s="258"/>
      <c r="R48" s="258"/>
      <c r="S48" s="258"/>
      <c r="T48" s="258"/>
      <c r="U48" s="258"/>
      <c r="V48" s="258"/>
    </row>
    <row r="49" spans="1:22" x14ac:dyDescent="0.2">
      <c r="A49" s="256"/>
      <c r="B49" s="256"/>
      <c r="C49" s="256"/>
      <c r="D49" s="256"/>
      <c r="E49" s="267"/>
      <c r="F49" s="258"/>
      <c r="G49" s="275"/>
      <c r="H49" s="258"/>
      <c r="I49" s="258"/>
      <c r="J49" s="258"/>
      <c r="K49" s="258"/>
      <c r="L49" s="258"/>
      <c r="M49" s="258"/>
      <c r="N49" s="258"/>
      <c r="O49" s="258"/>
      <c r="P49" s="258"/>
      <c r="Q49" s="258"/>
      <c r="R49" s="258"/>
      <c r="S49" s="258"/>
      <c r="T49" s="258"/>
      <c r="U49" s="258"/>
      <c r="V49" s="258"/>
    </row>
    <row r="50" spans="1:22" x14ac:dyDescent="0.2">
      <c r="A50" s="256"/>
      <c r="B50" s="256"/>
      <c r="C50" s="256"/>
      <c r="D50" s="256"/>
      <c r="E50" s="267"/>
      <c r="F50" s="258"/>
      <c r="G50" s="273"/>
      <c r="H50" s="258"/>
      <c r="I50" s="258"/>
      <c r="J50" s="258"/>
      <c r="K50" s="258"/>
      <c r="L50" s="258"/>
      <c r="M50" s="258"/>
      <c r="N50" s="258"/>
      <c r="O50" s="258"/>
      <c r="P50" s="258"/>
      <c r="Q50" s="258"/>
      <c r="R50" s="258"/>
      <c r="S50" s="258"/>
      <c r="T50" s="258"/>
      <c r="U50" s="258"/>
      <c r="V50" s="258"/>
    </row>
    <row r="51" spans="1:22" x14ac:dyDescent="0.2">
      <c r="A51" s="256"/>
      <c r="B51" s="256"/>
      <c r="C51" s="256"/>
      <c r="D51" s="256"/>
      <c r="E51" s="267"/>
      <c r="F51" s="267"/>
      <c r="G51" s="267"/>
      <c r="H51" s="258"/>
      <c r="I51" s="258"/>
      <c r="J51" s="258"/>
      <c r="K51" s="258"/>
      <c r="L51" s="258"/>
      <c r="M51" s="258"/>
      <c r="N51" s="258"/>
      <c r="O51" s="258"/>
      <c r="P51" s="258"/>
      <c r="Q51" s="258"/>
      <c r="R51" s="258"/>
      <c r="S51" s="258"/>
      <c r="T51" s="258"/>
      <c r="U51" s="258"/>
      <c r="V51" s="258"/>
    </row>
    <row r="52" spans="1:22" x14ac:dyDescent="0.2">
      <c r="A52" s="256"/>
      <c r="B52" s="256"/>
      <c r="C52" s="256"/>
      <c r="D52" s="256"/>
      <c r="E52" s="267"/>
      <c r="F52" s="267"/>
      <c r="G52" s="267"/>
      <c r="H52" s="258"/>
      <c r="I52" s="258"/>
      <c r="J52" s="258"/>
      <c r="K52" s="258"/>
      <c r="L52" s="258"/>
      <c r="M52" s="258"/>
      <c r="N52" s="258"/>
      <c r="O52" s="258"/>
      <c r="P52" s="258"/>
      <c r="Q52" s="258"/>
      <c r="R52" s="258"/>
      <c r="S52" s="258"/>
      <c r="T52" s="258"/>
      <c r="U52" s="258"/>
      <c r="V52" s="258"/>
    </row>
    <row r="53" spans="1:22" x14ac:dyDescent="0.2">
      <c r="A53" s="258"/>
      <c r="B53" s="258"/>
      <c r="C53" s="266"/>
      <c r="D53" s="267"/>
      <c r="E53" s="267"/>
      <c r="F53" s="267"/>
      <c r="G53" s="267"/>
      <c r="H53" s="258"/>
      <c r="I53" s="258"/>
      <c r="J53" s="258"/>
      <c r="K53" s="258"/>
      <c r="L53" s="258"/>
      <c r="M53" s="258"/>
      <c r="N53" s="258"/>
      <c r="O53" s="258"/>
      <c r="P53" s="258"/>
      <c r="Q53" s="258"/>
      <c r="R53" s="258"/>
      <c r="S53" s="258"/>
      <c r="T53" s="258"/>
      <c r="U53" s="258"/>
      <c r="V53" s="258"/>
    </row>
    <row r="54" spans="1:22" x14ac:dyDescent="0.2">
      <c r="A54" s="258"/>
      <c r="B54" s="258"/>
      <c r="C54" s="266"/>
      <c r="D54" s="267"/>
      <c r="E54" s="267"/>
      <c r="F54" s="267"/>
      <c r="G54" s="267"/>
      <c r="H54" s="258"/>
      <c r="I54" s="258"/>
      <c r="J54" s="258"/>
      <c r="K54" s="258"/>
      <c r="L54" s="258"/>
      <c r="M54" s="258"/>
      <c r="N54" s="258"/>
      <c r="O54" s="258"/>
      <c r="P54" s="258"/>
      <c r="Q54" s="258"/>
      <c r="R54" s="258"/>
      <c r="S54" s="258"/>
      <c r="T54" s="258"/>
      <c r="U54" s="258"/>
      <c r="V54" s="258"/>
    </row>
    <row r="55" spans="1:22" x14ac:dyDescent="0.2">
      <c r="A55" s="258"/>
      <c r="B55" s="258"/>
      <c r="C55" s="266"/>
      <c r="D55" s="267"/>
      <c r="E55" s="267"/>
      <c r="F55" s="267"/>
      <c r="G55" s="267"/>
      <c r="H55" s="258"/>
      <c r="I55" s="258"/>
      <c r="J55" s="258"/>
      <c r="K55" s="258"/>
      <c r="L55" s="258"/>
      <c r="M55" s="258"/>
      <c r="N55" s="258"/>
      <c r="O55" s="258"/>
      <c r="P55" s="258"/>
      <c r="Q55" s="258"/>
      <c r="R55" s="258"/>
      <c r="S55" s="258"/>
      <c r="T55" s="258"/>
      <c r="U55" s="258"/>
      <c r="V55" s="258"/>
    </row>
    <row r="56" spans="1:22" x14ac:dyDescent="0.2">
      <c r="A56" s="258"/>
      <c r="B56" s="258"/>
      <c r="C56" s="266"/>
      <c r="D56" s="267"/>
      <c r="E56" s="267"/>
      <c r="F56" s="267"/>
      <c r="G56" s="267"/>
      <c r="H56" s="258"/>
      <c r="I56" s="256"/>
      <c r="J56" s="256"/>
      <c r="K56" s="256"/>
      <c r="L56" s="256"/>
      <c r="M56" s="256"/>
      <c r="N56" s="256"/>
      <c r="O56" s="256"/>
      <c r="P56" s="256"/>
      <c r="Q56" s="256"/>
      <c r="R56" s="256"/>
      <c r="S56" s="256"/>
      <c r="T56" s="256"/>
      <c r="U56" s="256"/>
      <c r="V56" s="256"/>
    </row>
    <row r="57" spans="1:22" x14ac:dyDescent="0.2">
      <c r="A57" s="258"/>
      <c r="B57" s="258"/>
      <c r="C57" s="266"/>
      <c r="D57" s="267"/>
      <c r="E57" s="267"/>
      <c r="F57" s="267"/>
      <c r="G57" s="267"/>
      <c r="H57" s="256"/>
      <c r="I57" s="256"/>
      <c r="J57" s="256"/>
      <c r="K57" s="256"/>
      <c r="L57" s="256"/>
      <c r="M57" s="256"/>
      <c r="N57" s="256"/>
      <c r="O57" s="256"/>
      <c r="P57" s="256"/>
      <c r="Q57" s="256"/>
      <c r="R57" s="256"/>
      <c r="S57" s="256"/>
      <c r="T57" s="256"/>
      <c r="U57" s="256"/>
      <c r="V57" s="256"/>
    </row>
    <row r="58" spans="1:22" x14ac:dyDescent="0.2">
      <c r="A58" s="258"/>
      <c r="B58" s="258"/>
      <c r="C58" s="266"/>
      <c r="D58" s="267"/>
      <c r="E58" s="267"/>
      <c r="F58" s="267"/>
      <c r="G58" s="267"/>
      <c r="H58" s="256"/>
      <c r="I58" s="256"/>
      <c r="J58" s="256"/>
      <c r="K58" s="256"/>
      <c r="L58" s="256"/>
      <c r="M58" s="256"/>
      <c r="N58" s="256"/>
      <c r="O58" s="256"/>
      <c r="P58" s="256"/>
      <c r="Q58" s="256"/>
      <c r="R58" s="256"/>
      <c r="S58" s="256"/>
      <c r="T58" s="256"/>
      <c r="U58" s="256"/>
      <c r="V58" s="256"/>
    </row>
    <row r="59" spans="1:22" x14ac:dyDescent="0.2">
      <c r="A59" s="258"/>
      <c r="B59" s="258"/>
      <c r="C59" s="266"/>
      <c r="D59" s="267"/>
      <c r="E59" s="267"/>
      <c r="F59" s="267"/>
      <c r="G59" s="267"/>
      <c r="H59" s="256"/>
      <c r="I59" s="256"/>
      <c r="J59" s="256"/>
      <c r="K59" s="256"/>
      <c r="L59" s="256"/>
      <c r="M59" s="256"/>
      <c r="N59" s="256"/>
      <c r="O59" s="256"/>
      <c r="P59" s="256"/>
      <c r="Q59" s="256"/>
      <c r="R59" s="256"/>
      <c r="S59" s="256"/>
      <c r="T59" s="256"/>
      <c r="U59" s="256"/>
      <c r="V59" s="256"/>
    </row>
    <row r="60" spans="1:22" x14ac:dyDescent="0.2">
      <c r="A60" s="258"/>
      <c r="B60" s="258"/>
      <c r="C60" s="266"/>
      <c r="D60" s="267"/>
      <c r="E60" s="267"/>
      <c r="F60" s="267"/>
      <c r="G60" s="267"/>
      <c r="H60" s="256"/>
      <c r="I60" s="256"/>
      <c r="J60" s="256"/>
      <c r="K60" s="256"/>
      <c r="L60" s="256"/>
      <c r="M60" s="256"/>
      <c r="N60" s="256"/>
      <c r="O60" s="256"/>
      <c r="P60" s="256"/>
      <c r="Q60" s="256"/>
      <c r="R60" s="256"/>
      <c r="S60" s="256"/>
      <c r="T60" s="256"/>
      <c r="U60" s="256"/>
      <c r="V60" s="256"/>
    </row>
    <row r="61" spans="1:22" x14ac:dyDescent="0.2">
      <c r="A61" s="258"/>
      <c r="B61" s="258"/>
      <c r="C61" s="266"/>
      <c r="D61" s="267"/>
      <c r="E61" s="267"/>
      <c r="F61" s="267"/>
      <c r="G61" s="267"/>
      <c r="H61" s="256"/>
      <c r="I61" s="256"/>
      <c r="J61" s="256"/>
      <c r="K61" s="256"/>
      <c r="L61" s="256"/>
      <c r="M61" s="256"/>
      <c r="N61" s="256"/>
      <c r="O61" s="256"/>
      <c r="P61" s="256"/>
      <c r="Q61" s="256"/>
      <c r="R61" s="256"/>
      <c r="S61" s="256"/>
      <c r="T61" s="256"/>
      <c r="U61" s="256"/>
      <c r="V61" s="256"/>
    </row>
    <row r="62" spans="1:22" x14ac:dyDescent="0.2">
      <c r="A62" s="258"/>
      <c r="B62" s="258"/>
      <c r="C62" s="266"/>
      <c r="D62" s="267"/>
      <c r="E62" s="267"/>
      <c r="F62" s="267"/>
      <c r="G62" s="267"/>
      <c r="H62" s="256"/>
      <c r="I62" s="256"/>
      <c r="J62" s="256"/>
      <c r="K62" s="256"/>
      <c r="L62" s="256"/>
      <c r="M62" s="256"/>
      <c r="N62" s="256"/>
      <c r="O62" s="256"/>
      <c r="P62" s="256"/>
      <c r="Q62" s="256"/>
      <c r="R62" s="256"/>
      <c r="S62" s="256"/>
      <c r="T62" s="256"/>
      <c r="U62" s="256"/>
      <c r="V62" s="256"/>
    </row>
    <row r="63" spans="1:22" x14ac:dyDescent="0.2">
      <c r="A63" s="258"/>
      <c r="B63" s="258"/>
      <c r="C63" s="266"/>
      <c r="D63" s="267"/>
      <c r="E63" s="267"/>
      <c r="F63" s="267"/>
      <c r="G63" s="267"/>
      <c r="H63" s="256"/>
      <c r="I63" s="256"/>
      <c r="J63" s="256"/>
      <c r="K63" s="256"/>
      <c r="L63" s="256"/>
      <c r="M63" s="256"/>
      <c r="N63" s="256"/>
      <c r="O63" s="256"/>
      <c r="P63" s="256"/>
      <c r="Q63" s="256"/>
      <c r="R63" s="256"/>
      <c r="S63" s="256"/>
      <c r="T63" s="256"/>
      <c r="U63" s="256"/>
      <c r="V63" s="256"/>
    </row>
    <row r="64" spans="1:22" x14ac:dyDescent="0.2">
      <c r="A64" s="258"/>
      <c r="B64" s="258"/>
      <c r="C64" s="266"/>
      <c r="D64" s="267"/>
      <c r="E64" s="267"/>
      <c r="F64" s="267"/>
      <c r="G64" s="267"/>
      <c r="H64" s="256"/>
      <c r="I64" s="256"/>
      <c r="J64" s="256"/>
      <c r="K64" s="256"/>
      <c r="L64" s="256"/>
      <c r="M64" s="256"/>
      <c r="N64" s="256"/>
      <c r="O64" s="256"/>
      <c r="P64" s="256"/>
      <c r="Q64" s="256"/>
      <c r="R64" s="256"/>
      <c r="S64" s="256"/>
      <c r="T64" s="256"/>
      <c r="U64" s="256"/>
      <c r="V64" s="256"/>
    </row>
    <row r="65" spans="1:7" x14ac:dyDescent="0.2">
      <c r="A65" s="258"/>
      <c r="B65" s="258"/>
      <c r="C65" s="266"/>
      <c r="D65" s="267"/>
      <c r="E65" s="267"/>
      <c r="F65" s="267"/>
      <c r="G65" s="267"/>
    </row>
    <row r="66" spans="1:7" x14ac:dyDescent="0.2">
      <c r="A66" s="258"/>
      <c r="B66" s="258"/>
      <c r="C66" s="266"/>
      <c r="D66" s="267"/>
      <c r="E66" s="267"/>
      <c r="F66" s="267"/>
      <c r="G66" s="267"/>
    </row>
    <row r="67" spans="1:7" x14ac:dyDescent="0.2">
      <c r="A67" s="258"/>
      <c r="B67" s="258"/>
      <c r="C67" s="266"/>
      <c r="D67" s="267"/>
      <c r="E67" s="267"/>
      <c r="F67" s="267"/>
      <c r="G67" s="267"/>
    </row>
    <row r="68" spans="1:7" x14ac:dyDescent="0.2">
      <c r="A68" s="258"/>
      <c r="B68" s="258"/>
      <c r="C68" s="266"/>
      <c r="D68" s="267"/>
      <c r="E68" s="267"/>
      <c r="F68" s="267"/>
      <c r="G68" s="267"/>
    </row>
    <row r="69" spans="1:7" x14ac:dyDescent="0.2">
      <c r="A69" s="258"/>
      <c r="B69" s="258"/>
      <c r="C69" s="266"/>
      <c r="D69" s="267"/>
      <c r="E69" s="267"/>
      <c r="F69" s="267"/>
      <c r="G69" s="267"/>
    </row>
    <row r="70" spans="1:7" x14ac:dyDescent="0.2">
      <c r="A70" s="258"/>
      <c r="B70" s="258"/>
      <c r="C70" s="256"/>
      <c r="D70" s="256"/>
      <c r="E70" s="256"/>
      <c r="F70" s="256"/>
      <c r="G70" s="256"/>
    </row>
  </sheetData>
  <mergeCells count="3">
    <mergeCell ref="C2:E2"/>
    <mergeCell ref="N5:P5"/>
    <mergeCell ref="R5:T5"/>
  </mergeCell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5:Y59"/>
  <sheetViews>
    <sheetView topLeftCell="C1" zoomScale="85" zoomScaleNormal="85" workbookViewId="0">
      <selection activeCell="G15" sqref="G15"/>
    </sheetView>
  </sheetViews>
  <sheetFormatPr defaultRowHeight="12.75" x14ac:dyDescent="0.2"/>
  <cols>
    <col min="4" max="4" width="37.42578125" customWidth="1"/>
    <col min="5" max="5" width="15.7109375" customWidth="1"/>
    <col min="9" max="9" width="13.28515625" customWidth="1"/>
    <col min="10" max="10" width="11.7109375" customWidth="1"/>
    <col min="11" max="11" width="11.42578125" customWidth="1"/>
    <col min="12" max="12" width="15" customWidth="1"/>
    <col min="13" max="13" width="13.7109375" customWidth="1"/>
  </cols>
  <sheetData>
    <row r="5" spans="3:4" x14ac:dyDescent="0.2">
      <c r="C5" s="247" t="s">
        <v>416</v>
      </c>
      <c r="D5" s="244"/>
    </row>
    <row r="7" spans="3:4" x14ac:dyDescent="0.2">
      <c r="C7" s="247" t="s">
        <v>417</v>
      </c>
      <c r="D7" s="244"/>
    </row>
    <row r="8" spans="3:4" x14ac:dyDescent="0.2">
      <c r="C8" s="247" t="s">
        <v>418</v>
      </c>
      <c r="D8" s="244"/>
    </row>
    <row r="10" spans="3:4" x14ac:dyDescent="0.2">
      <c r="C10" s="247" t="s">
        <v>419</v>
      </c>
      <c r="D10" s="244"/>
    </row>
    <row r="11" spans="3:4" x14ac:dyDescent="0.2">
      <c r="C11" s="247" t="s">
        <v>486</v>
      </c>
      <c r="D11" s="244"/>
    </row>
    <row r="12" spans="3:4" x14ac:dyDescent="0.2">
      <c r="C12" s="247" t="s">
        <v>487</v>
      </c>
      <c r="D12" s="244"/>
    </row>
    <row r="13" spans="3:4" x14ac:dyDescent="0.2">
      <c r="C13" s="247" t="s">
        <v>488</v>
      </c>
      <c r="D13" s="244"/>
    </row>
    <row r="14" spans="3:4" x14ac:dyDescent="0.2">
      <c r="C14" s="247" t="s">
        <v>430</v>
      </c>
      <c r="D14" s="247" t="s">
        <v>431</v>
      </c>
    </row>
    <row r="15" spans="3:4" ht="12" customHeight="1" x14ac:dyDescent="0.2">
      <c r="C15" s="247"/>
      <c r="D15" s="247" t="s">
        <v>433</v>
      </c>
    </row>
    <row r="16" spans="3:4" ht="12" customHeight="1" x14ac:dyDescent="0.2">
      <c r="C16" s="247"/>
      <c r="D16" s="247"/>
    </row>
    <row r="17" spans="3:13" ht="12" customHeight="1" x14ac:dyDescent="0.2">
      <c r="C17" s="247"/>
      <c r="D17" s="247"/>
      <c r="E17" s="244"/>
      <c r="F17" s="244"/>
      <c r="G17" s="244"/>
      <c r="H17" s="244"/>
      <c r="I17" s="244"/>
      <c r="J17" s="244"/>
      <c r="K17" s="244"/>
      <c r="L17" s="244"/>
      <c r="M17" s="244"/>
    </row>
    <row r="18" spans="3:13" ht="12" customHeight="1" x14ac:dyDescent="0.2">
      <c r="C18" s="247"/>
      <c r="D18" s="251" t="s">
        <v>448</v>
      </c>
      <c r="E18" s="244"/>
      <c r="F18" s="244"/>
      <c r="G18" s="244"/>
      <c r="H18" s="244"/>
      <c r="I18" s="244"/>
      <c r="J18" s="244"/>
      <c r="K18" s="244"/>
      <c r="L18" s="244"/>
      <c r="M18" s="244"/>
    </row>
    <row r="19" spans="3:13" x14ac:dyDescent="0.2">
      <c r="C19" s="247"/>
      <c r="D19" s="247" t="s">
        <v>446</v>
      </c>
      <c r="E19" s="244">
        <f>SOA!H25</f>
        <v>75</v>
      </c>
      <c r="F19" s="244"/>
      <c r="G19" s="244"/>
      <c r="H19" s="244"/>
      <c r="I19" s="244"/>
      <c r="J19" s="244"/>
      <c r="K19" s="244"/>
      <c r="L19" s="244"/>
      <c r="M19" s="244"/>
    </row>
    <row r="20" spans="3:13" x14ac:dyDescent="0.2">
      <c r="C20" s="244"/>
      <c r="D20" s="247" t="s">
        <v>428</v>
      </c>
      <c r="E20" s="244">
        <v>1.3</v>
      </c>
      <c r="F20" s="244"/>
      <c r="G20" s="244"/>
      <c r="H20" s="244"/>
      <c r="I20" s="252" t="s">
        <v>437</v>
      </c>
      <c r="J20" s="244"/>
      <c r="K20" s="250"/>
      <c r="L20" s="250"/>
      <c r="M20" s="250"/>
    </row>
    <row r="21" spans="3:13" x14ac:dyDescent="0.2">
      <c r="C21" s="244"/>
      <c r="D21" s="247" t="s">
        <v>420</v>
      </c>
      <c r="E21" s="244">
        <f>1/2*COUTMAX*VINMAX^2*0.000001</f>
        <v>7.8125E-2</v>
      </c>
      <c r="F21" s="244"/>
      <c r="G21" s="244"/>
      <c r="H21" s="244"/>
      <c r="I21" s="244"/>
      <c r="J21" s="251" t="s">
        <v>438</v>
      </c>
      <c r="K21" s="255" t="s">
        <v>439</v>
      </c>
      <c r="L21" s="255" t="s">
        <v>440</v>
      </c>
      <c r="M21" s="255" t="s">
        <v>441</v>
      </c>
    </row>
    <row r="22" spans="3:13" x14ac:dyDescent="0.2">
      <c r="C22" s="244"/>
      <c r="D22" s="247" t="s">
        <v>422</v>
      </c>
      <c r="E22" s="244">
        <f>MAX(Equations!F68-E21,0)</f>
        <v>0</v>
      </c>
      <c r="F22" s="244"/>
      <c r="G22" s="244"/>
      <c r="H22" s="244"/>
      <c r="I22" s="252" t="s">
        <v>442</v>
      </c>
      <c r="J22" s="248">
        <v>0.1</v>
      </c>
      <c r="K22" s="245">
        <v>1</v>
      </c>
      <c r="L22" s="250">
        <v>10</v>
      </c>
      <c r="M22" s="249">
        <v>100</v>
      </c>
    </row>
    <row r="23" spans="3:13" x14ac:dyDescent="0.2">
      <c r="C23" s="244"/>
      <c r="D23" s="247" t="s">
        <v>423</v>
      </c>
      <c r="E23" s="244">
        <f>Equations!F67</f>
        <v>56.81818181818182</v>
      </c>
      <c r="F23" s="244"/>
      <c r="G23" s="244"/>
      <c r="H23" s="244"/>
      <c r="I23" s="248" t="s">
        <v>443</v>
      </c>
      <c r="J23" s="245">
        <v>1</v>
      </c>
      <c r="K23" s="245">
        <v>10</v>
      </c>
      <c r="L23" s="250">
        <v>100</v>
      </c>
      <c r="M23" s="249">
        <v>1000</v>
      </c>
    </row>
    <row r="24" spans="3:13" x14ac:dyDescent="0.2">
      <c r="C24" s="244"/>
      <c r="D24" s="244"/>
      <c r="E24" s="244"/>
      <c r="F24" s="244"/>
      <c r="G24" s="244"/>
      <c r="H24" s="244"/>
      <c r="I24" s="248" t="s">
        <v>197</v>
      </c>
      <c r="J24" s="245">
        <f>SOA!C33</f>
        <v>30.000000000000004</v>
      </c>
      <c r="K24" s="245">
        <f>SOA!D33</f>
        <v>30</v>
      </c>
      <c r="L24" s="245">
        <f>SOA!E33</f>
        <v>36.000000000000007</v>
      </c>
      <c r="M24" s="245">
        <f>SOA!F33</f>
        <v>28.444444444444443</v>
      </c>
    </row>
    <row r="25" spans="3:13" x14ac:dyDescent="0.2">
      <c r="C25" s="244"/>
      <c r="D25" s="244" t="s">
        <v>204</v>
      </c>
      <c r="E25" s="244">
        <f>'Design Calculator'!F69</f>
        <v>0</v>
      </c>
      <c r="F25" s="244"/>
      <c r="G25" s="244"/>
      <c r="H25" s="244"/>
      <c r="I25" s="248" t="s">
        <v>198</v>
      </c>
      <c r="J25" s="243">
        <f>SOA!C34</f>
        <v>-0.47712125471966244</v>
      </c>
      <c r="K25" s="243">
        <f>SOA!D34</f>
        <v>-0.3979400086720376</v>
      </c>
      <c r="L25" s="243">
        <f>SOA!E34</f>
        <v>-0.47712125471966244</v>
      </c>
      <c r="M25" s="243">
        <f>SOA!F34</f>
        <v>-0.4259687322722811</v>
      </c>
    </row>
    <row r="26" spans="3:13" x14ac:dyDescent="0.2">
      <c r="C26" s="244"/>
      <c r="D26" s="244" t="s">
        <v>147</v>
      </c>
      <c r="E26" s="244" t="str">
        <f>'Design Calculator'!F70</f>
        <v>Constant Current</v>
      </c>
      <c r="F26" s="244"/>
      <c r="G26" s="244"/>
      <c r="H26" s="244"/>
      <c r="I26" s="244"/>
      <c r="J26" s="244"/>
      <c r="K26" s="244"/>
      <c r="L26" s="244"/>
      <c r="M26" s="244"/>
    </row>
    <row r="27" spans="3:13" x14ac:dyDescent="0.2">
      <c r="C27" s="244"/>
      <c r="D27" s="244" t="s">
        <v>148</v>
      </c>
      <c r="E27" s="244">
        <f>'Design Calculator'!F71</f>
        <v>0</v>
      </c>
      <c r="F27" s="244"/>
      <c r="G27" s="244"/>
      <c r="H27" s="244"/>
      <c r="I27" s="253" t="s">
        <v>459</v>
      </c>
      <c r="J27" s="251" t="s">
        <v>161</v>
      </c>
      <c r="K27" s="244"/>
      <c r="L27" s="244"/>
      <c r="M27" s="244"/>
    </row>
    <row r="28" spans="3:13" x14ac:dyDescent="0.2">
      <c r="C28" s="244"/>
      <c r="D28" s="244"/>
      <c r="E28" s="244"/>
      <c r="F28" s="244"/>
      <c r="G28" s="244" t="s">
        <v>457</v>
      </c>
      <c r="H28" s="244"/>
      <c r="I28" s="246">
        <f>SUM(E58:X58)</f>
        <v>12</v>
      </c>
      <c r="J28" s="246">
        <f>IF(I28=0, "NA", I28/AVERAGE(1, E32))</f>
        <v>13.662394164676858</v>
      </c>
      <c r="K28" s="244"/>
      <c r="L28" s="244"/>
      <c r="M28" s="244"/>
    </row>
    <row r="29" spans="3:13" x14ac:dyDescent="0.2">
      <c r="C29" s="244"/>
      <c r="D29" s="247" t="s">
        <v>484</v>
      </c>
      <c r="E29" s="244">
        <f>12/1</f>
        <v>12</v>
      </c>
      <c r="F29" s="244"/>
      <c r="G29" s="244" t="s">
        <v>458</v>
      </c>
      <c r="H29" s="244"/>
      <c r="I29" s="246">
        <f>SUM(E59:X59)</f>
        <v>5.9999999999999984E-2</v>
      </c>
      <c r="J29" s="246">
        <f>IF(I29=0, "NA", I29*AVERAGE(1,E32))</f>
        <v>5.2699401826768279E-2</v>
      </c>
      <c r="K29" s="244"/>
      <c r="L29" s="244"/>
      <c r="M29" s="244"/>
    </row>
    <row r="30" spans="3:13" x14ac:dyDescent="0.2">
      <c r="C30" s="244"/>
      <c r="D30" s="247" t="s">
        <v>485</v>
      </c>
      <c r="E30" s="244">
        <v>0.06</v>
      </c>
      <c r="F30" s="244"/>
      <c r="G30" s="244"/>
      <c r="H30" s="244"/>
      <c r="I30" s="244"/>
      <c r="J30" s="244"/>
      <c r="K30" s="244"/>
      <c r="L30" s="244"/>
      <c r="M30" s="244"/>
    </row>
    <row r="31" spans="3:13" x14ac:dyDescent="0.2">
      <c r="C31" s="244"/>
      <c r="D31" s="247" t="s">
        <v>449</v>
      </c>
      <c r="E31" s="244">
        <v>20</v>
      </c>
      <c r="F31" s="244"/>
      <c r="G31" s="244"/>
      <c r="H31" s="244"/>
      <c r="I31" s="244"/>
      <c r="J31" s="244"/>
      <c r="K31" s="244"/>
      <c r="L31" s="244"/>
      <c r="M31" s="244"/>
    </row>
    <row r="32" spans="3:13" x14ac:dyDescent="0.2">
      <c r="C32" s="244"/>
      <c r="D32" s="247" t="s">
        <v>450</v>
      </c>
      <c r="E32" s="244">
        <f>(E30/E29)^(1/(E31-1))</f>
        <v>0.75664672755894302</v>
      </c>
      <c r="F32" s="244"/>
      <c r="G32" s="244"/>
      <c r="H32" s="244"/>
      <c r="I32" s="244"/>
      <c r="J32" s="244"/>
      <c r="K32" s="244"/>
      <c r="L32" s="244"/>
      <c r="M32" s="244"/>
    </row>
    <row r="33" spans="4:24" x14ac:dyDescent="0.2">
      <c r="D33" s="247"/>
      <c r="E33" s="244"/>
      <c r="F33" s="244"/>
      <c r="G33" s="244"/>
      <c r="H33" s="244"/>
      <c r="I33" s="244"/>
      <c r="J33" s="244"/>
      <c r="K33" s="244"/>
      <c r="L33" s="244"/>
      <c r="M33" s="244"/>
      <c r="N33" s="244"/>
      <c r="O33" s="244"/>
      <c r="P33" s="244"/>
      <c r="Q33" s="244"/>
      <c r="R33" s="244"/>
      <c r="S33" s="244"/>
      <c r="T33" s="244"/>
      <c r="U33" s="244"/>
      <c r="V33" s="244"/>
      <c r="W33" s="244"/>
      <c r="X33" s="244"/>
    </row>
    <row r="34" spans="4:24" x14ac:dyDescent="0.2">
      <c r="D34" s="244"/>
      <c r="E34" s="244">
        <v>1</v>
      </c>
      <c r="F34" s="244">
        <v>2</v>
      </c>
      <c r="G34" s="244">
        <v>3</v>
      </c>
      <c r="H34" s="244">
        <v>4</v>
      </c>
      <c r="I34" s="244">
        <v>5</v>
      </c>
      <c r="J34" s="244">
        <v>6</v>
      </c>
      <c r="K34" s="244">
        <v>7</v>
      </c>
      <c r="L34" s="244">
        <v>8</v>
      </c>
      <c r="M34" s="244">
        <v>9</v>
      </c>
      <c r="N34" s="244">
        <v>10</v>
      </c>
      <c r="O34" s="244">
        <v>11</v>
      </c>
      <c r="P34" s="244">
        <v>12</v>
      </c>
      <c r="Q34" s="244">
        <v>13</v>
      </c>
      <c r="R34" s="244">
        <v>14</v>
      </c>
      <c r="S34" s="244">
        <v>15</v>
      </c>
      <c r="T34" s="244">
        <v>16</v>
      </c>
      <c r="U34" s="244">
        <v>17</v>
      </c>
      <c r="V34" s="244">
        <v>18</v>
      </c>
      <c r="W34" s="244">
        <v>19</v>
      </c>
      <c r="X34" s="244">
        <v>20</v>
      </c>
    </row>
    <row r="35" spans="4:24" x14ac:dyDescent="0.2">
      <c r="D35" s="254" t="s">
        <v>421</v>
      </c>
      <c r="E35" s="254">
        <f>E29</f>
        <v>12</v>
      </c>
      <c r="F35" s="254">
        <f t="shared" ref="F35:X35" si="0">E35*$E$32</f>
        <v>9.0797607307073172</v>
      </c>
      <c r="G35" s="254">
        <f t="shared" si="0"/>
        <v>6.8701712439078886</v>
      </c>
      <c r="H35" s="254">
        <f t="shared" si="0"/>
        <v>5.198292589472457</v>
      </c>
      <c r="I35" s="254">
        <f t="shared" si="0"/>
        <v>3.9332710767182384</v>
      </c>
      <c r="J35" s="254">
        <f t="shared" si="0"/>
        <v>2.9760966888010953</v>
      </c>
      <c r="K35" s="254">
        <f t="shared" si="0"/>
        <v>2.2518538204803549</v>
      </c>
      <c r="L35" s="254">
        <f t="shared" si="0"/>
        <v>1.7038578242075642</v>
      </c>
      <c r="M35" s="254">
        <f t="shared" si="0"/>
        <v>1.2892184469123542</v>
      </c>
      <c r="N35" s="254">
        <f t="shared" si="0"/>
        <v>0.97548291896485573</v>
      </c>
      <c r="O35" s="254">
        <f t="shared" si="0"/>
        <v>0.73809595842440368</v>
      </c>
      <c r="P35" s="254">
        <f t="shared" si="0"/>
        <v>0.55847789156630667</v>
      </c>
      <c r="Q35" s="254">
        <f t="shared" si="0"/>
        <v>0.42257046906766416</v>
      </c>
      <c r="R35" s="254">
        <f t="shared" si="0"/>
        <v>0.31973656258309563</v>
      </c>
      <c r="S35" s="254">
        <f t="shared" si="0"/>
        <v>0.24192762375944449</v>
      </c>
      <c r="T35" s="254">
        <f t="shared" si="0"/>
        <v>0.18305374482369485</v>
      </c>
      <c r="U35" s="254">
        <f t="shared" si="0"/>
        <v>0.13850701698825851</v>
      </c>
      <c r="V35" s="254">
        <f t="shared" si="0"/>
        <v>0.10480088114811673</v>
      </c>
      <c r="W35" s="254">
        <f t="shared" si="0"/>
        <v>7.929724376601624E-2</v>
      </c>
      <c r="X35" s="254">
        <f t="shared" si="0"/>
        <v>5.9999999999999984E-2</v>
      </c>
    </row>
    <row r="36" spans="4:24" x14ac:dyDescent="0.2">
      <c r="D36" s="247" t="s">
        <v>424</v>
      </c>
      <c r="E36" s="244">
        <f t="shared" ref="E36:X36" si="1">VINMAX/E35</f>
        <v>1.0416666666666667</v>
      </c>
      <c r="F36" s="244">
        <f t="shared" si="1"/>
        <v>1.3766882598266712</v>
      </c>
      <c r="G36" s="244">
        <f t="shared" si="1"/>
        <v>1.8194597421548047</v>
      </c>
      <c r="H36" s="244">
        <f t="shared" si="1"/>
        <v>2.4046357116017103</v>
      </c>
      <c r="I36" s="244">
        <f t="shared" si="1"/>
        <v>3.1780164031891474</v>
      </c>
      <c r="J36" s="244">
        <f t="shared" si="1"/>
        <v>4.2001323569348008</v>
      </c>
      <c r="K36" s="244">
        <f t="shared" si="1"/>
        <v>5.5509819892898546</v>
      </c>
      <c r="L36" s="244">
        <f t="shared" si="1"/>
        <v>7.3362928657580575</v>
      </c>
      <c r="M36" s="244">
        <f t="shared" si="1"/>
        <v>9.6957967285817119</v>
      </c>
      <c r="N36" s="244">
        <f t="shared" si="1"/>
        <v>12.814165944868117</v>
      </c>
      <c r="O36" s="244">
        <f t="shared" si="1"/>
        <v>16.935467343139855</v>
      </c>
      <c r="P36" s="244">
        <f t="shared" si="1"/>
        <v>22.38226470333948</v>
      </c>
      <c r="Q36" s="244">
        <f t="shared" si="1"/>
        <v>29.580865003603542</v>
      </c>
      <c r="R36" s="244">
        <f t="shared" si="1"/>
        <v>39.094684383339498</v>
      </c>
      <c r="S36" s="244">
        <f t="shared" si="1"/>
        <v>51.668345291685689</v>
      </c>
      <c r="T36" s="244">
        <f t="shared" si="1"/>
        <v>68.285956193024987</v>
      </c>
      <c r="U36" s="244">
        <f t="shared" si="1"/>
        <v>90.248135233896832</v>
      </c>
      <c r="V36" s="244">
        <f t="shared" si="1"/>
        <v>119.27380631784531</v>
      </c>
      <c r="W36" s="244">
        <f t="shared" si="1"/>
        <v>157.63473490811319</v>
      </c>
      <c r="X36" s="244">
        <f t="shared" si="1"/>
        <v>208.3333333333334</v>
      </c>
    </row>
    <row r="37" spans="4:24" x14ac:dyDescent="0.2">
      <c r="D37" s="247" t="s">
        <v>425</v>
      </c>
      <c r="E37" s="244">
        <f t="shared" ref="E37:X37" si="2">E35*COUTMAX/1000</f>
        <v>12</v>
      </c>
      <c r="F37" s="244">
        <f t="shared" si="2"/>
        <v>9.0797607307073172</v>
      </c>
      <c r="G37" s="244">
        <f t="shared" si="2"/>
        <v>6.8701712439078886</v>
      </c>
      <c r="H37" s="244">
        <f t="shared" si="2"/>
        <v>5.198292589472457</v>
      </c>
      <c r="I37" s="244">
        <f t="shared" si="2"/>
        <v>3.9332710767182384</v>
      </c>
      <c r="J37" s="244">
        <f t="shared" si="2"/>
        <v>2.9760966888010953</v>
      </c>
      <c r="K37" s="244">
        <f t="shared" si="2"/>
        <v>2.2518538204803549</v>
      </c>
      <c r="L37" s="244">
        <f t="shared" si="2"/>
        <v>1.7038578242075642</v>
      </c>
      <c r="M37" s="244">
        <f t="shared" si="2"/>
        <v>1.2892184469123542</v>
      </c>
      <c r="N37" s="244">
        <f t="shared" si="2"/>
        <v>0.97548291896485573</v>
      </c>
      <c r="O37" s="244">
        <f t="shared" si="2"/>
        <v>0.73809595842440368</v>
      </c>
      <c r="P37" s="244">
        <f t="shared" si="2"/>
        <v>0.55847789156630667</v>
      </c>
      <c r="Q37" s="244">
        <f t="shared" si="2"/>
        <v>0.42257046906766416</v>
      </c>
      <c r="R37" s="244">
        <f t="shared" si="2"/>
        <v>0.31973656258309563</v>
      </c>
      <c r="S37" s="244">
        <f t="shared" si="2"/>
        <v>0.24192762375944449</v>
      </c>
      <c r="T37" s="244">
        <f t="shared" si="2"/>
        <v>0.18305374482369485</v>
      </c>
      <c r="U37" s="244">
        <f t="shared" si="2"/>
        <v>0.13850701698825849</v>
      </c>
      <c r="V37" s="244">
        <f t="shared" si="2"/>
        <v>0.10480088114811673</v>
      </c>
      <c r="W37" s="244">
        <f t="shared" si="2"/>
        <v>7.929724376601624E-2</v>
      </c>
      <c r="X37" s="244">
        <f t="shared" si="2"/>
        <v>5.9999999999999984E-2</v>
      </c>
    </row>
    <row r="38" spans="4:24" x14ac:dyDescent="0.2">
      <c r="D38" s="247" t="s">
        <v>426</v>
      </c>
      <c r="E38" s="244">
        <f t="shared" ref="E38:X38" si="3">$E$21+$E$22*E36/$E$23</f>
        <v>7.8125E-2</v>
      </c>
      <c r="F38" s="244">
        <f t="shared" si="3"/>
        <v>7.8125E-2</v>
      </c>
      <c r="G38" s="244">
        <f t="shared" si="3"/>
        <v>7.8125E-2</v>
      </c>
      <c r="H38" s="244">
        <f t="shared" si="3"/>
        <v>7.8125E-2</v>
      </c>
      <c r="I38" s="244">
        <f t="shared" si="3"/>
        <v>7.8125E-2</v>
      </c>
      <c r="J38" s="244">
        <f t="shared" si="3"/>
        <v>7.8125E-2</v>
      </c>
      <c r="K38" s="244">
        <f t="shared" si="3"/>
        <v>7.8125E-2</v>
      </c>
      <c r="L38" s="244">
        <f t="shared" si="3"/>
        <v>7.8125E-2</v>
      </c>
      <c r="M38" s="244">
        <f t="shared" si="3"/>
        <v>7.8125E-2</v>
      </c>
      <c r="N38" s="244">
        <f t="shared" si="3"/>
        <v>7.8125E-2</v>
      </c>
      <c r="O38" s="244">
        <f t="shared" si="3"/>
        <v>7.8125E-2</v>
      </c>
      <c r="P38" s="244">
        <f t="shared" si="3"/>
        <v>7.8125E-2</v>
      </c>
      <c r="Q38" s="244">
        <f t="shared" si="3"/>
        <v>7.8125E-2</v>
      </c>
      <c r="R38" s="244">
        <f t="shared" si="3"/>
        <v>7.8125E-2</v>
      </c>
      <c r="S38" s="244">
        <f t="shared" si="3"/>
        <v>7.8125E-2</v>
      </c>
      <c r="T38" s="244">
        <f t="shared" si="3"/>
        <v>7.8125E-2</v>
      </c>
      <c r="U38" s="244">
        <f t="shared" si="3"/>
        <v>7.8125E-2</v>
      </c>
      <c r="V38" s="244">
        <f t="shared" si="3"/>
        <v>7.8125E-2</v>
      </c>
      <c r="W38" s="244">
        <f t="shared" si="3"/>
        <v>7.8125E-2</v>
      </c>
      <c r="X38" s="244">
        <f t="shared" si="3"/>
        <v>7.8125E-2</v>
      </c>
    </row>
    <row r="39" spans="4:24" x14ac:dyDescent="0.2">
      <c r="D39" s="247" t="s">
        <v>429</v>
      </c>
      <c r="E39" s="244">
        <f t="shared" ref="E39:X39" si="4">(E37+IF($E$26="Resistive",0,IF($E$25=0,$E$27,0)))*VINMAX</f>
        <v>150</v>
      </c>
      <c r="F39" s="244">
        <f t="shared" si="4"/>
        <v>113.49700913384146</v>
      </c>
      <c r="G39" s="244">
        <f t="shared" si="4"/>
        <v>85.877140548848601</v>
      </c>
      <c r="H39" s="244">
        <f t="shared" si="4"/>
        <v>64.978657368405706</v>
      </c>
      <c r="I39" s="244">
        <f t="shared" si="4"/>
        <v>49.165888458977982</v>
      </c>
      <c r="J39" s="244">
        <f t="shared" si="4"/>
        <v>37.201208610013694</v>
      </c>
      <c r="K39" s="244">
        <f t="shared" si="4"/>
        <v>28.148172756004435</v>
      </c>
      <c r="L39" s="244">
        <f t="shared" si="4"/>
        <v>21.298222802594552</v>
      </c>
      <c r="M39" s="244">
        <f t="shared" si="4"/>
        <v>16.115230586404429</v>
      </c>
      <c r="N39" s="244">
        <f t="shared" si="4"/>
        <v>12.193536487060697</v>
      </c>
      <c r="O39" s="244">
        <f t="shared" si="4"/>
        <v>9.2261994803050467</v>
      </c>
      <c r="P39" s="244">
        <f t="shared" si="4"/>
        <v>6.9809736445788335</v>
      </c>
      <c r="Q39" s="244">
        <f t="shared" si="4"/>
        <v>5.2821308633458024</v>
      </c>
      <c r="R39" s="244">
        <f t="shared" si="4"/>
        <v>3.9967070322886955</v>
      </c>
      <c r="S39" s="244">
        <f t="shared" si="4"/>
        <v>3.0240952969930559</v>
      </c>
      <c r="T39" s="244">
        <f t="shared" si="4"/>
        <v>2.2881718102961859</v>
      </c>
      <c r="U39" s="244">
        <f t="shared" si="4"/>
        <v>1.731337712353231</v>
      </c>
      <c r="V39" s="244">
        <f t="shared" si="4"/>
        <v>1.3100110143514592</v>
      </c>
      <c r="W39" s="244">
        <f t="shared" si="4"/>
        <v>0.99121554707520299</v>
      </c>
      <c r="X39" s="244">
        <f t="shared" si="4"/>
        <v>0.74999999999999978</v>
      </c>
    </row>
    <row r="40" spans="4:24" x14ac:dyDescent="0.2">
      <c r="D40" s="247" t="s">
        <v>427</v>
      </c>
      <c r="E40" s="244">
        <f t="shared" ref="E40:X40" si="5">(E37+IF($E$26="Resistive", $E$25/$E$27,$E$27)) *(VINMAX-$E$25)</f>
        <v>150</v>
      </c>
      <c r="F40" s="244">
        <f t="shared" si="5"/>
        <v>113.49700913384146</v>
      </c>
      <c r="G40" s="244">
        <f t="shared" si="5"/>
        <v>85.877140548848601</v>
      </c>
      <c r="H40" s="244">
        <f t="shared" si="5"/>
        <v>64.978657368405706</v>
      </c>
      <c r="I40" s="244">
        <f t="shared" si="5"/>
        <v>49.165888458977982</v>
      </c>
      <c r="J40" s="244">
        <f t="shared" si="5"/>
        <v>37.201208610013694</v>
      </c>
      <c r="K40" s="244">
        <f t="shared" si="5"/>
        <v>28.148172756004435</v>
      </c>
      <c r="L40" s="244">
        <f t="shared" si="5"/>
        <v>21.298222802594552</v>
      </c>
      <c r="M40" s="244">
        <f t="shared" si="5"/>
        <v>16.115230586404429</v>
      </c>
      <c r="N40" s="244">
        <f t="shared" si="5"/>
        <v>12.193536487060697</v>
      </c>
      <c r="O40" s="244">
        <f t="shared" si="5"/>
        <v>9.2261994803050467</v>
      </c>
      <c r="P40" s="244">
        <f t="shared" si="5"/>
        <v>6.9809736445788335</v>
      </c>
      <c r="Q40" s="244">
        <f t="shared" si="5"/>
        <v>5.2821308633458024</v>
      </c>
      <c r="R40" s="244">
        <f t="shared" si="5"/>
        <v>3.9967070322886955</v>
      </c>
      <c r="S40" s="244">
        <f t="shared" si="5"/>
        <v>3.0240952969930559</v>
      </c>
      <c r="T40" s="244">
        <f t="shared" si="5"/>
        <v>2.2881718102961859</v>
      </c>
      <c r="U40" s="244">
        <f t="shared" si="5"/>
        <v>1.731337712353231</v>
      </c>
      <c r="V40" s="244">
        <f t="shared" si="5"/>
        <v>1.3100110143514592</v>
      </c>
      <c r="W40" s="244">
        <f t="shared" si="5"/>
        <v>0.99121554707520299</v>
      </c>
      <c r="X40" s="244">
        <f t="shared" si="5"/>
        <v>0.74999999999999978</v>
      </c>
    </row>
    <row r="41" spans="4:24" x14ac:dyDescent="0.2">
      <c r="D41" s="247" t="s">
        <v>432</v>
      </c>
      <c r="E41" s="244">
        <f t="shared" ref="E41:X41" si="6">IF($E$26="Resistive", -$E$27*E37/2 + VINMAX/2, -1)</f>
        <v>-1</v>
      </c>
      <c r="F41" s="244">
        <f t="shared" si="6"/>
        <v>-1</v>
      </c>
      <c r="G41" s="244">
        <f t="shared" si="6"/>
        <v>-1</v>
      </c>
      <c r="H41" s="244">
        <f t="shared" si="6"/>
        <v>-1</v>
      </c>
      <c r="I41" s="244">
        <f t="shared" si="6"/>
        <v>-1</v>
      </c>
      <c r="J41" s="244">
        <f t="shared" si="6"/>
        <v>-1</v>
      </c>
      <c r="K41" s="244">
        <f t="shared" si="6"/>
        <v>-1</v>
      </c>
      <c r="L41" s="244">
        <f t="shared" si="6"/>
        <v>-1</v>
      </c>
      <c r="M41" s="244">
        <f t="shared" si="6"/>
        <v>-1</v>
      </c>
      <c r="N41" s="244">
        <f t="shared" si="6"/>
        <v>-1</v>
      </c>
      <c r="O41" s="244">
        <f t="shared" si="6"/>
        <v>-1</v>
      </c>
      <c r="P41" s="244">
        <f t="shared" si="6"/>
        <v>-1</v>
      </c>
      <c r="Q41" s="244">
        <f t="shared" si="6"/>
        <v>-1</v>
      </c>
      <c r="R41" s="244">
        <f t="shared" si="6"/>
        <v>-1</v>
      </c>
      <c r="S41" s="244">
        <f t="shared" si="6"/>
        <v>-1</v>
      </c>
      <c r="T41" s="244">
        <f t="shared" si="6"/>
        <v>-1</v>
      </c>
      <c r="U41" s="244">
        <f t="shared" si="6"/>
        <v>-1</v>
      </c>
      <c r="V41" s="244">
        <f t="shared" si="6"/>
        <v>-1</v>
      </c>
      <c r="W41" s="244">
        <f t="shared" si="6"/>
        <v>-1</v>
      </c>
      <c r="X41" s="244">
        <f t="shared" si="6"/>
        <v>-1</v>
      </c>
    </row>
    <row r="42" spans="4:24" x14ac:dyDescent="0.2">
      <c r="D42" s="247" t="s">
        <v>434</v>
      </c>
      <c r="E42" s="244">
        <f t="shared" ref="E42:X42" si="7">IF(AND(E41&lt;VINMAX, E41&gt;$E$25), (VINMAX-E41)*(E37+E41/$E$27), 0)</f>
        <v>0</v>
      </c>
      <c r="F42" s="244">
        <f t="shared" si="7"/>
        <v>0</v>
      </c>
      <c r="G42" s="244">
        <f t="shared" si="7"/>
        <v>0</v>
      </c>
      <c r="H42" s="244">
        <f t="shared" si="7"/>
        <v>0</v>
      </c>
      <c r="I42" s="244">
        <f t="shared" si="7"/>
        <v>0</v>
      </c>
      <c r="J42" s="244">
        <f t="shared" si="7"/>
        <v>0</v>
      </c>
      <c r="K42" s="244">
        <f t="shared" si="7"/>
        <v>0</v>
      </c>
      <c r="L42" s="244">
        <f t="shared" si="7"/>
        <v>0</v>
      </c>
      <c r="M42" s="244">
        <f t="shared" si="7"/>
        <v>0</v>
      </c>
      <c r="N42" s="244">
        <f t="shared" si="7"/>
        <v>0</v>
      </c>
      <c r="O42" s="244">
        <f t="shared" si="7"/>
        <v>0</v>
      </c>
      <c r="P42" s="244">
        <f t="shared" si="7"/>
        <v>0</v>
      </c>
      <c r="Q42" s="244">
        <f t="shared" si="7"/>
        <v>0</v>
      </c>
      <c r="R42" s="244">
        <f t="shared" si="7"/>
        <v>0</v>
      </c>
      <c r="S42" s="244">
        <f t="shared" si="7"/>
        <v>0</v>
      </c>
      <c r="T42" s="244">
        <f t="shared" si="7"/>
        <v>0</v>
      </c>
      <c r="U42" s="244">
        <f t="shared" si="7"/>
        <v>0</v>
      </c>
      <c r="V42" s="244">
        <f t="shared" si="7"/>
        <v>0</v>
      </c>
      <c r="W42" s="244">
        <f t="shared" si="7"/>
        <v>0</v>
      </c>
      <c r="X42" s="244">
        <f t="shared" si="7"/>
        <v>0</v>
      </c>
    </row>
    <row r="44" spans="4:24" x14ac:dyDescent="0.2">
      <c r="D44" s="247" t="s">
        <v>435</v>
      </c>
      <c r="E44" s="244">
        <f t="shared" ref="E44:X44" si="8">MAX(E39,E40,E42)</f>
        <v>150</v>
      </c>
      <c r="F44" s="244">
        <f t="shared" si="8"/>
        <v>113.49700913384146</v>
      </c>
      <c r="G44" s="244">
        <f t="shared" si="8"/>
        <v>85.877140548848601</v>
      </c>
      <c r="H44" s="244">
        <f t="shared" si="8"/>
        <v>64.978657368405706</v>
      </c>
      <c r="I44" s="244">
        <f t="shared" si="8"/>
        <v>49.165888458977982</v>
      </c>
      <c r="J44" s="244">
        <f t="shared" si="8"/>
        <v>37.201208610013694</v>
      </c>
      <c r="K44" s="244">
        <f t="shared" si="8"/>
        <v>28.148172756004435</v>
      </c>
      <c r="L44" s="244">
        <f t="shared" si="8"/>
        <v>21.298222802594552</v>
      </c>
      <c r="M44" s="244">
        <f t="shared" si="8"/>
        <v>16.115230586404429</v>
      </c>
      <c r="N44" s="244">
        <f t="shared" si="8"/>
        <v>12.193536487060697</v>
      </c>
      <c r="O44" s="244">
        <f t="shared" si="8"/>
        <v>9.2261994803050467</v>
      </c>
      <c r="P44" s="244">
        <f t="shared" si="8"/>
        <v>6.9809736445788335</v>
      </c>
      <c r="Q44" s="244">
        <f t="shared" si="8"/>
        <v>5.2821308633458024</v>
      </c>
      <c r="R44" s="244">
        <f t="shared" si="8"/>
        <v>3.9967070322886955</v>
      </c>
      <c r="S44" s="244">
        <f t="shared" si="8"/>
        <v>3.0240952969930559</v>
      </c>
      <c r="T44" s="244">
        <f t="shared" si="8"/>
        <v>2.2881718102961859</v>
      </c>
      <c r="U44" s="244">
        <f t="shared" si="8"/>
        <v>1.731337712353231</v>
      </c>
      <c r="V44" s="244">
        <f t="shared" si="8"/>
        <v>1.3100110143514592</v>
      </c>
      <c r="W44" s="244">
        <f t="shared" si="8"/>
        <v>0.99121554707520299</v>
      </c>
      <c r="X44" s="244">
        <f t="shared" si="8"/>
        <v>0.74999999999999978</v>
      </c>
    </row>
    <row r="45" spans="4:24" x14ac:dyDescent="0.2">
      <c r="D45" s="247" t="s">
        <v>436</v>
      </c>
      <c r="E45" s="244">
        <f t="shared" ref="E45:X45" si="9">E38/E44*1000</f>
        <v>0.52083333333333337</v>
      </c>
      <c r="F45" s="244">
        <f t="shared" si="9"/>
        <v>0.68834412991333549</v>
      </c>
      <c r="G45" s="244">
        <f t="shared" si="9"/>
        <v>0.90972987107740233</v>
      </c>
      <c r="H45" s="244">
        <f t="shared" si="9"/>
        <v>1.2023178558008554</v>
      </c>
      <c r="I45" s="244">
        <f t="shared" si="9"/>
        <v>1.5890082015945735</v>
      </c>
      <c r="J45" s="244">
        <f t="shared" si="9"/>
        <v>2.1000661784674</v>
      </c>
      <c r="K45" s="244">
        <f t="shared" si="9"/>
        <v>2.7754909946449273</v>
      </c>
      <c r="L45" s="244">
        <f t="shared" si="9"/>
        <v>3.6681464328790288</v>
      </c>
      <c r="M45" s="244">
        <f t="shared" si="9"/>
        <v>4.847898364290856</v>
      </c>
      <c r="N45" s="244">
        <f t="shared" si="9"/>
        <v>6.4070829724340586</v>
      </c>
      <c r="O45" s="244">
        <f t="shared" si="9"/>
        <v>8.4677336715699258</v>
      </c>
      <c r="P45" s="244">
        <f t="shared" si="9"/>
        <v>11.19113235166974</v>
      </c>
      <c r="Q45" s="244">
        <f t="shared" si="9"/>
        <v>14.790432501801769</v>
      </c>
      <c r="R45" s="244">
        <f t="shared" si="9"/>
        <v>19.547342191669749</v>
      </c>
      <c r="S45" s="244">
        <f t="shared" si="9"/>
        <v>25.834172645842848</v>
      </c>
      <c r="T45" s="244">
        <f t="shared" si="9"/>
        <v>34.142978096512493</v>
      </c>
      <c r="U45" s="244">
        <f t="shared" si="9"/>
        <v>45.124067616948423</v>
      </c>
      <c r="V45" s="244">
        <f t="shared" si="9"/>
        <v>59.636903158922649</v>
      </c>
      <c r="W45" s="244">
        <f t="shared" si="9"/>
        <v>78.81736745405658</v>
      </c>
      <c r="X45" s="244">
        <f t="shared" si="9"/>
        <v>104.1666666666667</v>
      </c>
    </row>
    <row r="47" spans="4:24" x14ac:dyDescent="0.2">
      <c r="D47" s="247" t="s">
        <v>197</v>
      </c>
      <c r="E47" s="244">
        <f t="shared" ref="E47:X47" si="10">IF(E45&lt;$J$23,$J$24,IF(E45&lt;$K$23,$K$24,IF(E45&lt;$L$23,$L$24,$M$24)))</f>
        <v>30.000000000000004</v>
      </c>
      <c r="F47" s="244">
        <f t="shared" si="10"/>
        <v>30.000000000000004</v>
      </c>
      <c r="G47" s="244">
        <f t="shared" si="10"/>
        <v>30.000000000000004</v>
      </c>
      <c r="H47" s="244">
        <f t="shared" si="10"/>
        <v>30</v>
      </c>
      <c r="I47" s="244">
        <f t="shared" si="10"/>
        <v>30</v>
      </c>
      <c r="J47" s="244">
        <f t="shared" si="10"/>
        <v>30</v>
      </c>
      <c r="K47" s="244">
        <f t="shared" si="10"/>
        <v>30</v>
      </c>
      <c r="L47" s="244">
        <f t="shared" si="10"/>
        <v>30</v>
      </c>
      <c r="M47" s="244">
        <f t="shared" si="10"/>
        <v>30</v>
      </c>
      <c r="N47" s="244">
        <f t="shared" si="10"/>
        <v>30</v>
      </c>
      <c r="O47" s="244">
        <f t="shared" si="10"/>
        <v>30</v>
      </c>
      <c r="P47" s="244">
        <f t="shared" si="10"/>
        <v>36.000000000000007</v>
      </c>
      <c r="Q47" s="244">
        <f t="shared" si="10"/>
        <v>36.000000000000007</v>
      </c>
      <c r="R47" s="244">
        <f t="shared" si="10"/>
        <v>36.000000000000007</v>
      </c>
      <c r="S47" s="244">
        <f t="shared" si="10"/>
        <v>36.000000000000007</v>
      </c>
      <c r="T47" s="244">
        <f t="shared" si="10"/>
        <v>36.000000000000007</v>
      </c>
      <c r="U47" s="244">
        <f t="shared" si="10"/>
        <v>36.000000000000007</v>
      </c>
      <c r="V47" s="244">
        <f t="shared" si="10"/>
        <v>36.000000000000007</v>
      </c>
      <c r="W47" s="244">
        <f t="shared" si="10"/>
        <v>36.000000000000007</v>
      </c>
      <c r="X47" s="244">
        <f t="shared" si="10"/>
        <v>28.444444444444443</v>
      </c>
    </row>
    <row r="48" spans="4:24" x14ac:dyDescent="0.2">
      <c r="D48" s="247" t="s">
        <v>198</v>
      </c>
      <c r="E48" s="244">
        <f t="shared" ref="E48:X48" si="11">IF(E45&lt;$J$23,$J$25,IF(E45&lt;$K$23,$K$25,IF(E45&lt;$L$23,$L$25,$M$25)))</f>
        <v>-0.47712125471966244</v>
      </c>
      <c r="F48" s="244">
        <f t="shared" si="11"/>
        <v>-0.47712125471966244</v>
      </c>
      <c r="G48" s="244">
        <f t="shared" si="11"/>
        <v>-0.47712125471966244</v>
      </c>
      <c r="H48" s="244">
        <f t="shared" si="11"/>
        <v>-0.3979400086720376</v>
      </c>
      <c r="I48" s="244">
        <f t="shared" si="11"/>
        <v>-0.3979400086720376</v>
      </c>
      <c r="J48" s="244">
        <f t="shared" si="11"/>
        <v>-0.3979400086720376</v>
      </c>
      <c r="K48" s="244">
        <f t="shared" si="11"/>
        <v>-0.3979400086720376</v>
      </c>
      <c r="L48" s="244">
        <f t="shared" si="11"/>
        <v>-0.3979400086720376</v>
      </c>
      <c r="M48" s="244">
        <f t="shared" si="11"/>
        <v>-0.3979400086720376</v>
      </c>
      <c r="N48" s="244">
        <f t="shared" si="11"/>
        <v>-0.3979400086720376</v>
      </c>
      <c r="O48" s="244">
        <f t="shared" si="11"/>
        <v>-0.3979400086720376</v>
      </c>
      <c r="P48" s="244">
        <f t="shared" si="11"/>
        <v>-0.47712125471966244</v>
      </c>
      <c r="Q48" s="244">
        <f t="shared" si="11"/>
        <v>-0.47712125471966244</v>
      </c>
      <c r="R48" s="244">
        <f t="shared" si="11"/>
        <v>-0.47712125471966244</v>
      </c>
      <c r="S48" s="244">
        <f t="shared" si="11"/>
        <v>-0.47712125471966244</v>
      </c>
      <c r="T48" s="244">
        <f t="shared" si="11"/>
        <v>-0.47712125471966244</v>
      </c>
      <c r="U48" s="244">
        <f t="shared" si="11"/>
        <v>-0.47712125471966244</v>
      </c>
      <c r="V48" s="244">
        <f t="shared" si="11"/>
        <v>-0.47712125471966244</v>
      </c>
      <c r="W48" s="244">
        <f t="shared" si="11"/>
        <v>-0.47712125471966244</v>
      </c>
      <c r="X48" s="244">
        <f t="shared" si="11"/>
        <v>-0.4259687322722811</v>
      </c>
    </row>
    <row r="50" spans="4:25" x14ac:dyDescent="0.2">
      <c r="D50" s="247" t="s">
        <v>444</v>
      </c>
      <c r="E50" s="244">
        <f t="shared" ref="E50:X50" si="12">E47*E45^E48*VINMAX</f>
        <v>511.91788802090815</v>
      </c>
      <c r="F50" s="244">
        <f t="shared" si="12"/>
        <v>448.14407311544943</v>
      </c>
      <c r="G50" s="244">
        <f t="shared" si="12"/>
        <v>392.31508600907239</v>
      </c>
      <c r="H50" s="244">
        <f t="shared" si="12"/>
        <v>348.48844937637767</v>
      </c>
      <c r="I50" s="244">
        <f t="shared" si="12"/>
        <v>311.88546125519917</v>
      </c>
      <c r="J50" s="244">
        <f t="shared" si="12"/>
        <v>279.12701587796721</v>
      </c>
      <c r="K50" s="244">
        <f t="shared" si="12"/>
        <v>249.80930717122399</v>
      </c>
      <c r="L50" s="244">
        <f t="shared" si="12"/>
        <v>223.57094225752033</v>
      </c>
      <c r="M50" s="244">
        <f t="shared" si="12"/>
        <v>200.08848664575791</v>
      </c>
      <c r="N50" s="244">
        <f t="shared" si="12"/>
        <v>179.07247732612245</v>
      </c>
      <c r="O50" s="244">
        <f t="shared" si="12"/>
        <v>160.26385462391363</v>
      </c>
      <c r="P50" s="244">
        <f t="shared" si="12"/>
        <v>142.15836490774413</v>
      </c>
      <c r="Q50" s="244">
        <f t="shared" si="12"/>
        <v>124.44853006306124</v>
      </c>
      <c r="R50" s="244">
        <f t="shared" si="12"/>
        <v>108.94495476863055</v>
      </c>
      <c r="S50" s="244">
        <f t="shared" si="12"/>
        <v>95.372787155658884</v>
      </c>
      <c r="T50" s="244">
        <f t="shared" si="12"/>
        <v>83.491415909584589</v>
      </c>
      <c r="U50" s="244">
        <f t="shared" si="12"/>
        <v>73.090204643071743</v>
      </c>
      <c r="V50" s="244">
        <f t="shared" si="12"/>
        <v>63.984757673187808</v>
      </c>
      <c r="W50" s="244">
        <f t="shared" si="12"/>
        <v>56.013651001381405</v>
      </c>
      <c r="X50" s="244">
        <f t="shared" si="12"/>
        <v>49.138071051116086</v>
      </c>
      <c r="Y50" s="244"/>
    </row>
    <row r="51" spans="4:25" x14ac:dyDescent="0.2">
      <c r="D51" s="247" t="s">
        <v>445</v>
      </c>
      <c r="E51" s="244">
        <f t="shared" ref="E51:X51" si="13">E50*(TJMAX-$E$19)/(TJMAX - 25)</f>
        <v>307.1507328125449</v>
      </c>
      <c r="F51" s="244">
        <f t="shared" si="13"/>
        <v>268.88644386926967</v>
      </c>
      <c r="G51" s="244">
        <f t="shared" si="13"/>
        <v>235.38905160544343</v>
      </c>
      <c r="H51" s="244">
        <f t="shared" si="13"/>
        <v>209.09306962582662</v>
      </c>
      <c r="I51" s="244">
        <f t="shared" si="13"/>
        <v>187.13127675311952</v>
      </c>
      <c r="J51" s="244">
        <f t="shared" si="13"/>
        <v>167.47620952678034</v>
      </c>
      <c r="K51" s="244">
        <f t="shared" si="13"/>
        <v>149.8855843027344</v>
      </c>
      <c r="L51" s="244">
        <f t="shared" si="13"/>
        <v>134.14256535451219</v>
      </c>
      <c r="M51" s="244">
        <f t="shared" si="13"/>
        <v>120.05309198745474</v>
      </c>
      <c r="N51" s="244">
        <f t="shared" si="13"/>
        <v>107.44348639567347</v>
      </c>
      <c r="O51" s="244">
        <f t="shared" si="13"/>
        <v>96.158312774348175</v>
      </c>
      <c r="P51" s="244">
        <f t="shared" si="13"/>
        <v>85.295018944646486</v>
      </c>
      <c r="Q51" s="244">
        <f t="shared" si="13"/>
        <v>74.669118037836739</v>
      </c>
      <c r="R51" s="244">
        <f t="shared" si="13"/>
        <v>65.366972861178326</v>
      </c>
      <c r="S51" s="244">
        <f t="shared" si="13"/>
        <v>57.223672293395325</v>
      </c>
      <c r="T51" s="244">
        <f t="shared" si="13"/>
        <v>50.094849545750755</v>
      </c>
      <c r="U51" s="244">
        <f t="shared" si="13"/>
        <v>43.854122785843046</v>
      </c>
      <c r="V51" s="244">
        <f t="shared" si="13"/>
        <v>38.390854603912679</v>
      </c>
      <c r="W51" s="244">
        <f t="shared" si="13"/>
        <v>33.608190600828841</v>
      </c>
      <c r="X51" s="244">
        <f t="shared" si="13"/>
        <v>29.482842630669651</v>
      </c>
      <c r="Y51" s="244"/>
    </row>
    <row r="52" spans="4:25" x14ac:dyDescent="0.2">
      <c r="D52" s="247" t="s">
        <v>447</v>
      </c>
      <c r="E52" s="244">
        <f t="shared" ref="E52:X52" si="14">E51/E44</f>
        <v>2.0476715520836328</v>
      </c>
      <c r="F52" s="244">
        <f t="shared" si="14"/>
        <v>2.3691059872087474</v>
      </c>
      <c r="G52" s="244">
        <f t="shared" si="14"/>
        <v>2.7409977800966665</v>
      </c>
      <c r="H52" s="244">
        <f t="shared" si="14"/>
        <v>3.2178730385323879</v>
      </c>
      <c r="I52" s="244">
        <f t="shared" si="14"/>
        <v>3.806120109255307</v>
      </c>
      <c r="J52" s="244">
        <f t="shared" si="14"/>
        <v>4.5019023785614234</v>
      </c>
      <c r="K52" s="244">
        <f t="shared" si="14"/>
        <v>5.3248779450794554</v>
      </c>
      <c r="L52" s="244">
        <f t="shared" si="14"/>
        <v>6.2982985293106672</v>
      </c>
      <c r="M52" s="244">
        <f t="shared" si="14"/>
        <v>7.4496664099077305</v>
      </c>
      <c r="N52" s="244">
        <f t="shared" si="14"/>
        <v>8.8115114519637743</v>
      </c>
      <c r="O52" s="244">
        <f t="shared" si="14"/>
        <v>10.422310180872968</v>
      </c>
      <c r="P52" s="244">
        <f t="shared" si="14"/>
        <v>12.218212428130773</v>
      </c>
      <c r="Q52" s="244">
        <f t="shared" si="14"/>
        <v>14.136173443938475</v>
      </c>
      <c r="R52" s="244">
        <f t="shared" si="14"/>
        <v>16.355207507853343</v>
      </c>
      <c r="S52" s="244">
        <f t="shared" si="14"/>
        <v>18.922575737045872</v>
      </c>
      <c r="T52" s="244">
        <f t="shared" si="14"/>
        <v>21.892958090094805</v>
      </c>
      <c r="U52" s="244">
        <f t="shared" si="14"/>
        <v>25.329617943940356</v>
      </c>
      <c r="V52" s="244">
        <f t="shared" si="14"/>
        <v>29.305749480983298</v>
      </c>
      <c r="W52" s="244">
        <f t="shared" si="14"/>
        <v>33.906036583059169</v>
      </c>
      <c r="X52" s="244">
        <f t="shared" si="14"/>
        <v>39.310456840892883</v>
      </c>
      <c r="Y52" s="244"/>
    </row>
    <row r="54" spans="4:25" x14ac:dyDescent="0.2">
      <c r="D54" s="247" t="s">
        <v>451</v>
      </c>
      <c r="E54" s="244" t="str">
        <f t="shared" ref="E54:X54" si="15">IF(E52&gt;$E$20, "Y", "N")</f>
        <v>Y</v>
      </c>
      <c r="F54" s="244" t="str">
        <f t="shared" si="15"/>
        <v>Y</v>
      </c>
      <c r="G54" s="244" t="str">
        <f t="shared" si="15"/>
        <v>Y</v>
      </c>
      <c r="H54" s="244" t="str">
        <f t="shared" si="15"/>
        <v>Y</v>
      </c>
      <c r="I54" s="244" t="str">
        <f t="shared" si="15"/>
        <v>Y</v>
      </c>
      <c r="J54" s="244" t="str">
        <f t="shared" si="15"/>
        <v>Y</v>
      </c>
      <c r="K54" s="244" t="str">
        <f t="shared" si="15"/>
        <v>Y</v>
      </c>
      <c r="L54" s="244" t="str">
        <f t="shared" si="15"/>
        <v>Y</v>
      </c>
      <c r="M54" s="244" t="str">
        <f t="shared" si="15"/>
        <v>Y</v>
      </c>
      <c r="N54" s="244" t="str">
        <f t="shared" si="15"/>
        <v>Y</v>
      </c>
      <c r="O54" s="244" t="str">
        <f t="shared" si="15"/>
        <v>Y</v>
      </c>
      <c r="P54" s="244" t="str">
        <f t="shared" si="15"/>
        <v>Y</v>
      </c>
      <c r="Q54" s="244" t="str">
        <f t="shared" si="15"/>
        <v>Y</v>
      </c>
      <c r="R54" s="244" t="str">
        <f t="shared" si="15"/>
        <v>Y</v>
      </c>
      <c r="S54" s="244" t="str">
        <f t="shared" si="15"/>
        <v>Y</v>
      </c>
      <c r="T54" s="244" t="str">
        <f t="shared" si="15"/>
        <v>Y</v>
      </c>
      <c r="U54" s="244" t="str">
        <f t="shared" si="15"/>
        <v>Y</v>
      </c>
      <c r="V54" s="244" t="str">
        <f t="shared" si="15"/>
        <v>Y</v>
      </c>
      <c r="W54" s="244" t="str">
        <f t="shared" si="15"/>
        <v>Y</v>
      </c>
      <c r="X54" s="244" t="str">
        <f t="shared" si="15"/>
        <v>Y</v>
      </c>
      <c r="Y54" s="244" t="s">
        <v>454</v>
      </c>
    </row>
    <row r="55" spans="4:25" x14ac:dyDescent="0.2">
      <c r="D55" s="247" t="s">
        <v>452</v>
      </c>
      <c r="E55" s="244">
        <f>IF(E54="Y", 1, 0)</f>
        <v>1</v>
      </c>
      <c r="F55" s="244">
        <f t="shared" ref="F55:X55" si="16">IF(AND(F54="Y", E54="N"),  1, 0)</f>
        <v>0</v>
      </c>
      <c r="G55" s="244">
        <f t="shared" si="16"/>
        <v>0</v>
      </c>
      <c r="H55" s="244">
        <f t="shared" si="16"/>
        <v>0</v>
      </c>
      <c r="I55" s="244">
        <f t="shared" si="16"/>
        <v>0</v>
      </c>
      <c r="J55" s="244">
        <f t="shared" si="16"/>
        <v>0</v>
      </c>
      <c r="K55" s="244">
        <f t="shared" si="16"/>
        <v>0</v>
      </c>
      <c r="L55" s="244">
        <f t="shared" si="16"/>
        <v>0</v>
      </c>
      <c r="M55" s="244">
        <f t="shared" si="16"/>
        <v>0</v>
      </c>
      <c r="N55" s="244">
        <f t="shared" si="16"/>
        <v>0</v>
      </c>
      <c r="O55" s="244">
        <f t="shared" si="16"/>
        <v>0</v>
      </c>
      <c r="P55" s="244">
        <f t="shared" si="16"/>
        <v>0</v>
      </c>
      <c r="Q55" s="244">
        <f t="shared" si="16"/>
        <v>0</v>
      </c>
      <c r="R55" s="244">
        <f t="shared" si="16"/>
        <v>0</v>
      </c>
      <c r="S55" s="244">
        <f t="shared" si="16"/>
        <v>0</v>
      </c>
      <c r="T55" s="244">
        <f t="shared" si="16"/>
        <v>0</v>
      </c>
      <c r="U55" s="244">
        <f t="shared" si="16"/>
        <v>0</v>
      </c>
      <c r="V55" s="244">
        <f t="shared" si="16"/>
        <v>0</v>
      </c>
      <c r="W55" s="244">
        <f t="shared" si="16"/>
        <v>0</v>
      </c>
      <c r="X55" s="244">
        <f t="shared" si="16"/>
        <v>0</v>
      </c>
      <c r="Y55" s="244"/>
    </row>
    <row r="56" spans="4:25" x14ac:dyDescent="0.2">
      <c r="D56" s="247" t="s">
        <v>453</v>
      </c>
      <c r="E56" s="244">
        <v>0</v>
      </c>
      <c r="F56" s="244">
        <f t="shared" ref="F56:X56" si="17">IF(AND(F54="Y", G54="N"),  1, 0)</f>
        <v>0</v>
      </c>
      <c r="G56" s="244">
        <f t="shared" si="17"/>
        <v>0</v>
      </c>
      <c r="H56" s="244">
        <f t="shared" si="17"/>
        <v>0</v>
      </c>
      <c r="I56" s="244">
        <f t="shared" si="17"/>
        <v>0</v>
      </c>
      <c r="J56" s="244">
        <f t="shared" si="17"/>
        <v>0</v>
      </c>
      <c r="K56" s="244">
        <f t="shared" si="17"/>
        <v>0</v>
      </c>
      <c r="L56" s="244">
        <f t="shared" si="17"/>
        <v>0</v>
      </c>
      <c r="M56" s="244">
        <f t="shared" si="17"/>
        <v>0</v>
      </c>
      <c r="N56" s="244">
        <f t="shared" si="17"/>
        <v>0</v>
      </c>
      <c r="O56" s="244">
        <f t="shared" si="17"/>
        <v>0</v>
      </c>
      <c r="P56" s="244">
        <f t="shared" si="17"/>
        <v>0</v>
      </c>
      <c r="Q56" s="244">
        <f t="shared" si="17"/>
        <v>0</v>
      </c>
      <c r="R56" s="244">
        <f t="shared" si="17"/>
        <v>0</v>
      </c>
      <c r="S56" s="244">
        <f t="shared" si="17"/>
        <v>0</v>
      </c>
      <c r="T56" s="244">
        <f t="shared" si="17"/>
        <v>0</v>
      </c>
      <c r="U56" s="244">
        <f t="shared" si="17"/>
        <v>0</v>
      </c>
      <c r="V56" s="244">
        <f t="shared" si="17"/>
        <v>0</v>
      </c>
      <c r="W56" s="244">
        <f t="shared" si="17"/>
        <v>0</v>
      </c>
      <c r="X56" s="244">
        <f t="shared" si="17"/>
        <v>1</v>
      </c>
      <c r="Y56" s="244"/>
    </row>
    <row r="58" spans="4:25" x14ac:dyDescent="0.2">
      <c r="D58" s="244" t="s">
        <v>455</v>
      </c>
      <c r="E58" s="244">
        <f t="shared" ref="E58:X58" si="18">E55*E35</f>
        <v>12</v>
      </c>
      <c r="F58" s="244">
        <f t="shared" si="18"/>
        <v>0</v>
      </c>
      <c r="G58" s="244">
        <f t="shared" si="18"/>
        <v>0</v>
      </c>
      <c r="H58" s="244">
        <f t="shared" si="18"/>
        <v>0</v>
      </c>
      <c r="I58" s="244">
        <f t="shared" si="18"/>
        <v>0</v>
      </c>
      <c r="J58" s="244">
        <f t="shared" si="18"/>
        <v>0</v>
      </c>
      <c r="K58" s="244">
        <f t="shared" si="18"/>
        <v>0</v>
      </c>
      <c r="L58" s="244">
        <f t="shared" si="18"/>
        <v>0</v>
      </c>
      <c r="M58" s="244">
        <f t="shared" si="18"/>
        <v>0</v>
      </c>
      <c r="N58" s="244">
        <f t="shared" si="18"/>
        <v>0</v>
      </c>
      <c r="O58" s="244">
        <f t="shared" si="18"/>
        <v>0</v>
      </c>
      <c r="P58" s="244">
        <f t="shared" si="18"/>
        <v>0</v>
      </c>
      <c r="Q58" s="244">
        <f t="shared" si="18"/>
        <v>0</v>
      </c>
      <c r="R58" s="244">
        <f t="shared" si="18"/>
        <v>0</v>
      </c>
      <c r="S58" s="244">
        <f t="shared" si="18"/>
        <v>0</v>
      </c>
      <c r="T58" s="244">
        <f t="shared" si="18"/>
        <v>0</v>
      </c>
      <c r="U58" s="244">
        <f t="shared" si="18"/>
        <v>0</v>
      </c>
      <c r="V58" s="244">
        <f t="shared" si="18"/>
        <v>0</v>
      </c>
      <c r="W58" s="244">
        <f t="shared" si="18"/>
        <v>0</v>
      </c>
      <c r="X58" s="244">
        <f t="shared" si="18"/>
        <v>0</v>
      </c>
      <c r="Y58" s="244"/>
    </row>
    <row r="59" spans="4:25" x14ac:dyDescent="0.2">
      <c r="D59" s="244" t="s">
        <v>456</v>
      </c>
      <c r="E59" s="244">
        <f t="shared" ref="E59:X59" si="19">E35*E56</f>
        <v>0</v>
      </c>
      <c r="F59" s="244">
        <f t="shared" si="19"/>
        <v>0</v>
      </c>
      <c r="G59" s="244">
        <f t="shared" si="19"/>
        <v>0</v>
      </c>
      <c r="H59" s="244">
        <f t="shared" si="19"/>
        <v>0</v>
      </c>
      <c r="I59" s="244">
        <f t="shared" si="19"/>
        <v>0</v>
      </c>
      <c r="J59" s="244">
        <f t="shared" si="19"/>
        <v>0</v>
      </c>
      <c r="K59" s="244">
        <f t="shared" si="19"/>
        <v>0</v>
      </c>
      <c r="L59" s="244">
        <f t="shared" si="19"/>
        <v>0</v>
      </c>
      <c r="M59" s="244">
        <f t="shared" si="19"/>
        <v>0</v>
      </c>
      <c r="N59" s="244">
        <f t="shared" si="19"/>
        <v>0</v>
      </c>
      <c r="O59" s="244">
        <f t="shared" si="19"/>
        <v>0</v>
      </c>
      <c r="P59" s="244">
        <f t="shared" si="19"/>
        <v>0</v>
      </c>
      <c r="Q59" s="244">
        <f t="shared" si="19"/>
        <v>0</v>
      </c>
      <c r="R59" s="244">
        <f t="shared" si="19"/>
        <v>0</v>
      </c>
      <c r="S59" s="244">
        <f t="shared" si="19"/>
        <v>0</v>
      </c>
      <c r="T59" s="244">
        <f t="shared" si="19"/>
        <v>0</v>
      </c>
      <c r="U59" s="244">
        <f t="shared" si="19"/>
        <v>0</v>
      </c>
      <c r="V59" s="244">
        <f t="shared" si="19"/>
        <v>0</v>
      </c>
      <c r="W59" s="244">
        <f t="shared" si="19"/>
        <v>0</v>
      </c>
      <c r="X59" s="244">
        <f t="shared" si="19"/>
        <v>5.9999999999999984E-2</v>
      </c>
      <c r="Y59" s="244"/>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32219C20A9464AB26D2AC25B9C6158" ma:contentTypeVersion="13" ma:contentTypeDescription="Create a new document." ma:contentTypeScope="" ma:versionID="04d2f608d1bd285841f10a0ad79dc30c">
  <xsd:schema xmlns:xsd="http://www.w3.org/2001/XMLSchema" xmlns:xs="http://www.w3.org/2001/XMLSchema" xmlns:p="http://schemas.microsoft.com/office/2006/metadata/properties" xmlns:ns3="82f4264b-1642-405e-bd87-c9a6fd72968f" xmlns:ns4="0b483dd4-a024-4b2e-85ed-517200841225" targetNamespace="http://schemas.microsoft.com/office/2006/metadata/properties" ma:root="true" ma:fieldsID="4aa1d6631b1535c21a2edd7fd6cccf23" ns3:_="" ns4:_="">
    <xsd:import namespace="82f4264b-1642-405e-bd87-c9a6fd72968f"/>
    <xsd:import namespace="0b483dd4-a024-4b2e-85ed-5172008412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4264b-1642-405e-bd87-c9a6fd7296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483dd4-a024-4b2e-85ed-5172008412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29CE08-70C2-4E44-B16D-F94CEC4134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4264b-1642-405e-bd87-c9a6fd72968f"/>
    <ds:schemaRef ds:uri="0b483dd4-a024-4b2e-85ed-5172008412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96B0A9-E706-44C7-A8F1-19DE24283961}">
  <ds:schemaRefs>
    <ds:schemaRef ds:uri="http://schemas.microsoft.com/sharepoint/v3/contenttype/forms"/>
  </ds:schemaRefs>
</ds:datastoreItem>
</file>

<file path=customXml/itemProps3.xml><?xml version="1.0" encoding="utf-8"?>
<ds:datastoreItem xmlns:ds="http://schemas.openxmlformats.org/officeDocument/2006/customXml" ds:itemID="{D0E7213C-EB81-44CF-9757-6BC109954BCA}">
  <ds:schemaRefs>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82f4264b-1642-405e-bd87-c9a6fd72968f"/>
    <ds:schemaRef ds:uri="0b483dd4-a024-4b2e-85ed-51720084122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35</vt:i4>
      </vt:variant>
    </vt:vector>
  </HeadingPairs>
  <TitlesOfParts>
    <vt:vector size="42" baseType="lpstr">
      <vt:lpstr>Instructions</vt:lpstr>
      <vt:lpstr>Design Calculator</vt:lpstr>
      <vt:lpstr>Device Parmaters</vt:lpstr>
      <vt:lpstr>Equations</vt:lpstr>
      <vt:lpstr>Start_up</vt:lpstr>
      <vt:lpstr>SOA</vt:lpstr>
      <vt:lpstr>dv_dt_recommendations</vt:lpstr>
      <vt:lpstr>CLMAX</vt:lpstr>
      <vt:lpstr>CLMAX_Threshold</vt:lpstr>
      <vt:lpstr>CLMIN</vt:lpstr>
      <vt:lpstr>CLMIN_Threshold</vt:lpstr>
      <vt:lpstr>CLNOM</vt:lpstr>
      <vt:lpstr>CLNOM_Threshold</vt:lpstr>
      <vt:lpstr>COUTMAX</vt:lpstr>
      <vt:lpstr>FETPDISS</vt:lpstr>
      <vt:lpstr>I_Cout_ss</vt:lpstr>
      <vt:lpstr>IOUTMAX</vt:lpstr>
      <vt:lpstr>NUMFETS</vt:lpstr>
      <vt:lpstr>'Design Calculator'!Print_Area</vt:lpstr>
      <vt:lpstr>RDIV1</vt:lpstr>
      <vt:lpstr>RDIV2</vt:lpstr>
      <vt:lpstr>RDSON</vt:lpstr>
      <vt:lpstr>RPWR</vt:lpstr>
      <vt:lpstr>Rs</vt:lpstr>
      <vt:lpstr>RsEFF</vt:lpstr>
      <vt:lpstr>RsMAX</vt:lpstr>
      <vt:lpstr>ss_rate</vt:lpstr>
      <vt:lpstr>TAMB</vt:lpstr>
      <vt:lpstr>Tfault</vt:lpstr>
      <vt:lpstr>ThetaJA</vt:lpstr>
      <vt:lpstr>TINSERT</vt:lpstr>
      <vt:lpstr>TINSERTMAX</vt:lpstr>
      <vt:lpstr>TINSERTMIN</vt:lpstr>
      <vt:lpstr>TJ</vt:lpstr>
      <vt:lpstr>TJMAX</vt:lpstr>
      <vt:lpstr>TSTARTMAX</vt:lpstr>
      <vt:lpstr>TSTARTMIN</vt:lpstr>
      <vt:lpstr>TSTARTNOM</vt:lpstr>
      <vt:lpstr>VINMAX</vt:lpstr>
      <vt:lpstr>VINMIN</vt:lpstr>
      <vt:lpstr>VINNOM</vt:lpstr>
      <vt:lpstr>yesno</vt:lpstr>
    </vt:vector>
  </TitlesOfParts>
  <Company>NSC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LM25066/I Design Tool</dc:title>
  <dc:creator>Timothy Hegarty</dc:creator>
  <cp:lastModifiedBy>VH, Praveenkumar</cp:lastModifiedBy>
  <cp:lastPrinted>2013-08-26T22:42:43Z</cp:lastPrinted>
  <dcterms:created xsi:type="dcterms:W3CDTF">2009-04-21T16:00:33Z</dcterms:created>
  <dcterms:modified xsi:type="dcterms:W3CDTF">2020-09-10T11:30:39Z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0x0101005432219C20A9464AB26D2AC25B9C6158</vt:lpwstr>
  </property>
  <property fmtid="{D5CDD505-2E9C-101B-9397-08002B2CF9AE}" pid="3" name="MSIP_Label_112e00b9-34e2-4b26-a577-af1fd0f9f7ee_Enabled">
    <vt:lpwstr>True</vt:lpwstr>
  </property>
  <property fmtid="{D5CDD505-2E9C-101B-9397-08002B2CF9AE}" pid="4" name="MSIP_Label_112e00b9-34e2-4b26-a577-af1fd0f9f7ee_SiteId">
    <vt:lpwstr>33440fc6-b7c7-412c-bb73-0e70b0198d5a</vt:lpwstr>
  </property>
  <property fmtid="{D5CDD505-2E9C-101B-9397-08002B2CF9AE}" pid="5" name="MSIP_Label_112e00b9-34e2-4b26-a577-af1fd0f9f7ee_Owner">
    <vt:lpwstr>praveenkumar.vh@atos.net</vt:lpwstr>
  </property>
  <property fmtid="{D5CDD505-2E9C-101B-9397-08002B2CF9AE}" pid="6" name="MSIP_Label_112e00b9-34e2-4b26-a577-af1fd0f9f7ee_SetDate">
    <vt:lpwstr>2020-05-03T12:11:48.4527222Z</vt:lpwstr>
  </property>
  <property fmtid="{D5CDD505-2E9C-101B-9397-08002B2CF9AE}" pid="7" name="MSIP_Label_112e00b9-34e2-4b26-a577-af1fd0f9f7ee_Name">
    <vt:lpwstr>Atos For Internal Use</vt:lpwstr>
  </property>
  <property fmtid="{D5CDD505-2E9C-101B-9397-08002B2CF9AE}" pid="8" name="MSIP_Label_112e00b9-34e2-4b26-a577-af1fd0f9f7ee_Application">
    <vt:lpwstr>Microsoft Azure Information Protection</vt:lpwstr>
  </property>
  <property fmtid="{D5CDD505-2E9C-101B-9397-08002B2CF9AE}" pid="9" name="MSIP_Label_112e00b9-34e2-4b26-a577-af1fd0f9f7ee_ActionId">
    <vt:lpwstr>303e06c7-e28c-46b6-8817-6d87ca397e32</vt:lpwstr>
  </property>
  <property fmtid="{D5CDD505-2E9C-101B-9397-08002B2CF9AE}" pid="10" name="MSIP_Label_112e00b9-34e2-4b26-a577-af1fd0f9f7ee_Extended_MSFT_Method">
    <vt:lpwstr>Automatic</vt:lpwstr>
  </property>
  <property fmtid="{D5CDD505-2E9C-101B-9397-08002B2CF9AE}" pid="11" name="MSIP_Label_e463cba9-5f6c-478d-9329-7b2295e4e8ed_Enabled">
    <vt:lpwstr>True</vt:lpwstr>
  </property>
  <property fmtid="{D5CDD505-2E9C-101B-9397-08002B2CF9AE}" pid="12" name="MSIP_Label_e463cba9-5f6c-478d-9329-7b2295e4e8ed_SiteId">
    <vt:lpwstr>33440fc6-b7c7-412c-bb73-0e70b0198d5a</vt:lpwstr>
  </property>
  <property fmtid="{D5CDD505-2E9C-101B-9397-08002B2CF9AE}" pid="13" name="MSIP_Label_e463cba9-5f6c-478d-9329-7b2295e4e8ed_Owner">
    <vt:lpwstr>praveenkumar.vh@atos.net</vt:lpwstr>
  </property>
  <property fmtid="{D5CDD505-2E9C-101B-9397-08002B2CF9AE}" pid="14" name="MSIP_Label_e463cba9-5f6c-478d-9329-7b2295e4e8ed_SetDate">
    <vt:lpwstr>2020-05-03T12:11:48.4527222Z</vt:lpwstr>
  </property>
  <property fmtid="{D5CDD505-2E9C-101B-9397-08002B2CF9AE}" pid="15" name="MSIP_Label_e463cba9-5f6c-478d-9329-7b2295e4e8ed_Name">
    <vt:lpwstr>Atos For Internal Use - All Employees</vt:lpwstr>
  </property>
  <property fmtid="{D5CDD505-2E9C-101B-9397-08002B2CF9AE}" pid="16" name="MSIP_Label_e463cba9-5f6c-478d-9329-7b2295e4e8ed_Application">
    <vt:lpwstr>Microsoft Azure Information Protection</vt:lpwstr>
  </property>
  <property fmtid="{D5CDD505-2E9C-101B-9397-08002B2CF9AE}" pid="17" name="MSIP_Label_e463cba9-5f6c-478d-9329-7b2295e4e8ed_ActionId">
    <vt:lpwstr>303e06c7-e28c-46b6-8817-6d87ca397e32</vt:lpwstr>
  </property>
  <property fmtid="{D5CDD505-2E9C-101B-9397-08002B2CF9AE}" pid="18" name="MSIP_Label_e463cba9-5f6c-478d-9329-7b2295e4e8ed_Parent">
    <vt:lpwstr>112e00b9-34e2-4b26-a577-af1fd0f9f7ee</vt:lpwstr>
  </property>
  <property fmtid="{D5CDD505-2E9C-101B-9397-08002B2CF9AE}" pid="19" name="MSIP_Label_e463cba9-5f6c-478d-9329-7b2295e4e8ed_Extended_MSFT_Method">
    <vt:lpwstr>Automatic</vt:lpwstr>
  </property>
  <property fmtid="{D5CDD505-2E9C-101B-9397-08002B2CF9AE}" pid="20" name="Sensitivity">
    <vt:lpwstr>Atos For Internal Use Atos For Internal Use - All Employees</vt:lpwstr>
  </property>
</Properties>
</file>