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FADC" lockStructure="1"/>
  <bookViews>
    <workbookView xWindow="1485" yWindow="810" windowWidth="5955" windowHeight="4665" tabRatio="773" activeTab="1"/>
  </bookViews>
  <sheets>
    <sheet name="Instructions" sheetId="15" r:id="rId1"/>
    <sheet name="Design Calculator" sheetId="1" r:id="rId2"/>
    <sheet name="Device Parmaters" sheetId="6" state="hidden" r:id="rId3"/>
    <sheet name="Equations" sheetId="3" state="hidden" r:id="rId4"/>
    <sheet name="Start_up" sheetId="13" state="hidden" r:id="rId5"/>
    <sheet name="SOA" sheetId="7" state="hidden" r:id="rId6"/>
    <sheet name="dv_dt_recommendations" sheetId="14" state="hidden" r:id="rId7"/>
  </sheets>
  <externalReferences>
    <externalReference r:id="rId8"/>
    <externalReference r:id="rId9"/>
  </externalReferences>
  <definedNames>
    <definedName name="CLMAX">Equations!$F$26</definedName>
    <definedName name="CLMAX_Threshold">Equations!$E$17</definedName>
    <definedName name="CLMIN">Equations!$F$24</definedName>
    <definedName name="CLMIN_Threshold">Equations!$E$15</definedName>
    <definedName name="CLNOM">Equations!$F$25</definedName>
    <definedName name="CLNOM_Threshold">Equations!$E$16</definedName>
    <definedName name="COUTMAX">'Design Calculator'!$F$18</definedName>
    <definedName name="CTIMER">'Design Calculator'!#REF!</definedName>
    <definedName name="FETPDISS">'Design Calculator'!$F$42</definedName>
    <definedName name="I_Cout_ss">Equations!$F$66</definedName>
    <definedName name="ILIM" localSheetId="5">[1]ILIM_SOA_considerations!$C$25</definedName>
    <definedName name="ILIM">[2]ILIM_SOA_considerations!$C$25</definedName>
    <definedName name="Ilim_min" localSheetId="5">[1]ILIM_SOA_considerations!$C$61</definedName>
    <definedName name="Ilim_min">[2]ILIM_SOA_considerations!$C$61</definedName>
    <definedName name="IOUTMAX">'Design Calculator'!$F$17</definedName>
    <definedName name="MaxFETPW">'Design Calculator'!#REF!</definedName>
    <definedName name="NUMFETS">'Design Calculator'!$F$34</definedName>
    <definedName name="PLIM" localSheetId="5">[1]ILIM_SOA_considerations!$C$40</definedName>
    <definedName name="PLIM">[2]ILIM_SOA_considerations!$C$40</definedName>
    <definedName name="PLIMMAX">'Design Calculator'!#REF!</definedName>
    <definedName name="PLIMMIN">'Design Calculator'!#REF!</definedName>
    <definedName name="PLIMNOM">'Design Calculator'!#REF!</definedName>
    <definedName name="_xlnm.Print_Area" localSheetId="1">'Design Calculator'!$A$1:$M$157</definedName>
    <definedName name="RDIV1">'Design Calculator'!$F$25</definedName>
    <definedName name="RDIV2">'Design Calculator'!$F$26</definedName>
    <definedName name="RDSON">'Design Calculator'!$AN$35</definedName>
    <definedName name="RPWR">'Design Calculator'!$F$48</definedName>
    <definedName name="Rrflt" localSheetId="5">[1]ILIM_SOA_considerations!$C$46</definedName>
    <definedName name="Rrflt">[2]ILIM_SOA_considerations!$C$46</definedName>
    <definedName name="Rs">'Design Calculator'!$F$22</definedName>
    <definedName name="RsEFF">Equations!$F$23</definedName>
    <definedName name="Rsense" localSheetId="5">[1]ILIM_SOA_considerations!$C$30</definedName>
    <definedName name="Rsense">[2]ILIM_SOA_considerations!$C$30</definedName>
    <definedName name="RsMAX">'Design Calculator'!$F$20</definedName>
    <definedName name="SOA_av" localSheetId="5">[1]ILIM_SOA_considerations!$C$52</definedName>
    <definedName name="SOA_av">[2]ILIM_SOA_considerations!$C$52</definedName>
    <definedName name="solver_adj" localSheetId="5" hidden="1">SOA!#REF!</definedName>
    <definedName name="solver_cvg" localSheetId="5" hidden="1">0.0001</definedName>
    <definedName name="solver_drv" localSheetId="5" hidden="1">1</definedName>
    <definedName name="solver_eng" localSheetId="5" hidden="1">1</definedName>
    <definedName name="solver_est" localSheetId="5" hidden="1">1</definedName>
    <definedName name="solver_itr" localSheetId="5" hidden="1">2147483647</definedName>
    <definedName name="solver_mip" localSheetId="5" hidden="1">2147483647</definedName>
    <definedName name="solver_mni" localSheetId="5" hidden="1">30</definedName>
    <definedName name="solver_mrt" localSheetId="5" hidden="1">0.075</definedName>
    <definedName name="solver_msl" localSheetId="5" hidden="1">2</definedName>
    <definedName name="solver_neg" localSheetId="5" hidden="1">1</definedName>
    <definedName name="solver_nod" localSheetId="5" hidden="1">2147483647</definedName>
    <definedName name="solver_num" localSheetId="5" hidden="1">0</definedName>
    <definedName name="solver_nwt" localSheetId="5" hidden="1">1</definedName>
    <definedName name="solver_opt" localSheetId="5" hidden="1">SOA!#REF!</definedName>
    <definedName name="solver_pre" localSheetId="5" hidden="1">0.000001</definedName>
    <definedName name="solver_rbv" localSheetId="5" hidden="1">1</definedName>
    <definedName name="solver_rlx" localSheetId="5" hidden="1">2</definedName>
    <definedName name="solver_rsd" localSheetId="5" hidden="1">0</definedName>
    <definedName name="solver_scl" localSheetId="5" hidden="1">1</definedName>
    <definedName name="solver_sho" localSheetId="5" hidden="1">2</definedName>
    <definedName name="solver_ssz" localSheetId="5" hidden="1">100</definedName>
    <definedName name="solver_tim" localSheetId="5" hidden="1">2147483647</definedName>
    <definedName name="solver_tol" localSheetId="5" hidden="1">0.01</definedName>
    <definedName name="solver_typ" localSheetId="5" hidden="1">3</definedName>
    <definedName name="solver_val" localSheetId="5" hidden="1">0</definedName>
    <definedName name="solver_ver" localSheetId="5" hidden="1">3</definedName>
    <definedName name="ss_rate">Equations!$F$62</definedName>
    <definedName name="T_cap_charge" localSheetId="5">[1]ILIM_SOA_considerations!$C$45</definedName>
    <definedName name="T_cap_charge">[2]ILIM_SOA_considerations!$C$45</definedName>
    <definedName name="T_margin" localSheetId="5">[1]ILIM_SOA_considerations!$C$9</definedName>
    <definedName name="T_margin">[2]ILIM_SOA_considerations!$C$9</definedName>
    <definedName name="T_total" localSheetId="5">[1]ILIM_SOA_considerations!$C$47</definedName>
    <definedName name="T_total">[2]ILIM_SOA_considerations!$C$47</definedName>
    <definedName name="TAMB">'Design Calculator'!$F$19</definedName>
    <definedName name="Tfault">'Design Calculator'!$F$59</definedName>
    <definedName name="Tfaultmax">'Design Calculator'!#REF!</definedName>
    <definedName name="ThetaJA">'Design Calculator'!$F$33</definedName>
    <definedName name="TINSERT">'Design Calculator'!#REF!</definedName>
    <definedName name="TINSERTMAX">Equations!#REF!</definedName>
    <definedName name="TINSERTMIN">Equations!#REF!</definedName>
    <definedName name="TJ">'Design Calculator'!$F$43</definedName>
    <definedName name="TJMAX">'Design Calculator'!$AN$36</definedName>
    <definedName name="Tsd" localSheetId="5">[1]ILIM_SOA_considerations!$C$67</definedName>
    <definedName name="Tsd">[2]ILIM_SOA_considerations!$C$67</definedName>
    <definedName name="TSTARTMAX">Equations!#REF!</definedName>
    <definedName name="TSTARTMIN">Equations!#REF!</definedName>
    <definedName name="TSTARTNOM">Equations!#REF!</definedName>
    <definedName name="V_sns_cl_max" localSheetId="5">[1]ILIM_SOA_considerations!$C$15</definedName>
    <definedName name="V_sns_cl_max">[2]ILIM_SOA_considerations!$C$15</definedName>
    <definedName name="Vbus" localSheetId="5">[1]ILIM_SOA_considerations!$C$23</definedName>
    <definedName name="Vbus">[2]ILIM_SOA_considerations!$C$23</definedName>
    <definedName name="VINMAX">'Design Calculator'!$F$16</definedName>
    <definedName name="VINMIN">'Design Calculator'!$F$14</definedName>
    <definedName name="VINNOM">'Design Calculator'!$F$15</definedName>
  </definedNames>
  <calcPr calcId="145621"/>
</workbook>
</file>

<file path=xl/calcChain.xml><?xml version="1.0" encoding="utf-8"?>
<calcChain xmlns="http://schemas.openxmlformats.org/spreadsheetml/2006/main">
  <c r="A10" i="13" l="1"/>
  <c r="F95" i="1" l="1"/>
  <c r="F85" i="1"/>
  <c r="F94" i="1"/>
  <c r="F93" i="1"/>
  <c r="F91" i="1"/>
  <c r="F90" i="1"/>
  <c r="F89" i="1"/>
  <c r="F88" i="1"/>
  <c r="F87" i="1"/>
  <c r="F86" i="1"/>
  <c r="F90" i="3"/>
  <c r="F87" i="3"/>
  <c r="F88" i="3"/>
  <c r="F86" i="3"/>
  <c r="F89" i="3" l="1"/>
  <c r="F77" i="1" s="1"/>
  <c r="E94" i="3"/>
  <c r="D81" i="1" s="1"/>
  <c r="G95" i="3"/>
  <c r="F82" i="1" s="1"/>
  <c r="F95" i="3"/>
  <c r="E82" i="1" s="1"/>
  <c r="F94" i="3"/>
  <c r="E81" i="1" s="1"/>
  <c r="E95" i="3"/>
  <c r="D82" i="1" s="1"/>
  <c r="G94" i="3"/>
  <c r="F81" i="1" s="1"/>
  <c r="F57" i="3"/>
  <c r="D16" i="6"/>
  <c r="F44" i="3" l="1"/>
  <c r="F41" i="3"/>
  <c r="F20" i="3"/>
  <c r="F20" i="1" s="1"/>
  <c r="F46" i="3" l="1"/>
  <c r="AN36" i="1" l="1"/>
  <c r="AN37" i="1"/>
  <c r="AN38" i="1"/>
  <c r="AN39" i="1"/>
  <c r="AN40" i="1"/>
  <c r="AN41" i="1"/>
  <c r="AN35" i="1"/>
  <c r="F42" i="1" s="1"/>
  <c r="F43" i="1" s="1"/>
  <c r="C25" i="7" l="1"/>
  <c r="E27" i="14"/>
  <c r="E26" i="14"/>
  <c r="E25" i="14"/>
  <c r="E21" i="14"/>
  <c r="H24" i="7"/>
  <c r="H25" i="7" s="1"/>
  <c r="H9" i="7"/>
  <c r="C9" i="7"/>
  <c r="E19" i="14" l="1"/>
  <c r="B13" i="13"/>
  <c r="B14" i="13"/>
  <c r="B15" i="13"/>
  <c r="B16" i="13"/>
  <c r="B17" i="13"/>
  <c r="B18" i="13"/>
  <c r="B19" i="13"/>
  <c r="B20" i="13"/>
  <c r="B21" i="13"/>
  <c r="B22" i="13"/>
  <c r="B23" i="13"/>
  <c r="B24" i="13"/>
  <c r="B25" i="13"/>
  <c r="B26" i="13"/>
  <c r="B27" i="13"/>
  <c r="B28" i="13"/>
  <c r="B29" i="13"/>
  <c r="B30" i="13"/>
  <c r="B31" i="13"/>
  <c r="B32" i="13"/>
  <c r="B33" i="13"/>
  <c r="B34" i="13"/>
  <c r="B35" i="13"/>
  <c r="B36" i="13"/>
  <c r="B37" i="13"/>
  <c r="B38" i="13"/>
  <c r="B39" i="13"/>
  <c r="B40" i="13"/>
  <c r="B41" i="13"/>
  <c r="B42" i="13"/>
  <c r="B43" i="13"/>
  <c r="B44" i="13"/>
  <c r="B45" i="13"/>
  <c r="B46" i="13"/>
  <c r="B47" i="13"/>
  <c r="B48" i="13"/>
  <c r="B49" i="13"/>
  <c r="B50" i="13"/>
  <c r="B51" i="13"/>
  <c r="B52" i="13"/>
  <c r="B53" i="13"/>
  <c r="B54" i="13"/>
  <c r="B55" i="13"/>
  <c r="B56" i="13"/>
  <c r="B57" i="13"/>
  <c r="B58" i="13"/>
  <c r="B59" i="13"/>
  <c r="B60" i="13"/>
  <c r="B61" i="13"/>
  <c r="B62" i="13"/>
  <c r="B63" i="13"/>
  <c r="B64" i="13"/>
  <c r="B65" i="13"/>
  <c r="B66" i="13"/>
  <c r="B67" i="13"/>
  <c r="B68" i="13"/>
  <c r="B69" i="13"/>
  <c r="B70" i="13"/>
  <c r="B71" i="13"/>
  <c r="B72" i="13"/>
  <c r="B73" i="13"/>
  <c r="B74" i="13"/>
  <c r="B75" i="13"/>
  <c r="B76" i="13"/>
  <c r="B77" i="13"/>
  <c r="B78" i="13"/>
  <c r="B79" i="13"/>
  <c r="B80" i="13"/>
  <c r="B81" i="13"/>
  <c r="B82" i="13"/>
  <c r="B83" i="13"/>
  <c r="B84" i="13"/>
  <c r="B85" i="13"/>
  <c r="B86" i="13"/>
  <c r="B87" i="13"/>
  <c r="B88" i="13"/>
  <c r="B89" i="13"/>
  <c r="B90" i="13"/>
  <c r="B91" i="13"/>
  <c r="B92" i="13"/>
  <c r="B93" i="13"/>
  <c r="B94" i="13"/>
  <c r="B95" i="13"/>
  <c r="B96" i="13"/>
  <c r="B97" i="13"/>
  <c r="B98" i="13"/>
  <c r="B99" i="13"/>
  <c r="B100" i="13"/>
  <c r="B101" i="13"/>
  <c r="B102" i="13"/>
  <c r="B103" i="13"/>
  <c r="B104" i="13"/>
  <c r="B105" i="13"/>
  <c r="B106" i="13"/>
  <c r="B107" i="13"/>
  <c r="B108" i="13"/>
  <c r="B109" i="13"/>
  <c r="B110" i="13"/>
  <c r="B111" i="13"/>
  <c r="B112" i="13"/>
  <c r="B113" i="13"/>
  <c r="B114" i="13"/>
  <c r="B11" i="13"/>
  <c r="B12" i="13"/>
  <c r="B10" i="13"/>
  <c r="B4" i="7"/>
  <c r="C4" i="7"/>
  <c r="D4" i="7"/>
  <c r="E4" i="7"/>
  <c r="F4" i="7"/>
  <c r="C34" i="7" l="1"/>
  <c r="C33" i="7" s="1"/>
  <c r="J24" i="14" s="1"/>
  <c r="E34" i="7"/>
  <c r="L25" i="14" s="1"/>
  <c r="F34" i="7"/>
  <c r="M25" i="14" s="1"/>
  <c r="D34" i="7"/>
  <c r="H27" i="7"/>
  <c r="E43" i="14"/>
  <c r="E44" i="14" s="1"/>
  <c r="F62" i="3"/>
  <c r="F63" i="3" l="1"/>
  <c r="J25" i="14"/>
  <c r="E33" i="7"/>
  <c r="L24" i="14" s="1"/>
  <c r="D33" i="7"/>
  <c r="K24" i="14" s="1"/>
  <c r="K25" i="14"/>
  <c r="F33" i="7"/>
  <c r="M24" i="14" s="1"/>
  <c r="F43" i="14"/>
  <c r="F44" i="14" s="1"/>
  <c r="F78" i="3"/>
  <c r="F79" i="3" s="1"/>
  <c r="F76" i="3"/>
  <c r="F2" i="13"/>
  <c r="G43" i="14" l="1"/>
  <c r="G44" i="14" s="1"/>
  <c r="H43" i="14" l="1"/>
  <c r="H44" i="14" s="1"/>
  <c r="I43" i="14" l="1"/>
  <c r="I44" i="14" s="1"/>
  <c r="F72" i="1"/>
  <c r="F77" i="3"/>
  <c r="F70" i="1" s="1"/>
  <c r="J43" i="14" l="1"/>
  <c r="J44" i="14" s="1"/>
  <c r="F64" i="3"/>
  <c r="F65" i="3" s="1"/>
  <c r="R2" i="13"/>
  <c r="Q2" i="13"/>
  <c r="A114" i="13"/>
  <c r="A113" i="13"/>
  <c r="A112" i="13"/>
  <c r="H2" i="13"/>
  <c r="F67" i="3" l="1"/>
  <c r="F66" i="3"/>
  <c r="K43" i="14"/>
  <c r="K44" i="14" s="1"/>
  <c r="F54" i="3"/>
  <c r="O164" i="3"/>
  <c r="E168" i="3"/>
  <c r="E166" i="3"/>
  <c r="L43" i="14" l="1"/>
  <c r="L44" i="14" s="1"/>
  <c r="F58" i="3"/>
  <c r="F59" i="1" s="1"/>
  <c r="F65" i="1"/>
  <c r="D2" i="13"/>
  <c r="G2" i="13"/>
  <c r="F39" i="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Y22" i="13"/>
  <c r="Y15" i="13"/>
  <c r="Y18" i="13" s="1"/>
  <c r="C8" i="7" l="1"/>
  <c r="C10" i="7" s="1"/>
  <c r="C12" i="7" s="1"/>
  <c r="C13" i="7" s="1"/>
  <c r="C15" i="7" s="1"/>
  <c r="K90" i="1"/>
  <c r="M43" i="14"/>
  <c r="M44" i="14" s="1"/>
  <c r="F67" i="1"/>
  <c r="C114" i="13"/>
  <c r="C113" i="13"/>
  <c r="C112" i="13"/>
  <c r="C80" i="13"/>
  <c r="C62" i="13"/>
  <c r="C111" i="13"/>
  <c r="C75" i="13"/>
  <c r="C43" i="13"/>
  <c r="C95" i="13"/>
  <c r="C91" i="13"/>
  <c r="C102" i="13"/>
  <c r="C76" i="13"/>
  <c r="C72" i="13"/>
  <c r="C15" i="13"/>
  <c r="C11" i="13"/>
  <c r="C101" i="13"/>
  <c r="C100" i="13"/>
  <c r="C98" i="13"/>
  <c r="C90" i="13"/>
  <c r="C79" i="13"/>
  <c r="C74" i="13"/>
  <c r="C58" i="13"/>
  <c r="C54" i="13"/>
  <c r="C49" i="13"/>
  <c r="C47" i="13"/>
  <c r="C39" i="13"/>
  <c r="C32" i="13"/>
  <c r="C23" i="13"/>
  <c r="C19" i="13"/>
  <c r="C110" i="13"/>
  <c r="C109" i="13"/>
  <c r="C107" i="13"/>
  <c r="C99" i="13"/>
  <c r="C96" i="13"/>
  <c r="C84" i="13"/>
  <c r="C82" i="13"/>
  <c r="C69" i="13"/>
  <c r="C67" i="13"/>
  <c r="C65" i="13"/>
  <c r="C63" i="13"/>
  <c r="C59" i="13"/>
  <c r="C36" i="13"/>
  <c r="C20" i="13"/>
  <c r="C105" i="13"/>
  <c r="C103" i="13"/>
  <c r="C92" i="13"/>
  <c r="C88" i="13"/>
  <c r="C87" i="13"/>
  <c r="C83" i="13"/>
  <c r="C71" i="13"/>
  <c r="C68" i="13"/>
  <c r="C66" i="13"/>
  <c r="C57" i="13"/>
  <c r="C55" i="13"/>
  <c r="C51" i="13"/>
  <c r="C46" i="13"/>
  <c r="C44" i="13"/>
  <c r="C40" i="13"/>
  <c r="C35" i="13"/>
  <c r="C31" i="13"/>
  <c r="C27" i="13"/>
  <c r="C50" i="13"/>
  <c r="C28" i="13"/>
  <c r="C24" i="13"/>
  <c r="C16" i="13"/>
  <c r="C12" i="13"/>
  <c r="C108" i="13"/>
  <c r="C94" i="13"/>
  <c r="C77" i="13"/>
  <c r="C106" i="13"/>
  <c r="C93" i="13"/>
  <c r="C86" i="13"/>
  <c r="C104" i="13"/>
  <c r="C85" i="13"/>
  <c r="C78" i="13"/>
  <c r="C97" i="13"/>
  <c r="C89" i="13"/>
  <c r="C81" i="13"/>
  <c r="C73" i="13"/>
  <c r="C61" i="13"/>
  <c r="C53" i="13"/>
  <c r="C70" i="13"/>
  <c r="C60" i="13"/>
  <c r="C52" i="13"/>
  <c r="C64" i="13"/>
  <c r="C56" i="13"/>
  <c r="C48" i="13"/>
  <c r="C45" i="13"/>
  <c r="C42" i="13"/>
  <c r="C41" i="13"/>
  <c r="C38" i="13"/>
  <c r="C37" i="13"/>
  <c r="C34" i="13"/>
  <c r="C33" i="13"/>
  <c r="C30" i="13"/>
  <c r="C29" i="13"/>
  <c r="C26" i="13"/>
  <c r="C25" i="13"/>
  <c r="C22" i="13"/>
  <c r="C21" i="13"/>
  <c r="C18" i="13"/>
  <c r="C17" i="13"/>
  <c r="C14" i="13"/>
  <c r="C13" i="13"/>
  <c r="Y24" i="13"/>
  <c r="C10" i="13"/>
  <c r="AN25" i="1"/>
  <c r="C11" i="7" l="1"/>
  <c r="C14" i="7" s="1"/>
  <c r="C19" i="7" s="1"/>
  <c r="C18" i="7" s="1"/>
  <c r="C20" i="7" s="1"/>
  <c r="C22" i="7" s="1"/>
  <c r="N43" i="14"/>
  <c r="N44" i="14" s="1"/>
  <c r="E23" i="14"/>
  <c r="F84" i="1"/>
  <c r="O43" i="14" l="1"/>
  <c r="O44" i="14" s="1"/>
  <c r="P43" i="14" l="1"/>
  <c r="P44" i="14" s="1"/>
  <c r="Q43" i="14" l="1"/>
  <c r="Q44" i="14" s="1"/>
  <c r="R43" i="14" l="1"/>
  <c r="R44" i="14" s="1"/>
  <c r="AO33" i="1"/>
  <c r="S43" i="14" l="1"/>
  <c r="S44" i="14" s="1"/>
  <c r="T43" i="14" l="1"/>
  <c r="T44" i="14" s="1"/>
  <c r="U43" i="14" l="1"/>
  <c r="U44" i="14" s="1"/>
  <c r="F21" i="3" l="1"/>
  <c r="F23" i="1" s="1"/>
  <c r="V43" i="14"/>
  <c r="V44" i="14" s="1"/>
  <c r="F22" i="3" l="1"/>
  <c r="W43" i="14"/>
  <c r="W44" i="14" s="1"/>
  <c r="F23" i="3"/>
  <c r="E167" i="3" l="1"/>
  <c r="X43" i="14"/>
  <c r="X44" i="14" s="1"/>
  <c r="I2" i="13"/>
  <c r="F25" i="3"/>
  <c r="F38" i="3" s="1"/>
  <c r="F44" i="1" s="1"/>
  <c r="F27" i="1"/>
  <c r="F26" i="3"/>
  <c r="F24" i="3"/>
  <c r="F24" i="1"/>
  <c r="F47" i="3" l="1"/>
  <c r="F49" i="1" s="1"/>
  <c r="F135" i="3" s="1"/>
  <c r="F40" i="3"/>
  <c r="F42" i="3" s="1"/>
  <c r="F43" i="3" s="1"/>
  <c r="F47" i="1" s="1"/>
  <c r="F29" i="1"/>
  <c r="K88" i="1" s="1"/>
  <c r="F131" i="3"/>
  <c r="F28" i="1"/>
  <c r="F30" i="1"/>
  <c r="F27" i="3"/>
  <c r="F31" i="1" s="1"/>
  <c r="AN33" i="1"/>
  <c r="B2" i="13" l="1"/>
  <c r="D114" i="13" s="1"/>
  <c r="E29" i="14"/>
  <c r="E30" i="14" s="1"/>
  <c r="C2" i="13"/>
  <c r="E114" i="13" s="1"/>
  <c r="M114" i="13" s="1"/>
  <c r="K89" i="1"/>
  <c r="C26" i="7"/>
  <c r="F59" i="3" s="1"/>
  <c r="F60" i="1" s="1"/>
  <c r="E113" i="13" l="1"/>
  <c r="M113" i="13" s="1"/>
  <c r="E33" i="14"/>
  <c r="E37" i="14"/>
  <c r="E111" i="13"/>
  <c r="M111" i="13" s="1"/>
  <c r="E112" i="13"/>
  <c r="M112" i="13" s="1"/>
  <c r="D10" i="13"/>
  <c r="E10" i="13" s="1"/>
  <c r="D14" i="13"/>
  <c r="E14" i="13" s="1"/>
  <c r="D18" i="13"/>
  <c r="E18" i="13" s="1"/>
  <c r="D22" i="13"/>
  <c r="E22" i="13" s="1"/>
  <c r="D26" i="13"/>
  <c r="E26" i="13" s="1"/>
  <c r="D30" i="13"/>
  <c r="E30" i="13" s="1"/>
  <c r="D34" i="13"/>
  <c r="E34" i="13" s="1"/>
  <c r="D38" i="13"/>
  <c r="E38" i="13" s="1"/>
  <c r="D42" i="13"/>
  <c r="E42" i="13" s="1"/>
  <c r="D46" i="13"/>
  <c r="E46" i="13" s="1"/>
  <c r="D50" i="13"/>
  <c r="E50" i="13" s="1"/>
  <c r="D54" i="13"/>
  <c r="E54" i="13" s="1"/>
  <c r="D58" i="13"/>
  <c r="E58" i="13" s="1"/>
  <c r="D62" i="13"/>
  <c r="E62" i="13" s="1"/>
  <c r="D66" i="13"/>
  <c r="E66" i="13" s="1"/>
  <c r="D70" i="13"/>
  <c r="E70" i="13" s="1"/>
  <c r="D74" i="13"/>
  <c r="E74" i="13" s="1"/>
  <c r="D78" i="13"/>
  <c r="E78" i="13" s="1"/>
  <c r="D82" i="13"/>
  <c r="E82" i="13" s="1"/>
  <c r="D86" i="13"/>
  <c r="E86" i="13" s="1"/>
  <c r="D90" i="13"/>
  <c r="E90" i="13" s="1"/>
  <c r="D94" i="13"/>
  <c r="E94" i="13" s="1"/>
  <c r="D98" i="13"/>
  <c r="E98" i="13" s="1"/>
  <c r="D102" i="13"/>
  <c r="E102" i="13" s="1"/>
  <c r="D106" i="13"/>
  <c r="E106" i="13" s="1"/>
  <c r="D110" i="13"/>
  <c r="E110" i="13" s="1"/>
  <c r="D11" i="13"/>
  <c r="E11" i="13" s="1"/>
  <c r="D15" i="13"/>
  <c r="E15" i="13" s="1"/>
  <c r="M15" i="13" s="1"/>
  <c r="D19" i="13"/>
  <c r="E19" i="13" s="1"/>
  <c r="D23" i="13"/>
  <c r="E23" i="13" s="1"/>
  <c r="M23" i="13" s="1"/>
  <c r="D27" i="13"/>
  <c r="E27" i="13" s="1"/>
  <c r="D31" i="13"/>
  <c r="E31" i="13" s="1"/>
  <c r="D35" i="13"/>
  <c r="E35" i="13" s="1"/>
  <c r="D39" i="13"/>
  <c r="E39" i="13" s="1"/>
  <c r="D43" i="13"/>
  <c r="E43" i="13" s="1"/>
  <c r="D47" i="13"/>
  <c r="E47" i="13" s="1"/>
  <c r="M47" i="13" s="1"/>
  <c r="D51" i="13"/>
  <c r="E51" i="13" s="1"/>
  <c r="D55" i="13"/>
  <c r="E55" i="13" s="1"/>
  <c r="D59" i="13"/>
  <c r="E59" i="13" s="1"/>
  <c r="D63" i="13"/>
  <c r="E63" i="13" s="1"/>
  <c r="D67" i="13"/>
  <c r="E67" i="13" s="1"/>
  <c r="D71" i="13"/>
  <c r="E71" i="13" s="1"/>
  <c r="D75" i="13"/>
  <c r="E75" i="13" s="1"/>
  <c r="D79" i="13"/>
  <c r="E79" i="13" s="1"/>
  <c r="D83" i="13"/>
  <c r="E83" i="13" s="1"/>
  <c r="D87" i="13"/>
  <c r="E87" i="13" s="1"/>
  <c r="D91" i="13"/>
  <c r="E91" i="13" s="1"/>
  <c r="D95" i="13"/>
  <c r="E95" i="13" s="1"/>
  <c r="D99" i="13"/>
  <c r="E99" i="13" s="1"/>
  <c r="D103" i="13"/>
  <c r="E103" i="13" s="1"/>
  <c r="D107" i="13"/>
  <c r="E107" i="13" s="1"/>
  <c r="D111" i="13"/>
  <c r="D12" i="13"/>
  <c r="E12" i="13" s="1"/>
  <c r="D16" i="13"/>
  <c r="E16" i="13" s="1"/>
  <c r="D20" i="13"/>
  <c r="E20" i="13" s="1"/>
  <c r="D24" i="13"/>
  <c r="E24" i="13" s="1"/>
  <c r="D28" i="13"/>
  <c r="E28" i="13" s="1"/>
  <c r="D32" i="13"/>
  <c r="E32" i="13" s="1"/>
  <c r="D36" i="13"/>
  <c r="E36" i="13" s="1"/>
  <c r="D40" i="13"/>
  <c r="E40" i="13" s="1"/>
  <c r="D44" i="13"/>
  <c r="E44" i="13" s="1"/>
  <c r="D48" i="13"/>
  <c r="E48" i="13" s="1"/>
  <c r="D52" i="13"/>
  <c r="E52" i="13" s="1"/>
  <c r="D56" i="13"/>
  <c r="E56" i="13" s="1"/>
  <c r="D60" i="13"/>
  <c r="E60" i="13" s="1"/>
  <c r="D64" i="13"/>
  <c r="E64" i="13" s="1"/>
  <c r="D68" i="13"/>
  <c r="E68" i="13" s="1"/>
  <c r="D72" i="13"/>
  <c r="E72" i="13" s="1"/>
  <c r="D76" i="13"/>
  <c r="E76" i="13" s="1"/>
  <c r="D80" i="13"/>
  <c r="E80" i="13" s="1"/>
  <c r="D84" i="13"/>
  <c r="E84" i="13" s="1"/>
  <c r="D88" i="13"/>
  <c r="E88" i="13" s="1"/>
  <c r="D92" i="13"/>
  <c r="E92" i="13" s="1"/>
  <c r="D96" i="13"/>
  <c r="E96" i="13" s="1"/>
  <c r="D100" i="13"/>
  <c r="E100" i="13" s="1"/>
  <c r="D104" i="13"/>
  <c r="E104" i="13" s="1"/>
  <c r="D108" i="13"/>
  <c r="E108" i="13" s="1"/>
  <c r="D112" i="13"/>
  <c r="D13" i="13"/>
  <c r="E13" i="13" s="1"/>
  <c r="D17" i="13"/>
  <c r="E17" i="13" s="1"/>
  <c r="D21" i="13"/>
  <c r="E21" i="13" s="1"/>
  <c r="D25" i="13"/>
  <c r="E25" i="13" s="1"/>
  <c r="D29" i="13"/>
  <c r="E29" i="13" s="1"/>
  <c r="D33" i="13"/>
  <c r="E33" i="13" s="1"/>
  <c r="D37" i="13"/>
  <c r="D53" i="13"/>
  <c r="E53" i="13" s="1"/>
  <c r="D69" i="13"/>
  <c r="E69" i="13" s="1"/>
  <c r="D85" i="13"/>
  <c r="E85" i="13" s="1"/>
  <c r="D101" i="13"/>
  <c r="E101" i="13" s="1"/>
  <c r="D41" i="13"/>
  <c r="E41" i="13" s="1"/>
  <c r="D57" i="13"/>
  <c r="E57" i="13" s="1"/>
  <c r="D73" i="13"/>
  <c r="E73" i="13" s="1"/>
  <c r="D89" i="13"/>
  <c r="E89" i="13" s="1"/>
  <c r="D105" i="13"/>
  <c r="E105" i="13" s="1"/>
  <c r="D61" i="13"/>
  <c r="E61" i="13" s="1"/>
  <c r="D77" i="13"/>
  <c r="E77" i="13" s="1"/>
  <c r="D93" i="13"/>
  <c r="E93" i="13" s="1"/>
  <c r="D109" i="13"/>
  <c r="E109" i="13" s="1"/>
  <c r="D65" i="13"/>
  <c r="E65" i="13" s="1"/>
  <c r="D81" i="13"/>
  <c r="E81" i="13" s="1"/>
  <c r="D97" i="13"/>
  <c r="E97" i="13" s="1"/>
  <c r="D45" i="13"/>
  <c r="E45" i="13" s="1"/>
  <c r="D49" i="13"/>
  <c r="E49" i="13" s="1"/>
  <c r="D113" i="13"/>
  <c r="E37" i="13"/>
  <c r="M37" i="13" s="1"/>
  <c r="C40" i="7"/>
  <c r="C39" i="7"/>
  <c r="C41" i="7"/>
  <c r="X146" i="3"/>
  <c r="F80" i="3"/>
  <c r="F81" i="3" l="1"/>
  <c r="F73" i="1" s="1"/>
  <c r="F37" i="14"/>
  <c r="E39" i="14"/>
  <c r="E38" i="14"/>
  <c r="E61" i="14"/>
  <c r="M51" i="13"/>
  <c r="M35" i="13"/>
  <c r="M79" i="13"/>
  <c r="M99" i="13"/>
  <c r="M34" i="13"/>
  <c r="M18" i="13"/>
  <c r="M105" i="13"/>
  <c r="M17" i="13"/>
  <c r="M53" i="13"/>
  <c r="M55" i="13"/>
  <c r="M61" i="13"/>
  <c r="M90" i="13"/>
  <c r="M16" i="13"/>
  <c r="M52" i="13"/>
  <c r="M106" i="13"/>
  <c r="M66" i="13"/>
  <c r="M33" i="13"/>
  <c r="M59" i="13"/>
  <c r="M69" i="13"/>
  <c r="M100" i="13"/>
  <c r="M56" i="13"/>
  <c r="M72" i="13"/>
  <c r="M45" i="13"/>
  <c r="M71" i="13"/>
  <c r="M26" i="13"/>
  <c r="M68" i="13"/>
  <c r="M31" i="13"/>
  <c r="M74" i="13"/>
  <c r="M46" i="13"/>
  <c r="M11" i="13"/>
  <c r="M38" i="13"/>
  <c r="M36" i="13"/>
  <c r="M73" i="13"/>
  <c r="M20" i="13"/>
  <c r="M93" i="13"/>
  <c r="M27" i="13"/>
  <c r="M78" i="13"/>
  <c r="M41" i="13"/>
  <c r="M13" i="13"/>
  <c r="M96" i="13"/>
  <c r="M77" i="13"/>
  <c r="M60" i="13"/>
  <c r="M30" i="13"/>
  <c r="M95" i="13"/>
  <c r="M67" i="13"/>
  <c r="M50" i="13"/>
  <c r="M65" i="13"/>
  <c r="M25" i="13"/>
  <c r="M94" i="13"/>
  <c r="M21" i="13"/>
  <c r="M63" i="13"/>
  <c r="M80" i="13"/>
  <c r="M40" i="13"/>
  <c r="M91" i="13"/>
  <c r="M19" i="13"/>
  <c r="M89" i="13"/>
  <c r="M58" i="13"/>
  <c r="M76" i="13"/>
  <c r="M57" i="13"/>
  <c r="M49" i="13"/>
  <c r="M44" i="13"/>
  <c r="M22" i="13"/>
  <c r="M85" i="13"/>
  <c r="M108" i="13"/>
  <c r="M107" i="13"/>
  <c r="M88" i="13"/>
  <c r="M104" i="13"/>
  <c r="M42" i="13"/>
  <c r="M64" i="13"/>
  <c r="M84" i="13"/>
  <c r="M92" i="13"/>
  <c r="M102" i="13"/>
  <c r="M98" i="13"/>
  <c r="M12" i="13"/>
  <c r="M48" i="13"/>
  <c r="M70" i="13"/>
  <c r="M32" i="13"/>
  <c r="M62" i="13"/>
  <c r="M103" i="13"/>
  <c r="M28" i="13"/>
  <c r="M39" i="13"/>
  <c r="M24" i="13"/>
  <c r="M86" i="13"/>
  <c r="M110" i="13"/>
  <c r="M101" i="13"/>
  <c r="M10" i="13"/>
  <c r="M97" i="13"/>
  <c r="M75" i="13"/>
  <c r="M82" i="13"/>
  <c r="M81" i="13"/>
  <c r="M43" i="13"/>
  <c r="M87" i="13"/>
  <c r="M83" i="13"/>
  <c r="M54" i="13"/>
  <c r="M109" i="13"/>
  <c r="M29" i="13"/>
  <c r="M14" i="13"/>
  <c r="F36" i="3"/>
  <c r="F35" i="3"/>
  <c r="F34" i="3"/>
  <c r="F33" i="3"/>
  <c r="E41" i="14" l="1"/>
  <c r="E42" i="14"/>
  <c r="F39" i="14"/>
  <c r="F38" i="14"/>
  <c r="G37" i="14"/>
  <c r="N4" i="13"/>
  <c r="H37" i="14" l="1"/>
  <c r="G39" i="14"/>
  <c r="G38" i="14"/>
  <c r="E46" i="14"/>
  <c r="F42" i="14"/>
  <c r="F41" i="14"/>
  <c r="G52" i="1"/>
  <c r="F46" i="14" l="1"/>
  <c r="G41" i="14"/>
  <c r="G42" i="14"/>
  <c r="I37" i="14"/>
  <c r="H39" i="14"/>
  <c r="H38" i="14"/>
  <c r="G46" i="14" l="1"/>
  <c r="H41" i="14"/>
  <c r="H42" i="14"/>
  <c r="J37" i="14"/>
  <c r="I38" i="14"/>
  <c r="I39" i="14"/>
  <c r="H35" i="3"/>
  <c r="H33" i="3"/>
  <c r="H36" i="3"/>
  <c r="H34" i="3"/>
  <c r="O165" i="3"/>
  <c r="O166" i="3"/>
  <c r="F129" i="3"/>
  <c r="F128" i="3"/>
  <c r="F133" i="3"/>
  <c r="U165" i="3" l="1"/>
  <c r="D150" i="3"/>
  <c r="D154" i="3"/>
  <c r="D158" i="3"/>
  <c r="D162" i="3"/>
  <c r="D147" i="3"/>
  <c r="D151" i="3"/>
  <c r="D155" i="3"/>
  <c r="D159" i="3"/>
  <c r="D146" i="3"/>
  <c r="D148" i="3"/>
  <c r="D152" i="3"/>
  <c r="D156" i="3"/>
  <c r="D160" i="3"/>
  <c r="D149" i="3"/>
  <c r="D153" i="3"/>
  <c r="D157" i="3"/>
  <c r="D161" i="3"/>
  <c r="H46" i="14"/>
  <c r="J38" i="14"/>
  <c r="K37" i="14"/>
  <c r="J39" i="14"/>
  <c r="I42" i="14"/>
  <c r="I41" i="14"/>
  <c r="K91" i="1"/>
  <c r="K92" i="1"/>
  <c r="F132" i="3"/>
  <c r="T163" i="3"/>
  <c r="T164" i="3"/>
  <c r="T165" i="3"/>
  <c r="S163" i="3"/>
  <c r="U163" i="3"/>
  <c r="S164" i="3"/>
  <c r="U164" i="3"/>
  <c r="S165" i="3"/>
  <c r="I153" i="3" l="1"/>
  <c r="F153" i="3"/>
  <c r="B153" i="3" s="1"/>
  <c r="F152" i="3"/>
  <c r="B152" i="3" s="1"/>
  <c r="I152" i="3"/>
  <c r="I155" i="3"/>
  <c r="F155" i="3"/>
  <c r="K155" i="3" s="1"/>
  <c r="F158" i="3"/>
  <c r="I158" i="3"/>
  <c r="I149" i="3"/>
  <c r="F149" i="3"/>
  <c r="F148" i="3"/>
  <c r="B148" i="3" s="1"/>
  <c r="I148" i="3"/>
  <c r="F151" i="3"/>
  <c r="B151" i="3" s="1"/>
  <c r="I151" i="3"/>
  <c r="I154" i="3"/>
  <c r="F154" i="3"/>
  <c r="I161" i="3"/>
  <c r="F161" i="3"/>
  <c r="B161" i="3" s="1"/>
  <c r="F160" i="3"/>
  <c r="K160" i="3" s="1"/>
  <c r="I160" i="3"/>
  <c r="I146" i="3"/>
  <c r="F146" i="3"/>
  <c r="I147" i="3"/>
  <c r="F147" i="3"/>
  <c r="K147" i="3" s="1"/>
  <c r="I150" i="3"/>
  <c r="F150" i="3"/>
  <c r="K150" i="3" s="1"/>
  <c r="I157" i="3"/>
  <c r="F157" i="3"/>
  <c r="K157" i="3" s="1"/>
  <c r="I156" i="3"/>
  <c r="F156" i="3"/>
  <c r="K156" i="3" s="1"/>
  <c r="F159" i="3"/>
  <c r="K159" i="3" s="1"/>
  <c r="I159" i="3"/>
  <c r="I162" i="3"/>
  <c r="F162" i="3"/>
  <c r="B162" i="3" s="1"/>
  <c r="I46" i="14"/>
  <c r="J42" i="14"/>
  <c r="J41" i="14"/>
  <c r="L37" i="14"/>
  <c r="K38" i="14"/>
  <c r="K39" i="14"/>
  <c r="B157" i="3" l="1"/>
  <c r="K148" i="3"/>
  <c r="K153" i="3"/>
  <c r="K151" i="3"/>
  <c r="K152" i="3"/>
  <c r="B160" i="3"/>
  <c r="B147" i="3"/>
  <c r="B150" i="3"/>
  <c r="E159" i="3"/>
  <c r="J159" i="3" s="1"/>
  <c r="G159" i="3"/>
  <c r="L159" i="3" s="1"/>
  <c r="R147" i="3"/>
  <c r="T147" i="3" s="1"/>
  <c r="N151" i="3"/>
  <c r="R154" i="3"/>
  <c r="N158" i="3"/>
  <c r="G149" i="3"/>
  <c r="L149" i="3" s="1"/>
  <c r="E149" i="3"/>
  <c r="J149" i="3" s="1"/>
  <c r="E158" i="3"/>
  <c r="J158" i="3" s="1"/>
  <c r="G158" i="3"/>
  <c r="L158" i="3" s="1"/>
  <c r="B159" i="3"/>
  <c r="E156" i="3"/>
  <c r="J156" i="3" s="1"/>
  <c r="G156" i="3"/>
  <c r="L156" i="3" s="1"/>
  <c r="R157" i="3"/>
  <c r="T157" i="3" s="1"/>
  <c r="N161" i="3"/>
  <c r="E146" i="3"/>
  <c r="J146" i="3" s="1"/>
  <c r="G146" i="3"/>
  <c r="L146" i="3" s="1"/>
  <c r="E160" i="3"/>
  <c r="J160" i="3" s="1"/>
  <c r="G160" i="3"/>
  <c r="L160" i="3" s="1"/>
  <c r="E154" i="3"/>
  <c r="J154" i="3" s="1"/>
  <c r="G154" i="3"/>
  <c r="L154" i="3" s="1"/>
  <c r="U154" i="3" s="1"/>
  <c r="R151" i="3"/>
  <c r="N155" i="3"/>
  <c r="E148" i="3"/>
  <c r="J148" i="3" s="1"/>
  <c r="G148" i="3"/>
  <c r="L148" i="3" s="1"/>
  <c r="B158" i="3"/>
  <c r="E155" i="3"/>
  <c r="J155" i="3" s="1"/>
  <c r="G155" i="3"/>
  <c r="E152" i="3"/>
  <c r="J152" i="3" s="1"/>
  <c r="G152" i="3"/>
  <c r="L152" i="3" s="1"/>
  <c r="K161" i="3"/>
  <c r="K162" i="3"/>
  <c r="K154" i="3"/>
  <c r="T154" i="3" s="1"/>
  <c r="K146" i="3"/>
  <c r="R159" i="3"/>
  <c r="T159" i="3" s="1"/>
  <c r="N163" i="3"/>
  <c r="R156" i="3"/>
  <c r="T156" i="3" s="1"/>
  <c r="N160" i="3"/>
  <c r="G150" i="3"/>
  <c r="L150" i="3" s="1"/>
  <c r="E150" i="3"/>
  <c r="J150" i="3" s="1"/>
  <c r="G147" i="3"/>
  <c r="L147" i="3" s="1"/>
  <c r="E147" i="3"/>
  <c r="J147" i="3" s="1"/>
  <c r="R146" i="3"/>
  <c r="V146" i="3" s="1"/>
  <c r="N150" i="3"/>
  <c r="B154" i="3"/>
  <c r="E151" i="3"/>
  <c r="J151" i="3" s="1"/>
  <c r="S151" i="3" s="1"/>
  <c r="G151" i="3"/>
  <c r="L151" i="3" s="1"/>
  <c r="B149" i="3"/>
  <c r="R158" i="3"/>
  <c r="N162" i="3"/>
  <c r="R155" i="3"/>
  <c r="T155" i="3" s="1"/>
  <c r="N159" i="3"/>
  <c r="G153" i="3"/>
  <c r="L153" i="3" s="1"/>
  <c r="E153" i="3"/>
  <c r="J153" i="3" s="1"/>
  <c r="G162" i="3"/>
  <c r="L162" i="3" s="1"/>
  <c r="E162" i="3"/>
  <c r="J162" i="3" s="1"/>
  <c r="E161" i="3"/>
  <c r="J161" i="3" s="1"/>
  <c r="G161" i="3"/>
  <c r="L161" i="3" s="1"/>
  <c r="K149" i="3"/>
  <c r="K158" i="3"/>
  <c r="R162" i="3"/>
  <c r="N166" i="3"/>
  <c r="B156" i="3"/>
  <c r="E157" i="3"/>
  <c r="J157" i="3" s="1"/>
  <c r="G157" i="3"/>
  <c r="L157" i="3" s="1"/>
  <c r="N154" i="3"/>
  <c r="R150" i="3"/>
  <c r="T150" i="3" s="1"/>
  <c r="B146" i="3"/>
  <c r="R160" i="3"/>
  <c r="T160" i="3" s="1"/>
  <c r="N164" i="3"/>
  <c r="R161" i="3"/>
  <c r="N165" i="3"/>
  <c r="R148" i="3"/>
  <c r="N152" i="3"/>
  <c r="R149" i="3"/>
  <c r="N153" i="3"/>
  <c r="B155" i="3"/>
  <c r="R152" i="3"/>
  <c r="N156" i="3"/>
  <c r="R153" i="3"/>
  <c r="N157" i="3"/>
  <c r="K42" i="14"/>
  <c r="K41" i="14"/>
  <c r="M37" i="14"/>
  <c r="L39" i="14"/>
  <c r="L38" i="14"/>
  <c r="J46" i="14"/>
  <c r="L155" i="3"/>
  <c r="T148" i="3" l="1"/>
  <c r="S147" i="3"/>
  <c r="U155" i="3"/>
  <c r="U147" i="3"/>
  <c r="T153" i="3"/>
  <c r="S157" i="3"/>
  <c r="U159" i="3"/>
  <c r="T151" i="3"/>
  <c r="U157" i="3"/>
  <c r="S161" i="3"/>
  <c r="U160" i="3"/>
  <c r="S154" i="3"/>
  <c r="T152" i="3"/>
  <c r="U151" i="3"/>
  <c r="U156" i="3"/>
  <c r="S149" i="3"/>
  <c r="U150" i="3"/>
  <c r="T161" i="3"/>
  <c r="U161" i="3"/>
  <c r="U152" i="3"/>
  <c r="S160" i="3"/>
  <c r="S162" i="3"/>
  <c r="U146" i="3"/>
  <c r="U153" i="3"/>
  <c r="U148" i="3"/>
  <c r="U158" i="3"/>
  <c r="S158" i="3"/>
  <c r="S150" i="3"/>
  <c r="S146" i="3"/>
  <c r="T149" i="3"/>
  <c r="S159" i="3"/>
  <c r="U162" i="3"/>
  <c r="S155" i="3"/>
  <c r="S153" i="3"/>
  <c r="T146" i="3"/>
  <c r="U149" i="3"/>
  <c r="S152" i="3"/>
  <c r="S148" i="3"/>
  <c r="T162" i="3"/>
  <c r="S156" i="3"/>
  <c r="T158" i="3"/>
  <c r="L41" i="14"/>
  <c r="L42" i="14"/>
  <c r="N37" i="14"/>
  <c r="M38" i="14"/>
  <c r="M39" i="14"/>
  <c r="K46" i="14"/>
  <c r="V162" i="3"/>
  <c r="V164" i="3"/>
  <c r="V158" i="3"/>
  <c r="V165" i="3"/>
  <c r="V151" i="3"/>
  <c r="V163" i="3"/>
  <c r="V156" i="3"/>
  <c r="V150" i="3"/>
  <c r="V157" i="3"/>
  <c r="V153" i="3"/>
  <c r="V147" i="3"/>
  <c r="V159" i="3"/>
  <c r="V161" i="3"/>
  <c r="V149" i="3"/>
  <c r="V152" i="3"/>
  <c r="V148" i="3"/>
  <c r="V160" i="3"/>
  <c r="V154" i="3"/>
  <c r="V155" i="3"/>
  <c r="L46" i="14" l="1"/>
  <c r="M42" i="14"/>
  <c r="M41" i="14"/>
  <c r="O37" i="14"/>
  <c r="N39" i="14"/>
  <c r="N38" i="14"/>
  <c r="P67" i="13"/>
  <c r="Q81" i="13"/>
  <c r="P86" i="13"/>
  <c r="P46" i="13"/>
  <c r="Q16" i="13"/>
  <c r="P37" i="13"/>
  <c r="Q40" i="13"/>
  <c r="P12" i="13"/>
  <c r="P65" i="13"/>
  <c r="Q69" i="13"/>
  <c r="Q92" i="13"/>
  <c r="P32" i="13"/>
  <c r="P55" i="13"/>
  <c r="P82" i="13"/>
  <c r="Q37" i="13"/>
  <c r="Q13" i="13"/>
  <c r="P38" i="13"/>
  <c r="P41" i="13"/>
  <c r="P100" i="13"/>
  <c r="Q103" i="13"/>
  <c r="P77" i="13"/>
  <c r="Q53" i="13"/>
  <c r="Q26" i="13"/>
  <c r="Q60" i="13"/>
  <c r="Q111" i="13"/>
  <c r="P85" i="13"/>
  <c r="Q85" i="13"/>
  <c r="P27" i="13"/>
  <c r="Q68" i="13"/>
  <c r="Q93" i="13"/>
  <c r="P48" i="13"/>
  <c r="P113" i="13"/>
  <c r="Q28" i="13"/>
  <c r="P112" i="13"/>
  <c r="P71" i="13"/>
  <c r="P11" i="13"/>
  <c r="P91" i="13"/>
  <c r="Q55" i="13"/>
  <c r="P57" i="13"/>
  <c r="Q107" i="13"/>
  <c r="P107" i="13"/>
  <c r="Q50" i="13"/>
  <c r="Q42" i="13"/>
  <c r="Q70" i="13"/>
  <c r="Q31" i="13"/>
  <c r="P79" i="13"/>
  <c r="Q99" i="13"/>
  <c r="P87" i="13"/>
  <c r="P110" i="13"/>
  <c r="Q32" i="13"/>
  <c r="P20" i="13"/>
  <c r="P72" i="13"/>
  <c r="P81" i="13"/>
  <c r="Q17" i="13"/>
  <c r="Q66" i="13"/>
  <c r="P54" i="13"/>
  <c r="P31" i="13"/>
  <c r="P44" i="13"/>
  <c r="Q20" i="13"/>
  <c r="P25" i="13"/>
  <c r="P64" i="13"/>
  <c r="Q97" i="13"/>
  <c r="Q96" i="13"/>
  <c r="Q36" i="13"/>
  <c r="Q88" i="13"/>
  <c r="Q86" i="13"/>
  <c r="Q84" i="13"/>
  <c r="P90" i="13"/>
  <c r="P61" i="13"/>
  <c r="P24" i="13"/>
  <c r="Q113" i="13"/>
  <c r="Q80" i="13"/>
  <c r="Q72" i="13"/>
  <c r="Q63" i="13"/>
  <c r="P13" i="13"/>
  <c r="Q35" i="13"/>
  <c r="P99" i="13"/>
  <c r="P33" i="13"/>
  <c r="Q45" i="13"/>
  <c r="Q14" i="13"/>
  <c r="P42" i="13"/>
  <c r="P40" i="13"/>
  <c r="Q82" i="13"/>
  <c r="P98" i="13"/>
  <c r="P95" i="13"/>
  <c r="Q38" i="13"/>
  <c r="P80" i="13"/>
  <c r="P111" i="13"/>
  <c r="P43" i="13"/>
  <c r="P63" i="13"/>
  <c r="P47" i="13"/>
  <c r="Q24" i="13"/>
  <c r="Q29" i="13"/>
  <c r="Q73" i="13"/>
  <c r="P76" i="13"/>
  <c r="P34" i="13"/>
  <c r="Q34" i="13"/>
  <c r="P66" i="13"/>
  <c r="P58" i="13"/>
  <c r="Q74" i="13"/>
  <c r="P93" i="13"/>
  <c r="Q71" i="13"/>
  <c r="Q109" i="13"/>
  <c r="P56" i="13"/>
  <c r="Q105" i="13"/>
  <c r="Q104" i="13"/>
  <c r="P60" i="13"/>
  <c r="Q18" i="13"/>
  <c r="P84" i="13"/>
  <c r="Q41" i="13"/>
  <c r="P62" i="13"/>
  <c r="Q52" i="13"/>
  <c r="P104" i="13"/>
  <c r="P94" i="13"/>
  <c r="P30" i="13"/>
  <c r="Q95" i="13"/>
  <c r="P16" i="13"/>
  <c r="Q98" i="13"/>
  <c r="P22" i="13"/>
  <c r="Q94" i="13"/>
  <c r="P50" i="13"/>
  <c r="Q61" i="13"/>
  <c r="Q90" i="13"/>
  <c r="Q100" i="13"/>
  <c r="Q47" i="13"/>
  <c r="P51" i="13"/>
  <c r="Q76" i="13"/>
  <c r="Q25" i="13"/>
  <c r="Q12" i="13"/>
  <c r="Q65" i="13"/>
  <c r="P68" i="13"/>
  <c r="Q108" i="13"/>
  <c r="Q78" i="13"/>
  <c r="Q59" i="13"/>
  <c r="P17" i="13"/>
  <c r="P29" i="13"/>
  <c r="P74" i="13"/>
  <c r="Q75" i="13"/>
  <c r="Q46" i="13"/>
  <c r="Q101" i="13"/>
  <c r="P103" i="13"/>
  <c r="Q77" i="13"/>
  <c r="Q19" i="13"/>
  <c r="Q21" i="13"/>
  <c r="P92" i="13"/>
  <c r="P69" i="13"/>
  <c r="Q11" i="13"/>
  <c r="P70" i="13"/>
  <c r="Q23" i="13"/>
  <c r="P114" i="13"/>
  <c r="P83" i="13"/>
  <c r="Q79" i="13"/>
  <c r="P96" i="13"/>
  <c r="Q110" i="13"/>
  <c r="Q30" i="13"/>
  <c r="Q106" i="13"/>
  <c r="Q33" i="13"/>
  <c r="P59" i="13"/>
  <c r="Q87" i="13"/>
  <c r="Q89" i="13"/>
  <c r="Q67" i="13"/>
  <c r="Q57" i="13"/>
  <c r="Q51" i="13"/>
  <c r="Q54" i="13"/>
  <c r="P23" i="13"/>
  <c r="P14" i="13"/>
  <c r="Q15" i="13"/>
  <c r="Q114" i="13"/>
  <c r="Q102" i="13"/>
  <c r="P36" i="13"/>
  <c r="P88" i="13"/>
  <c r="P39" i="13"/>
  <c r="P89" i="13"/>
  <c r="Q83" i="13"/>
  <c r="P52" i="13"/>
  <c r="Q112" i="13"/>
  <c r="P28" i="13"/>
  <c r="P106" i="13"/>
  <c r="Q64" i="13"/>
  <c r="P105" i="13"/>
  <c r="Q48" i="13"/>
  <c r="P102" i="13"/>
  <c r="Q91" i="13"/>
  <c r="Q44" i="13"/>
  <c r="P19" i="13"/>
  <c r="P18" i="13"/>
  <c r="Q43" i="13"/>
  <c r="P49" i="13"/>
  <c r="P15" i="13"/>
  <c r="P75" i="13"/>
  <c r="Q27" i="13"/>
  <c r="P101" i="13"/>
  <c r="P35" i="13"/>
  <c r="Q62" i="13"/>
  <c r="P73" i="13"/>
  <c r="Q58" i="13"/>
  <c r="Q39" i="13"/>
  <c r="P78" i="13"/>
  <c r="P45" i="13"/>
  <c r="Q56" i="13"/>
  <c r="Q49" i="13"/>
  <c r="P108" i="13"/>
  <c r="P97" i="13"/>
  <c r="P26" i="13"/>
  <c r="Q22" i="13"/>
  <c r="P21" i="13"/>
  <c r="P109" i="13"/>
  <c r="P53" i="13"/>
  <c r="P10" i="13"/>
  <c r="F37" i="13"/>
  <c r="G37" i="13" s="1"/>
  <c r="F44" i="13"/>
  <c r="G44" i="13" s="1"/>
  <c r="H44" i="13" s="1"/>
  <c r="I44" i="13" s="1"/>
  <c r="F86" i="13"/>
  <c r="G86" i="13" s="1"/>
  <c r="O86" i="13" s="1"/>
  <c r="F51" i="13"/>
  <c r="G51" i="13" s="1"/>
  <c r="O51" i="13" s="1"/>
  <c r="F113" i="13"/>
  <c r="G113" i="13" s="1"/>
  <c r="O113" i="13" s="1"/>
  <c r="F112" i="13"/>
  <c r="G112" i="13" s="1"/>
  <c r="H112" i="13" s="1"/>
  <c r="I112" i="13" s="1"/>
  <c r="F78" i="13"/>
  <c r="G78" i="13" s="1"/>
  <c r="H78" i="13" s="1"/>
  <c r="I78" i="13" s="1"/>
  <c r="F93" i="13"/>
  <c r="G93" i="13" s="1"/>
  <c r="H93" i="13" s="1"/>
  <c r="I93" i="13" s="1"/>
  <c r="F30" i="13"/>
  <c r="G30" i="13" s="1"/>
  <c r="H30" i="13" s="1"/>
  <c r="I30" i="13" s="1"/>
  <c r="F81" i="13"/>
  <c r="G81" i="13" s="1"/>
  <c r="H81" i="13" s="1"/>
  <c r="I81" i="13" s="1"/>
  <c r="F91" i="13"/>
  <c r="G91" i="13" s="1"/>
  <c r="O91" i="13" s="1"/>
  <c r="F31" i="13"/>
  <c r="G31" i="13" s="1"/>
  <c r="O31" i="13" s="1"/>
  <c r="F12" i="13"/>
  <c r="G12" i="13" s="1"/>
  <c r="O12" i="13" s="1"/>
  <c r="F68" i="13"/>
  <c r="G68" i="13" s="1"/>
  <c r="O68" i="13" s="1"/>
  <c r="F26" i="13"/>
  <c r="G26" i="13" s="1"/>
  <c r="H26" i="13" s="1"/>
  <c r="I26" i="13" s="1"/>
  <c r="F25" i="13"/>
  <c r="G25" i="13" s="1"/>
  <c r="F24" i="13"/>
  <c r="G24" i="13" s="1"/>
  <c r="F40" i="13"/>
  <c r="G40" i="13" s="1"/>
  <c r="O40" i="13" s="1"/>
  <c r="F36" i="13"/>
  <c r="G36" i="13" s="1"/>
  <c r="F67" i="13"/>
  <c r="G67" i="13" s="1"/>
  <c r="F62" i="13"/>
  <c r="G62" i="13" s="1"/>
  <c r="O62" i="13" s="1"/>
  <c r="F73" i="13"/>
  <c r="G73" i="13" s="1"/>
  <c r="O73" i="13" s="1"/>
  <c r="F22" i="13"/>
  <c r="G22" i="13" s="1"/>
  <c r="O22" i="13" s="1"/>
  <c r="F60" i="13"/>
  <c r="G60" i="13" s="1"/>
  <c r="H60" i="13" s="1"/>
  <c r="I60" i="13" s="1"/>
  <c r="F46" i="13"/>
  <c r="G46" i="13" s="1"/>
  <c r="H46" i="13" s="1"/>
  <c r="I46" i="13" s="1"/>
  <c r="F101" i="13"/>
  <c r="G101" i="13" s="1"/>
  <c r="F43" i="13"/>
  <c r="G43" i="13" s="1"/>
  <c r="F82" i="13"/>
  <c r="G82" i="13" s="1"/>
  <c r="F111" i="13"/>
  <c r="G111" i="13" s="1"/>
  <c r="F69" i="13"/>
  <c r="G69" i="13" s="1"/>
  <c r="F95" i="13"/>
  <c r="G95" i="13" s="1"/>
  <c r="F21" i="13"/>
  <c r="G21" i="13" s="1"/>
  <c r="F66" i="13"/>
  <c r="G66" i="13" s="1"/>
  <c r="F49" i="13"/>
  <c r="G49" i="13" s="1"/>
  <c r="O49" i="13" s="1"/>
  <c r="F90" i="13"/>
  <c r="G90" i="13" s="1"/>
  <c r="F77" i="13"/>
  <c r="G77" i="13" s="1"/>
  <c r="F100" i="13"/>
  <c r="G100" i="13" s="1"/>
  <c r="F38" i="13"/>
  <c r="G38" i="13" s="1"/>
  <c r="H38" i="13" s="1"/>
  <c r="I38" i="13" s="1"/>
  <c r="F64" i="13"/>
  <c r="G64" i="13" s="1"/>
  <c r="F56" i="13"/>
  <c r="G56" i="13" s="1"/>
  <c r="H56" i="13" s="1"/>
  <c r="I56" i="13" s="1"/>
  <c r="F87" i="13"/>
  <c r="G87" i="13" s="1"/>
  <c r="O87" i="13" s="1"/>
  <c r="Q10" i="13"/>
  <c r="F110" i="13"/>
  <c r="G110" i="13" s="1"/>
  <c r="F28" i="13"/>
  <c r="G28" i="13" s="1"/>
  <c r="F92" i="13"/>
  <c r="G92" i="13" s="1"/>
  <c r="F105" i="13"/>
  <c r="G105" i="13" s="1"/>
  <c r="O105" i="13" s="1"/>
  <c r="F103" i="13"/>
  <c r="G103" i="13" s="1"/>
  <c r="O103" i="13" s="1"/>
  <c r="F71" i="13"/>
  <c r="G71" i="13" s="1"/>
  <c r="F57" i="13"/>
  <c r="G57" i="13" s="1"/>
  <c r="F50" i="13"/>
  <c r="G50" i="13" s="1"/>
  <c r="F98" i="13"/>
  <c r="G98" i="13" s="1"/>
  <c r="H98" i="13" s="1"/>
  <c r="I98" i="13" s="1"/>
  <c r="F70" i="13"/>
  <c r="G70" i="13" s="1"/>
  <c r="O70" i="13" s="1"/>
  <c r="F114" i="13"/>
  <c r="G114" i="13" s="1"/>
  <c r="F47" i="13"/>
  <c r="G47" i="13" s="1"/>
  <c r="H47" i="13" s="1"/>
  <c r="I47" i="13" s="1"/>
  <c r="F15" i="13"/>
  <c r="G15" i="13" s="1"/>
  <c r="O15" i="13" s="1"/>
  <c r="F23" i="13"/>
  <c r="G23" i="13" s="1"/>
  <c r="H23" i="13" s="1"/>
  <c r="I23" i="13" s="1"/>
  <c r="F108" i="13"/>
  <c r="G108" i="13" s="1"/>
  <c r="F94" i="13"/>
  <c r="G94" i="13" s="1"/>
  <c r="F107" i="13"/>
  <c r="G107" i="13" s="1"/>
  <c r="F32" i="13"/>
  <c r="G32" i="13" s="1"/>
  <c r="F104" i="13"/>
  <c r="G104" i="13" s="1"/>
  <c r="F29" i="13"/>
  <c r="G29" i="13" s="1"/>
  <c r="O29" i="13" s="1"/>
  <c r="F54" i="13"/>
  <c r="G54" i="13" s="1"/>
  <c r="H54" i="13" s="1"/>
  <c r="I54" i="13" s="1"/>
  <c r="F109" i="13"/>
  <c r="G109" i="13" s="1"/>
  <c r="F13" i="13"/>
  <c r="G13" i="13" s="1"/>
  <c r="F35" i="13"/>
  <c r="G35" i="13" s="1"/>
  <c r="H35" i="13" s="1"/>
  <c r="I35" i="13" s="1"/>
  <c r="F14" i="13"/>
  <c r="G14" i="13" s="1"/>
  <c r="O14" i="13" s="1"/>
  <c r="F65" i="13"/>
  <c r="G65" i="13" s="1"/>
  <c r="F55" i="13"/>
  <c r="G55" i="13" s="1"/>
  <c r="O55" i="13" s="1"/>
  <c r="F106" i="13"/>
  <c r="G106" i="13" s="1"/>
  <c r="O106" i="13" s="1"/>
  <c r="F19" i="13"/>
  <c r="G19" i="13" s="1"/>
  <c r="F58" i="13"/>
  <c r="G58" i="13" s="1"/>
  <c r="O58" i="13" s="1"/>
  <c r="F83" i="13"/>
  <c r="G83" i="13" s="1"/>
  <c r="O83" i="13" s="1"/>
  <c r="F63" i="13"/>
  <c r="G63" i="13" s="1"/>
  <c r="O63" i="13" s="1"/>
  <c r="F45" i="13"/>
  <c r="G45" i="13" s="1"/>
  <c r="F76" i="13"/>
  <c r="G76" i="13" s="1"/>
  <c r="H76" i="13" s="1"/>
  <c r="I76" i="13" s="1"/>
  <c r="F97" i="13"/>
  <c r="G97" i="13" s="1"/>
  <c r="F18" i="13"/>
  <c r="G18" i="13" s="1"/>
  <c r="O18" i="13" s="1"/>
  <c r="F74" i="13"/>
  <c r="G74" i="13" s="1"/>
  <c r="H74" i="13" s="1"/>
  <c r="I74" i="13" s="1"/>
  <c r="F80" i="13"/>
  <c r="G80" i="13" s="1"/>
  <c r="F41" i="13"/>
  <c r="G41" i="13" s="1"/>
  <c r="O41" i="13" s="1"/>
  <c r="F27" i="13"/>
  <c r="G27" i="13" s="1"/>
  <c r="F61" i="13"/>
  <c r="G61" i="13" s="1"/>
  <c r="F42" i="13"/>
  <c r="G42" i="13" s="1"/>
  <c r="O42" i="13" s="1"/>
  <c r="F53" i="13"/>
  <c r="G53" i="13" s="1"/>
  <c r="H53" i="13" s="1"/>
  <c r="I53" i="13" s="1"/>
  <c r="F102" i="13"/>
  <c r="G102" i="13" s="1"/>
  <c r="F48" i="13"/>
  <c r="G48" i="13" s="1"/>
  <c r="O48" i="13" s="1"/>
  <c r="F88" i="13"/>
  <c r="G88" i="13" s="1"/>
  <c r="H88" i="13" s="1"/>
  <c r="I88" i="13" s="1"/>
  <c r="F33" i="13"/>
  <c r="G33" i="13" s="1"/>
  <c r="F20" i="13"/>
  <c r="G20" i="13" s="1"/>
  <c r="F89" i="13"/>
  <c r="G89" i="13" s="1"/>
  <c r="F96" i="13"/>
  <c r="G96" i="13" s="1"/>
  <c r="O96" i="13" s="1"/>
  <c r="F85" i="13"/>
  <c r="G85" i="13" s="1"/>
  <c r="F39" i="13"/>
  <c r="G39" i="13" s="1"/>
  <c r="F99" i="13"/>
  <c r="G99" i="13" s="1"/>
  <c r="F11" i="13"/>
  <c r="G11" i="13" s="1"/>
  <c r="O11" i="13" s="1"/>
  <c r="F34" i="13"/>
  <c r="G34" i="13" s="1"/>
  <c r="H34" i="13" s="1"/>
  <c r="I34" i="13" s="1"/>
  <c r="F59" i="13"/>
  <c r="G59" i="13" s="1"/>
  <c r="F72" i="13"/>
  <c r="G72" i="13" s="1"/>
  <c r="F16" i="13"/>
  <c r="G16" i="13" s="1"/>
  <c r="O16" i="13" s="1"/>
  <c r="F79" i="13"/>
  <c r="G79" i="13" s="1"/>
  <c r="F52" i="13"/>
  <c r="G52" i="13" s="1"/>
  <c r="F75" i="13"/>
  <c r="G75" i="13" s="1"/>
  <c r="F17" i="13"/>
  <c r="G17" i="13" s="1"/>
  <c r="F84" i="13"/>
  <c r="G84" i="13" s="1"/>
  <c r="F10" i="13"/>
  <c r="G10" i="13" s="1"/>
  <c r="O10" i="13" s="1"/>
  <c r="M46" i="14" l="1"/>
  <c r="N42" i="14"/>
  <c r="N41" i="14"/>
  <c r="O39" i="14"/>
  <c r="O38" i="14"/>
  <c r="P37" i="14"/>
  <c r="N54" i="13"/>
  <c r="L38" i="13"/>
  <c r="L44" i="13"/>
  <c r="L74" i="13"/>
  <c r="N47" i="13"/>
  <c r="H42" i="13"/>
  <c r="I42" i="13" s="1"/>
  <c r="O114" i="13"/>
  <c r="H114" i="13"/>
  <c r="H11" i="13"/>
  <c r="I11" i="13" s="1"/>
  <c r="L34" i="13"/>
  <c r="H10" i="13"/>
  <c r="H62" i="13"/>
  <c r="I62" i="13" s="1"/>
  <c r="O38" i="13"/>
  <c r="H63" i="13"/>
  <c r="I63" i="13" s="1"/>
  <c r="H55" i="13"/>
  <c r="I55" i="13" s="1"/>
  <c r="H49" i="13"/>
  <c r="I49" i="13" s="1"/>
  <c r="H68" i="13"/>
  <c r="I68" i="13" s="1"/>
  <c r="H89" i="13"/>
  <c r="I89" i="13" s="1"/>
  <c r="O89" i="13"/>
  <c r="N93" i="13"/>
  <c r="L93" i="13"/>
  <c r="O17" i="13"/>
  <c r="H17" i="13"/>
  <c r="I17" i="13" s="1"/>
  <c r="O39" i="13"/>
  <c r="H39" i="13"/>
  <c r="I39" i="13" s="1"/>
  <c r="O20" i="13"/>
  <c r="H20" i="13"/>
  <c r="I20" i="13" s="1"/>
  <c r="H108" i="13"/>
  <c r="I108" i="13" s="1"/>
  <c r="O108" i="13"/>
  <c r="L81" i="13"/>
  <c r="O37" i="13"/>
  <c r="H37" i="13"/>
  <c r="I37" i="13" s="1"/>
  <c r="H85" i="13"/>
  <c r="I85" i="13" s="1"/>
  <c r="O85" i="13"/>
  <c r="O33" i="13"/>
  <c r="H33" i="13"/>
  <c r="O13" i="13"/>
  <c r="H13" i="13"/>
  <c r="I13" i="13" s="1"/>
  <c r="O90" i="13"/>
  <c r="H90" i="13"/>
  <c r="I90" i="13" s="1"/>
  <c r="O21" i="13"/>
  <c r="H21" i="13"/>
  <c r="I21" i="13" s="1"/>
  <c r="O27" i="13"/>
  <c r="H27" i="13"/>
  <c r="I27" i="13" s="1"/>
  <c r="O109" i="13"/>
  <c r="H109" i="13"/>
  <c r="I109" i="13" s="1"/>
  <c r="H106" i="13"/>
  <c r="I106" i="13" s="1"/>
  <c r="O81" i="13"/>
  <c r="L46" i="13"/>
  <c r="O74" i="13"/>
  <c r="H40" i="13"/>
  <c r="I40" i="13" s="1"/>
  <c r="H31" i="13"/>
  <c r="I31" i="13" s="1"/>
  <c r="H113" i="13"/>
  <c r="H91" i="13"/>
  <c r="I91" i="13" s="1"/>
  <c r="H16" i="13"/>
  <c r="I16" i="13" s="1"/>
  <c r="O34" i="13"/>
  <c r="H96" i="13"/>
  <c r="I96" i="13" s="1"/>
  <c r="H83" i="13"/>
  <c r="I83" i="13" s="1"/>
  <c r="H29" i="13"/>
  <c r="I29" i="13" s="1"/>
  <c r="H18" i="13"/>
  <c r="I18" i="13" s="1"/>
  <c r="O46" i="13"/>
  <c r="H22" i="13"/>
  <c r="I22" i="13" s="1"/>
  <c r="H12" i="13"/>
  <c r="I12" i="13" s="1"/>
  <c r="O44" i="13"/>
  <c r="O80" i="13"/>
  <c r="H80" i="13"/>
  <c r="L76" i="13"/>
  <c r="H100" i="13"/>
  <c r="I100" i="13" s="1"/>
  <c r="O100" i="13"/>
  <c r="O84" i="13"/>
  <c r="H84" i="13"/>
  <c r="I84" i="13" s="1"/>
  <c r="H45" i="13"/>
  <c r="O45" i="13"/>
  <c r="O19" i="13"/>
  <c r="H19" i="13"/>
  <c r="I19" i="13" s="1"/>
  <c r="O65" i="13"/>
  <c r="H65" i="13"/>
  <c r="I65" i="13" s="1"/>
  <c r="O64" i="13"/>
  <c r="H64" i="13"/>
  <c r="I64" i="13" s="1"/>
  <c r="O102" i="13"/>
  <c r="H102" i="13"/>
  <c r="I102" i="13" s="1"/>
  <c r="L98" i="13"/>
  <c r="L23" i="13"/>
  <c r="O66" i="13"/>
  <c r="H66" i="13"/>
  <c r="I66" i="13" s="1"/>
  <c r="O104" i="13"/>
  <c r="H104" i="13"/>
  <c r="I104" i="13" s="1"/>
  <c r="L53" i="13"/>
  <c r="H107" i="13"/>
  <c r="I107" i="13" s="1"/>
  <c r="O107" i="13"/>
  <c r="O76" i="13"/>
  <c r="L56" i="13"/>
  <c r="O82" i="13"/>
  <c r="H82" i="13"/>
  <c r="I82" i="13" s="1"/>
  <c r="O25" i="13"/>
  <c r="H25" i="13"/>
  <c r="I25" i="13" s="1"/>
  <c r="H87" i="13"/>
  <c r="L112" i="13"/>
  <c r="N112" i="13"/>
  <c r="O112" i="13"/>
  <c r="O79" i="13"/>
  <c r="H79" i="13"/>
  <c r="I79" i="13" s="1"/>
  <c r="H32" i="13"/>
  <c r="I32" i="13" s="1"/>
  <c r="O32" i="13"/>
  <c r="H58" i="13"/>
  <c r="I58" i="13" s="1"/>
  <c r="L47" i="13"/>
  <c r="H71" i="13"/>
  <c r="I71" i="13" s="1"/>
  <c r="O71" i="13"/>
  <c r="O98" i="13"/>
  <c r="O54" i="13"/>
  <c r="N38" i="13"/>
  <c r="Q5" i="13"/>
  <c r="O61" i="13"/>
  <c r="H61" i="13"/>
  <c r="I61" i="13" s="1"/>
  <c r="N35" i="13"/>
  <c r="L35" i="13"/>
  <c r="H94" i="13"/>
  <c r="I94" i="13" s="1"/>
  <c r="O94" i="13"/>
  <c r="Q6" i="13"/>
  <c r="O77" i="13"/>
  <c r="H77" i="13"/>
  <c r="O95" i="13"/>
  <c r="H95" i="13"/>
  <c r="I95" i="13" s="1"/>
  <c r="O111" i="13"/>
  <c r="H111" i="13"/>
  <c r="I111" i="13" s="1"/>
  <c r="O43" i="13"/>
  <c r="H43" i="13"/>
  <c r="O36" i="13"/>
  <c r="H36" i="13"/>
  <c r="I36" i="13" s="1"/>
  <c r="O24" i="13"/>
  <c r="H24" i="13"/>
  <c r="I24" i="13" s="1"/>
  <c r="N26" i="13"/>
  <c r="L26" i="13"/>
  <c r="O26" i="13"/>
  <c r="O56" i="13"/>
  <c r="O59" i="13"/>
  <c r="H59" i="13"/>
  <c r="I59" i="13" s="1"/>
  <c r="O57" i="13"/>
  <c r="H57" i="13"/>
  <c r="I57" i="13" s="1"/>
  <c r="O110" i="13"/>
  <c r="H110" i="13"/>
  <c r="I110" i="13" s="1"/>
  <c r="H69" i="13"/>
  <c r="I69" i="13" s="1"/>
  <c r="O69" i="13"/>
  <c r="O67" i="13"/>
  <c r="H67" i="13"/>
  <c r="I67" i="13" s="1"/>
  <c r="L30" i="13"/>
  <c r="H73" i="13"/>
  <c r="L54" i="13"/>
  <c r="O23" i="13"/>
  <c r="O88" i="13"/>
  <c r="O75" i="13"/>
  <c r="H75" i="13"/>
  <c r="O97" i="13"/>
  <c r="H97" i="13"/>
  <c r="O50" i="13"/>
  <c r="H50" i="13"/>
  <c r="I50" i="13" s="1"/>
  <c r="O92" i="13"/>
  <c r="H92" i="13"/>
  <c r="I92" i="13" s="1"/>
  <c r="N60" i="13"/>
  <c r="L60" i="13"/>
  <c r="O47" i="13"/>
  <c r="O99" i="13"/>
  <c r="H99" i="13"/>
  <c r="I99" i="13" s="1"/>
  <c r="O52" i="13"/>
  <c r="H52" i="13"/>
  <c r="O72" i="13"/>
  <c r="H72" i="13"/>
  <c r="I72" i="13" s="1"/>
  <c r="H48" i="13"/>
  <c r="I48" i="13" s="1"/>
  <c r="H41" i="13"/>
  <c r="I41" i="13" s="1"/>
  <c r="H14" i="13"/>
  <c r="I14" i="13" s="1"/>
  <c r="H15" i="13"/>
  <c r="I15" i="13" s="1"/>
  <c r="H70" i="13"/>
  <c r="I70" i="13" s="1"/>
  <c r="H103" i="13"/>
  <c r="I103" i="13" s="1"/>
  <c r="H105" i="13"/>
  <c r="I105" i="13" s="1"/>
  <c r="O28" i="13"/>
  <c r="H28" i="13"/>
  <c r="I28" i="13" s="1"/>
  <c r="O60" i="13"/>
  <c r="H86" i="13"/>
  <c r="I86" i="13" s="1"/>
  <c r="O53" i="13"/>
  <c r="O30" i="13"/>
  <c r="L88" i="13"/>
  <c r="O35" i="13"/>
  <c r="H101" i="13"/>
  <c r="I101" i="13" s="1"/>
  <c r="O101" i="13"/>
  <c r="L78" i="13"/>
  <c r="H51" i="13"/>
  <c r="I51" i="13" s="1"/>
  <c r="O78" i="13"/>
  <c r="O93" i="13"/>
  <c r="N46" i="14" l="1"/>
  <c r="O42" i="14"/>
  <c r="O41" i="14"/>
  <c r="P39" i="14"/>
  <c r="P38" i="14"/>
  <c r="Q37" i="14"/>
  <c r="N98" i="13"/>
  <c r="I97" i="13"/>
  <c r="N97" i="13" s="1"/>
  <c r="N81" i="13"/>
  <c r="I80" i="13"/>
  <c r="N80" i="13" s="1"/>
  <c r="N53" i="13"/>
  <c r="I52" i="13"/>
  <c r="N52" i="13" s="1"/>
  <c r="N78" i="13"/>
  <c r="I77" i="13"/>
  <c r="N77" i="13" s="1"/>
  <c r="I113" i="13"/>
  <c r="N113" i="13" s="1"/>
  <c r="N76" i="13"/>
  <c r="I75" i="13"/>
  <c r="N75" i="13" s="1"/>
  <c r="N46" i="13"/>
  <c r="I45" i="13"/>
  <c r="N45" i="13" s="1"/>
  <c r="N34" i="13"/>
  <c r="I33" i="13"/>
  <c r="N33" i="13" s="1"/>
  <c r="I114" i="13"/>
  <c r="N114" i="13" s="1"/>
  <c r="N74" i="13"/>
  <c r="I73" i="13"/>
  <c r="N73" i="13" s="1"/>
  <c r="N44" i="13"/>
  <c r="I43" i="13"/>
  <c r="N43" i="13" s="1"/>
  <c r="N88" i="13"/>
  <c r="I87" i="13"/>
  <c r="N87" i="13" s="1"/>
  <c r="N23" i="13"/>
  <c r="N83" i="13"/>
  <c r="N108" i="13"/>
  <c r="N109" i="13"/>
  <c r="L49" i="13"/>
  <c r="L62" i="13"/>
  <c r="N63" i="13"/>
  <c r="N11" i="13"/>
  <c r="N22" i="13"/>
  <c r="N13" i="13"/>
  <c r="N20" i="13"/>
  <c r="N21" i="13"/>
  <c r="N55" i="13"/>
  <c r="N56" i="13"/>
  <c r="L18" i="13"/>
  <c r="N19" i="13"/>
  <c r="L31" i="13"/>
  <c r="L63" i="13"/>
  <c r="L29" i="13"/>
  <c r="N30" i="13"/>
  <c r="L16" i="13"/>
  <c r="N17" i="13"/>
  <c r="N90" i="13"/>
  <c r="N39" i="13"/>
  <c r="N40" i="13"/>
  <c r="N68" i="13"/>
  <c r="N42" i="13"/>
  <c r="Q4" i="13"/>
  <c r="F69" i="3" s="1"/>
  <c r="L90" i="13"/>
  <c r="L42" i="13"/>
  <c r="N62" i="13"/>
  <c r="L68" i="13"/>
  <c r="N18" i="13"/>
  <c r="N31" i="13"/>
  <c r="L13" i="13"/>
  <c r="L55" i="13"/>
  <c r="N29" i="13"/>
  <c r="L114" i="13"/>
  <c r="L22" i="13"/>
  <c r="L108" i="13"/>
  <c r="L11" i="13"/>
  <c r="N49" i="13"/>
  <c r="L113" i="13"/>
  <c r="L10" i="13"/>
  <c r="I10" i="13"/>
  <c r="N10" i="13" s="1"/>
  <c r="L109" i="13"/>
  <c r="L17" i="13"/>
  <c r="N16" i="13"/>
  <c r="L40" i="13"/>
  <c r="L85" i="13"/>
  <c r="N85" i="13"/>
  <c r="L89" i="13"/>
  <c r="N89" i="13"/>
  <c r="L21" i="13"/>
  <c r="L83" i="13"/>
  <c r="L96" i="13"/>
  <c r="N96" i="13"/>
  <c r="N91" i="13"/>
  <c r="L91" i="13"/>
  <c r="L27" i="13"/>
  <c r="N27" i="13"/>
  <c r="L33" i="13"/>
  <c r="L37" i="13"/>
  <c r="N37" i="13"/>
  <c r="L20" i="13"/>
  <c r="L39" i="13"/>
  <c r="L12" i="13"/>
  <c r="N12" i="13"/>
  <c r="N106" i="13"/>
  <c r="L106" i="13"/>
  <c r="L70" i="13"/>
  <c r="N70" i="13"/>
  <c r="L73" i="13"/>
  <c r="L43" i="13"/>
  <c r="L95" i="13"/>
  <c r="N95" i="13"/>
  <c r="N58" i="13"/>
  <c r="L58" i="13"/>
  <c r="L101" i="13"/>
  <c r="N101" i="13"/>
  <c r="N15" i="13"/>
  <c r="L15" i="13"/>
  <c r="L97" i="13"/>
  <c r="L57" i="13"/>
  <c r="N57" i="13"/>
  <c r="L71" i="13"/>
  <c r="N71" i="13"/>
  <c r="L107" i="13"/>
  <c r="N107" i="13"/>
  <c r="N102" i="13"/>
  <c r="L102" i="13"/>
  <c r="N65" i="13"/>
  <c r="L65" i="13"/>
  <c r="L80" i="13"/>
  <c r="N105" i="13"/>
  <c r="L105" i="13"/>
  <c r="N32" i="13"/>
  <c r="L32" i="13"/>
  <c r="L87" i="13"/>
  <c r="L45" i="13"/>
  <c r="L100" i="13"/>
  <c r="N100" i="13"/>
  <c r="L28" i="13"/>
  <c r="N28" i="13"/>
  <c r="L41" i="13"/>
  <c r="N41" i="13"/>
  <c r="L52" i="13"/>
  <c r="L94" i="13"/>
  <c r="N94" i="13"/>
  <c r="N61" i="13"/>
  <c r="L61" i="13"/>
  <c r="N48" i="13"/>
  <c r="L48" i="13"/>
  <c r="L92" i="13"/>
  <c r="N92" i="13"/>
  <c r="L24" i="13"/>
  <c r="N24" i="13"/>
  <c r="N82" i="13"/>
  <c r="L82" i="13"/>
  <c r="N51" i="13"/>
  <c r="L51" i="13"/>
  <c r="L72" i="13"/>
  <c r="N72" i="13"/>
  <c r="L99" i="13"/>
  <c r="N99" i="13"/>
  <c r="N69" i="13"/>
  <c r="L69" i="13"/>
  <c r="L111" i="13"/>
  <c r="N111" i="13"/>
  <c r="L77" i="13"/>
  <c r="L86" i="13"/>
  <c r="N86" i="13"/>
  <c r="L103" i="13"/>
  <c r="N103" i="13"/>
  <c r="L14" i="13"/>
  <c r="N14" i="13"/>
  <c r="L50" i="13"/>
  <c r="N50" i="13"/>
  <c r="L75" i="13"/>
  <c r="N67" i="13"/>
  <c r="L67" i="13"/>
  <c r="L110" i="13"/>
  <c r="N110" i="13"/>
  <c r="L59" i="13"/>
  <c r="N59" i="13"/>
  <c r="L36" i="13"/>
  <c r="N36" i="13"/>
  <c r="L79" i="13"/>
  <c r="N79" i="13"/>
  <c r="N25" i="13"/>
  <c r="L25" i="13"/>
  <c r="L104" i="13"/>
  <c r="N104" i="13"/>
  <c r="L66" i="13"/>
  <c r="N66" i="13"/>
  <c r="N64" i="13"/>
  <c r="L64" i="13"/>
  <c r="L19" i="13"/>
  <c r="N84" i="13"/>
  <c r="L84" i="13"/>
  <c r="O46" i="14" l="1"/>
  <c r="P42" i="14"/>
  <c r="P41" i="14"/>
  <c r="R37" i="14"/>
  <c r="Q39" i="14"/>
  <c r="Q38" i="14"/>
  <c r="N5" i="13"/>
  <c r="O2" i="13"/>
  <c r="F55" i="1" s="1"/>
  <c r="J10" i="13"/>
  <c r="P46" i="14" l="1"/>
  <c r="R39" i="14"/>
  <c r="R38" i="14"/>
  <c r="S37" i="14"/>
  <c r="Q41" i="14"/>
  <c r="Q42" i="14"/>
  <c r="F68" i="3"/>
  <c r="F70" i="3" s="1"/>
  <c r="H8" i="7" s="1"/>
  <c r="J11" i="13"/>
  <c r="K10" i="13"/>
  <c r="T37" i="14" l="1"/>
  <c r="S38" i="14"/>
  <c r="S39" i="14"/>
  <c r="Q46" i="14"/>
  <c r="R41" i="14"/>
  <c r="R42" i="14"/>
  <c r="E22" i="14"/>
  <c r="H10" i="7"/>
  <c r="H12" i="7" s="1"/>
  <c r="H13" i="7" s="1"/>
  <c r="H15" i="7" s="1"/>
  <c r="J12" i="13"/>
  <c r="K11" i="13"/>
  <c r="S42" i="14" l="1"/>
  <c r="S41" i="14"/>
  <c r="R46" i="14"/>
  <c r="T39" i="14"/>
  <c r="T38" i="14"/>
  <c r="T40" i="14" s="1"/>
  <c r="U37" i="14"/>
  <c r="G40" i="14"/>
  <c r="G47" i="14" s="1"/>
  <c r="K40" i="14"/>
  <c r="K47" i="14" s="1"/>
  <c r="O40" i="14"/>
  <c r="O47" i="14" s="1"/>
  <c r="S40" i="14"/>
  <c r="H40" i="14"/>
  <c r="H47" i="14" s="1"/>
  <c r="L40" i="14"/>
  <c r="L47" i="14" s="1"/>
  <c r="E40" i="14"/>
  <c r="E47" i="14" s="1"/>
  <c r="I40" i="14"/>
  <c r="I47" i="14" s="1"/>
  <c r="M40" i="14"/>
  <c r="M47" i="14" s="1"/>
  <c r="Q40" i="14"/>
  <c r="Q47" i="14" s="1"/>
  <c r="P40" i="14"/>
  <c r="P47" i="14" s="1"/>
  <c r="F40" i="14"/>
  <c r="F47" i="14" s="1"/>
  <c r="J40" i="14"/>
  <c r="J47" i="14" s="1"/>
  <c r="N40" i="14"/>
  <c r="N47" i="14" s="1"/>
  <c r="R40" i="14"/>
  <c r="H11" i="7"/>
  <c r="H14" i="7" s="1"/>
  <c r="H19" i="7" s="1"/>
  <c r="H18" i="7" s="1"/>
  <c r="H20" i="7" s="1"/>
  <c r="H22" i="7" s="1"/>
  <c r="J13" i="13"/>
  <c r="K12" i="13"/>
  <c r="S46" i="14" l="1"/>
  <c r="S47" i="14" s="1"/>
  <c r="S49" i="14" s="1"/>
  <c r="T42" i="14"/>
  <c r="T41" i="14"/>
  <c r="R47" i="14"/>
  <c r="R49" i="14" s="1"/>
  <c r="V37" i="14"/>
  <c r="U39" i="14"/>
  <c r="U38" i="14"/>
  <c r="U40" i="14" s="1"/>
  <c r="N49" i="14"/>
  <c r="N50" i="14"/>
  <c r="P50" i="14"/>
  <c r="P49" i="14"/>
  <c r="Q49" i="14"/>
  <c r="Q50" i="14"/>
  <c r="M50" i="14"/>
  <c r="M49" i="14"/>
  <c r="L50" i="14"/>
  <c r="L49" i="14"/>
  <c r="O50" i="14"/>
  <c r="O49" i="14"/>
  <c r="J49" i="14"/>
  <c r="J50" i="14"/>
  <c r="I50" i="14"/>
  <c r="I49" i="14"/>
  <c r="H50" i="14"/>
  <c r="H49" i="14"/>
  <c r="K49" i="14"/>
  <c r="K50" i="14"/>
  <c r="F49" i="14"/>
  <c r="F50" i="14"/>
  <c r="E49" i="14"/>
  <c r="E50" i="14"/>
  <c r="G49" i="14"/>
  <c r="G50" i="14"/>
  <c r="H28" i="7"/>
  <c r="F71" i="3" s="1"/>
  <c r="F72" i="3" s="1"/>
  <c r="J14" i="13"/>
  <c r="K13" i="13"/>
  <c r="S50" i="14" l="1"/>
  <c r="S52" i="14" s="1"/>
  <c r="S53" i="14" s="1"/>
  <c r="S54" i="14" s="1"/>
  <c r="S56" i="14" s="1"/>
  <c r="T46" i="14"/>
  <c r="T47" i="14" s="1"/>
  <c r="T50" i="14" s="1"/>
  <c r="U42" i="14"/>
  <c r="U41" i="14"/>
  <c r="H52" i="14"/>
  <c r="H53" i="14" s="1"/>
  <c r="H54" i="14" s="1"/>
  <c r="H56" i="14" s="1"/>
  <c r="O52" i="14"/>
  <c r="O53" i="14" s="1"/>
  <c r="O54" i="14" s="1"/>
  <c r="O56" i="14" s="1"/>
  <c r="M52" i="14"/>
  <c r="M53" i="14" s="1"/>
  <c r="M54" i="14" s="1"/>
  <c r="M56" i="14" s="1"/>
  <c r="P52" i="14"/>
  <c r="P53" i="14" s="1"/>
  <c r="P54" i="14" s="1"/>
  <c r="P56" i="14" s="1"/>
  <c r="R50" i="14"/>
  <c r="R52" i="14" s="1"/>
  <c r="R53" i="14" s="1"/>
  <c r="R54" i="14" s="1"/>
  <c r="R56" i="14" s="1"/>
  <c r="V39" i="14"/>
  <c r="V38" i="14"/>
  <c r="V40" i="14" s="1"/>
  <c r="W37" i="14"/>
  <c r="K52" i="14"/>
  <c r="K53" i="14" s="1"/>
  <c r="K54" i="14" s="1"/>
  <c r="K56" i="14" s="1"/>
  <c r="J52" i="14"/>
  <c r="J53" i="14" s="1"/>
  <c r="J54" i="14" s="1"/>
  <c r="J56" i="14" s="1"/>
  <c r="Q52" i="14"/>
  <c r="Q53" i="14" s="1"/>
  <c r="Q54" i="14" s="1"/>
  <c r="Q56" i="14" s="1"/>
  <c r="N52" i="14"/>
  <c r="N53" i="14" s="1"/>
  <c r="N54" i="14" s="1"/>
  <c r="N56" i="14" s="1"/>
  <c r="G52" i="14"/>
  <c r="G53" i="14" s="1"/>
  <c r="G54" i="14" s="1"/>
  <c r="G56" i="14" s="1"/>
  <c r="E52" i="14"/>
  <c r="E53" i="14" s="1"/>
  <c r="E54" i="14" s="1"/>
  <c r="E56" i="14" s="1"/>
  <c r="E57" i="14" s="1"/>
  <c r="E60" i="14" s="1"/>
  <c r="F52" i="14"/>
  <c r="F53" i="14" s="1"/>
  <c r="F54" i="14" s="1"/>
  <c r="F56" i="14" s="1"/>
  <c r="I52" i="14"/>
  <c r="I53" i="14" s="1"/>
  <c r="I54" i="14" s="1"/>
  <c r="I56" i="14" s="1"/>
  <c r="L52" i="14"/>
  <c r="L53" i="14" s="1"/>
  <c r="L54" i="14" s="1"/>
  <c r="L56" i="14" s="1"/>
  <c r="F68" i="1"/>
  <c r="O159" i="3"/>
  <c r="O160" i="3" s="1"/>
  <c r="O150" i="3"/>
  <c r="O154" i="3"/>
  <c r="J15" i="13"/>
  <c r="K14" i="13"/>
  <c r="M58" i="14" l="1"/>
  <c r="M61" i="14" s="1"/>
  <c r="P57" i="14"/>
  <c r="P60" i="14" s="1"/>
  <c r="M57" i="14"/>
  <c r="M60" i="14" s="1"/>
  <c r="J58" i="14"/>
  <c r="J61" i="14" s="1"/>
  <c r="O58" i="14"/>
  <c r="O61" i="14" s="1"/>
  <c r="T49" i="14"/>
  <c r="T52" i="14" s="1"/>
  <c r="T53" i="14" s="1"/>
  <c r="T54" i="14" s="1"/>
  <c r="T56" i="14" s="1"/>
  <c r="T57" i="14" s="1"/>
  <c r="T60" i="14" s="1"/>
  <c r="U46" i="14"/>
  <c r="U47" i="14" s="1"/>
  <c r="U50" i="14" s="1"/>
  <c r="V41" i="14"/>
  <c r="V42" i="14"/>
  <c r="X37" i="14"/>
  <c r="W39" i="14"/>
  <c r="W38" i="14"/>
  <c r="W40" i="14" s="1"/>
  <c r="O57" i="14"/>
  <c r="O60" i="14" s="1"/>
  <c r="R57" i="14"/>
  <c r="R60" i="14" s="1"/>
  <c r="R58" i="14"/>
  <c r="R61" i="14" s="1"/>
  <c r="K57" i="14"/>
  <c r="K60" i="14" s="1"/>
  <c r="N58" i="14"/>
  <c r="N61" i="14" s="1"/>
  <c r="Q57" i="14"/>
  <c r="Q60" i="14" s="1"/>
  <c r="Q58" i="14"/>
  <c r="Q61" i="14" s="1"/>
  <c r="P58" i="14"/>
  <c r="P61" i="14" s="1"/>
  <c r="N57" i="14"/>
  <c r="N60" i="14" s="1"/>
  <c r="S57" i="14"/>
  <c r="S60" i="14" s="1"/>
  <c r="J57" i="14"/>
  <c r="J60" i="14" s="1"/>
  <c r="I58" i="14"/>
  <c r="I61" i="14" s="1"/>
  <c r="I57" i="14"/>
  <c r="I60" i="14" s="1"/>
  <c r="G57" i="14"/>
  <c r="G60" i="14" s="1"/>
  <c r="G58" i="14"/>
  <c r="G61" i="14" s="1"/>
  <c r="F57" i="14"/>
  <c r="F60" i="14" s="1"/>
  <c r="F58" i="14"/>
  <c r="F61" i="14" s="1"/>
  <c r="H58" i="14"/>
  <c r="H61" i="14" s="1"/>
  <c r="K58" i="14"/>
  <c r="K61" i="14" s="1"/>
  <c r="L57" i="14"/>
  <c r="L60" i="14" s="1"/>
  <c r="L58" i="14"/>
  <c r="L61" i="14" s="1"/>
  <c r="H57" i="14"/>
  <c r="H60" i="14" s="1"/>
  <c r="O153" i="3"/>
  <c r="O157" i="3"/>
  <c r="O151" i="3"/>
  <c r="O152" i="3"/>
  <c r="O156" i="3"/>
  <c r="O161" i="3"/>
  <c r="O162" i="3"/>
  <c r="O158" i="3"/>
  <c r="O155" i="3"/>
  <c r="O163" i="3"/>
  <c r="J16" i="13"/>
  <c r="K15" i="13"/>
  <c r="U49" i="14" l="1"/>
  <c r="U52" i="14" s="1"/>
  <c r="U53" i="14" s="1"/>
  <c r="U54" i="14" s="1"/>
  <c r="U56" i="14" s="1"/>
  <c r="U57" i="14" s="1"/>
  <c r="U60" i="14" s="1"/>
  <c r="S58" i="14"/>
  <c r="S61" i="14" s="1"/>
  <c r="X39" i="14"/>
  <c r="X38" i="14"/>
  <c r="X40" i="14" s="1"/>
  <c r="V46" i="14"/>
  <c r="V47" i="14" s="1"/>
  <c r="W42" i="14"/>
  <c r="W41" i="14"/>
  <c r="J17" i="13"/>
  <c r="K16" i="13"/>
  <c r="W46" i="14" l="1"/>
  <c r="W47" i="14" s="1"/>
  <c r="W50" i="14" s="1"/>
  <c r="T58" i="14"/>
  <c r="T61" i="14" s="1"/>
  <c r="V50" i="14"/>
  <c r="V49" i="14"/>
  <c r="X41" i="14"/>
  <c r="X42" i="14"/>
  <c r="J18" i="13"/>
  <c r="K17" i="13"/>
  <c r="W49" i="14" l="1"/>
  <c r="W52" i="14" s="1"/>
  <c r="W53" i="14" s="1"/>
  <c r="W54" i="14" s="1"/>
  <c r="W56" i="14" s="1"/>
  <c r="X46" i="14"/>
  <c r="X47" i="14" s="1"/>
  <c r="X49" i="14" s="1"/>
  <c r="V52" i="14"/>
  <c r="V53" i="14" s="1"/>
  <c r="V54" i="14" s="1"/>
  <c r="V56" i="14" s="1"/>
  <c r="J19" i="13"/>
  <c r="K18" i="13"/>
  <c r="X50" i="14" l="1"/>
  <c r="X52" i="14" s="1"/>
  <c r="X53" i="14" s="1"/>
  <c r="X54" i="14" s="1"/>
  <c r="X56" i="14" s="1"/>
  <c r="V58" i="14"/>
  <c r="V61" i="14" s="1"/>
  <c r="V57" i="14"/>
  <c r="V60" i="14" s="1"/>
  <c r="U58" i="14"/>
  <c r="U61" i="14" s="1"/>
  <c r="W57" i="14"/>
  <c r="W60" i="14" s="1"/>
  <c r="J20" i="13"/>
  <c r="K19" i="13"/>
  <c r="X58" i="14" l="1"/>
  <c r="X61" i="14" s="1"/>
  <c r="X57" i="14"/>
  <c r="X60" i="14" s="1"/>
  <c r="K29" i="14" s="1"/>
  <c r="L29" i="14" s="1"/>
  <c r="F62" i="1" s="1"/>
  <c r="W58" i="14"/>
  <c r="W61" i="14" s="1"/>
  <c r="J21" i="13"/>
  <c r="K20" i="13"/>
  <c r="K30" i="14" l="1"/>
  <c r="L30" i="14" s="1"/>
  <c r="F63" i="1" s="1"/>
  <c r="J22" i="13"/>
  <c r="K21" i="13"/>
  <c r="J23" i="13" l="1"/>
  <c r="K22" i="13"/>
  <c r="J24" i="13" l="1"/>
  <c r="K23" i="13"/>
  <c r="J25" i="13" l="1"/>
  <c r="K24" i="13"/>
  <c r="J26" i="13" l="1"/>
  <c r="K25" i="13"/>
  <c r="J27" i="13" l="1"/>
  <c r="K26" i="13"/>
  <c r="J28" i="13" l="1"/>
  <c r="K27" i="13"/>
  <c r="J29" i="13" l="1"/>
  <c r="K28" i="13"/>
  <c r="J30" i="13" l="1"/>
  <c r="K29" i="13"/>
  <c r="J31" i="13" l="1"/>
  <c r="K30" i="13"/>
  <c r="J32" i="13" l="1"/>
  <c r="K31" i="13"/>
  <c r="J33" i="13" l="1"/>
  <c r="K32" i="13"/>
  <c r="J34" i="13" l="1"/>
  <c r="K33" i="13"/>
  <c r="J35" i="13" l="1"/>
  <c r="K34" i="13"/>
  <c r="J36" i="13" l="1"/>
  <c r="K35" i="13"/>
  <c r="J37" i="13" l="1"/>
  <c r="K36" i="13"/>
  <c r="J38" i="13" l="1"/>
  <c r="K37" i="13"/>
  <c r="J39" i="13" l="1"/>
  <c r="K38" i="13"/>
  <c r="J40" i="13" l="1"/>
  <c r="K39" i="13"/>
  <c r="J41" i="13" l="1"/>
  <c r="K40" i="13"/>
  <c r="J42" i="13" l="1"/>
  <c r="K41" i="13"/>
  <c r="J43" i="13" l="1"/>
  <c r="K42" i="13"/>
  <c r="J44" i="13" l="1"/>
  <c r="K43" i="13"/>
  <c r="J45" i="13" l="1"/>
  <c r="K44" i="13"/>
  <c r="J46" i="13" l="1"/>
  <c r="K45" i="13"/>
  <c r="J47" i="13" l="1"/>
  <c r="K46" i="13"/>
  <c r="J48" i="13" l="1"/>
  <c r="K47" i="13"/>
  <c r="J49" i="13" l="1"/>
  <c r="K48" i="13"/>
  <c r="J50" i="13" l="1"/>
  <c r="K49" i="13"/>
  <c r="J51" i="13" l="1"/>
  <c r="K50" i="13"/>
  <c r="J52" i="13" l="1"/>
  <c r="K51" i="13"/>
  <c r="J53" i="13" l="1"/>
  <c r="K52" i="13"/>
  <c r="J54" i="13" l="1"/>
  <c r="K53" i="13"/>
  <c r="J55" i="13" l="1"/>
  <c r="K54" i="13"/>
  <c r="J56" i="13" l="1"/>
  <c r="K55" i="13"/>
  <c r="J57" i="13" l="1"/>
  <c r="K56" i="13"/>
  <c r="J58" i="13" l="1"/>
  <c r="K57" i="13"/>
  <c r="J59" i="13" l="1"/>
  <c r="K58" i="13"/>
  <c r="J60" i="13" l="1"/>
  <c r="K59" i="13"/>
  <c r="J61" i="13" l="1"/>
  <c r="K60" i="13"/>
  <c r="J62" i="13" l="1"/>
  <c r="K61" i="13"/>
  <c r="J63" i="13" l="1"/>
  <c r="K62" i="13"/>
  <c r="J64" i="13" l="1"/>
  <c r="K63" i="13"/>
  <c r="J65" i="13" l="1"/>
  <c r="K64" i="13"/>
  <c r="J66" i="13" l="1"/>
  <c r="K65" i="13"/>
  <c r="J67" i="13" l="1"/>
  <c r="K66" i="13"/>
  <c r="J68" i="13" l="1"/>
  <c r="K67" i="13"/>
  <c r="J69" i="13" l="1"/>
  <c r="K68" i="13"/>
  <c r="J70" i="13" l="1"/>
  <c r="K69" i="13"/>
  <c r="J71" i="13" l="1"/>
  <c r="K70" i="13"/>
  <c r="J72" i="13" l="1"/>
  <c r="K71" i="13"/>
  <c r="J73" i="13" l="1"/>
  <c r="K72" i="13"/>
  <c r="J74" i="13" l="1"/>
  <c r="K73" i="13"/>
  <c r="J75" i="13" l="1"/>
  <c r="K74" i="13"/>
  <c r="J76" i="13" l="1"/>
  <c r="K75" i="13"/>
  <c r="J77" i="13" l="1"/>
  <c r="K76" i="13"/>
  <c r="J78" i="13" l="1"/>
  <c r="K77" i="13"/>
  <c r="J79" i="13" l="1"/>
  <c r="K78" i="13"/>
  <c r="J80" i="13" l="1"/>
  <c r="K79" i="13"/>
  <c r="J81" i="13" l="1"/>
  <c r="K80" i="13"/>
  <c r="J82" i="13" l="1"/>
  <c r="K81" i="13"/>
  <c r="J83" i="13" l="1"/>
  <c r="K82" i="13"/>
  <c r="J84" i="13" l="1"/>
  <c r="K83" i="13"/>
  <c r="J85" i="13" l="1"/>
  <c r="K84" i="13"/>
  <c r="J86" i="13" l="1"/>
  <c r="K85" i="13"/>
  <c r="J87" i="13" l="1"/>
  <c r="K86" i="13"/>
  <c r="J88" i="13" l="1"/>
  <c r="K87" i="13"/>
  <c r="J89" i="13" l="1"/>
  <c r="K88" i="13"/>
  <c r="J90" i="13" l="1"/>
  <c r="K89" i="13"/>
  <c r="J91" i="13" l="1"/>
  <c r="K90" i="13"/>
  <c r="J92" i="13" l="1"/>
  <c r="K91" i="13"/>
  <c r="J93" i="13" l="1"/>
  <c r="K92" i="13"/>
  <c r="J94" i="13" l="1"/>
  <c r="K93" i="13"/>
  <c r="J95" i="13" l="1"/>
  <c r="K94" i="13"/>
  <c r="J96" i="13" l="1"/>
  <c r="K95" i="13"/>
  <c r="J97" i="13" l="1"/>
  <c r="K96" i="13"/>
  <c r="J98" i="13" l="1"/>
  <c r="K97" i="13"/>
  <c r="J99" i="13" l="1"/>
  <c r="K98" i="13"/>
  <c r="J100" i="13" l="1"/>
  <c r="K99" i="13"/>
  <c r="J101" i="13" l="1"/>
  <c r="K100" i="13"/>
  <c r="J102" i="13" l="1"/>
  <c r="K101" i="13"/>
  <c r="J103" i="13" l="1"/>
  <c r="K102" i="13"/>
  <c r="J104" i="13" l="1"/>
  <c r="K103" i="13"/>
  <c r="J105" i="13" l="1"/>
  <c r="K104" i="13"/>
  <c r="J106" i="13" l="1"/>
  <c r="K105" i="13"/>
  <c r="J107" i="13" l="1"/>
  <c r="K106" i="13"/>
  <c r="J108" i="13" l="1"/>
  <c r="K107" i="13"/>
  <c r="J109" i="13" l="1"/>
  <c r="K108" i="13"/>
  <c r="J110" i="13" l="1"/>
  <c r="K109" i="13"/>
  <c r="J111" i="13" l="1"/>
  <c r="K110" i="13"/>
  <c r="J112" i="13" l="1"/>
  <c r="K111" i="13"/>
  <c r="J113" i="13" l="1"/>
  <c r="K112" i="13"/>
  <c r="J114" i="13" l="1"/>
  <c r="K113" i="13"/>
  <c r="M2" i="13" l="1"/>
  <c r="K114" i="13"/>
  <c r="K115" i="13" s="1"/>
  <c r="F54" i="1" l="1"/>
  <c r="F53" i="3"/>
  <c r="F55" i="3" s="1"/>
  <c r="F56" i="3" s="1"/>
  <c r="F56" i="1" l="1"/>
  <c r="F57" i="1"/>
</calcChain>
</file>

<file path=xl/comments1.xml><?xml version="1.0" encoding="utf-8"?>
<comments xmlns="http://schemas.openxmlformats.org/spreadsheetml/2006/main">
  <authors>
    <author>dmorgan</author>
    <author>a0272042</author>
    <author>Alex Triano</author>
    <author>bdemsc</author>
  </authors>
  <commentList>
    <comment ref="F14" authorId="0">
      <text>
        <r>
          <rPr>
            <b/>
            <sz val="8"/>
            <color indexed="81"/>
            <rFont val="Tahoma"/>
            <family val="2"/>
          </rPr>
          <t>The minimum system voltage must be no less than 10V</t>
        </r>
      </text>
    </comment>
    <comment ref="F16" authorId="0">
      <text>
        <r>
          <rPr>
            <b/>
            <sz val="8"/>
            <color indexed="81"/>
            <rFont val="Tahoma"/>
            <family val="2"/>
          </rPr>
          <t>The maximum system voltage must be no greater than 80V.</t>
        </r>
      </text>
    </comment>
    <comment ref="F18" authorId="0">
      <text>
        <r>
          <rPr>
            <b/>
            <sz val="8"/>
            <color indexed="81"/>
            <rFont val="Tahoma"/>
            <family val="2"/>
          </rPr>
          <t xml:space="preserve">This is the capacitance at Vout. This should not be zero. A minimum of 10 </t>
        </r>
        <r>
          <rPr>
            <b/>
            <sz val="8"/>
            <color indexed="81"/>
            <rFont val="Arial"/>
            <family val="2"/>
          </rPr>
          <t>μ</t>
        </r>
        <r>
          <rPr>
            <b/>
            <sz val="8"/>
            <color indexed="81"/>
            <rFont val="Tahoma"/>
            <family val="2"/>
          </rPr>
          <t>F is recommended.</t>
        </r>
      </text>
    </comment>
    <comment ref="F21" authorId="1">
      <text>
        <r>
          <rPr>
            <b/>
            <sz val="9"/>
            <color indexed="81"/>
            <rFont val="Tahoma"/>
            <family val="2"/>
          </rPr>
          <t xml:space="preserve">Using an External Resistor allows the user to fine tune the current limit for a given standard resistor. 
It will add error to the power limit, current limit, and telemetry (1% resistors) and should be avoided if possible. </t>
        </r>
        <r>
          <rPr>
            <sz val="9"/>
            <color indexed="81"/>
            <rFont val="Tahoma"/>
            <family val="2"/>
          </rPr>
          <t xml:space="preserve">
</t>
        </r>
      </text>
    </comment>
    <comment ref="F22" authorId="0">
      <text>
        <r>
          <rPr>
            <b/>
            <sz val="8"/>
            <color indexed="81"/>
            <rFont val="Tahoma"/>
            <family val="2"/>
          </rPr>
          <t xml:space="preserve">When using an external resistor divider, Rs must be larger than the targeted Rs,eff.  Pick the next larger available Rs.  
When not using an external resistor divider, pick the next smallest available sense resistor. </t>
        </r>
      </text>
    </comment>
    <comment ref="F23" authorId="1">
      <text>
        <r>
          <rPr>
            <b/>
            <sz val="9"/>
            <color indexed="81"/>
            <rFont val="Tahoma"/>
            <family val="2"/>
          </rPr>
          <t xml:space="preserve">Cell turns Red if 
When using an external resistor divider, Rs must be larger than the targeted Rs,eff.  Pick the next larger available Rs.  
</t>
        </r>
        <r>
          <rPr>
            <sz val="9"/>
            <color indexed="81"/>
            <rFont val="Tahoma"/>
            <family val="2"/>
          </rPr>
          <t xml:space="preserve">
</t>
        </r>
      </text>
    </comment>
    <comment ref="F28" authorId="1">
      <text>
        <r>
          <rPr>
            <b/>
            <sz val="9"/>
            <color indexed="81"/>
            <rFont val="Tahoma"/>
            <family val="2"/>
          </rPr>
          <t xml:space="preserve">Ensure that the minimum current limit is above maximum load. </t>
        </r>
      </text>
    </comment>
    <comment ref="F29" authorId="1">
      <text>
        <r>
          <rPr>
            <b/>
            <sz val="9"/>
            <color indexed="81"/>
            <rFont val="Tahoma"/>
            <family val="2"/>
          </rPr>
          <t xml:space="preserve">Ensure that the minimum current limit is above maximum load. </t>
        </r>
        <r>
          <rPr>
            <sz val="9"/>
            <color indexed="81"/>
            <rFont val="Tahoma"/>
            <family val="2"/>
          </rPr>
          <t xml:space="preserve">
</t>
        </r>
      </text>
    </comment>
    <comment ref="F30" authorId="1">
      <text>
        <r>
          <rPr>
            <b/>
            <sz val="9"/>
            <color indexed="81"/>
            <rFont val="Tahoma"/>
            <family val="2"/>
          </rPr>
          <t xml:space="preserve">Ensure that the minimum current limit is above maximum load. </t>
        </r>
        <r>
          <rPr>
            <sz val="9"/>
            <color indexed="81"/>
            <rFont val="Tahoma"/>
            <family val="2"/>
          </rPr>
          <t xml:space="preserve">
</t>
        </r>
      </text>
    </comment>
    <comment ref="F31" authorId="0">
      <text>
        <r>
          <rPr>
            <b/>
            <sz val="8"/>
            <color indexed="81"/>
            <rFont val="Tahoma"/>
            <family val="2"/>
          </rPr>
          <t>The power dissipation is calculated using the maximum normal load current.
Ensure the selected resistor is rated for this power dissipation.</t>
        </r>
      </text>
    </comment>
    <comment ref="F33" authorId="2">
      <text>
        <r>
          <rPr>
            <b/>
            <sz val="9"/>
            <color indexed="81"/>
            <rFont val="Tahoma"/>
            <family val="2"/>
          </rPr>
          <t xml:space="preserve">Note that this parameter is heavily dependent on the board layout and amount of copper connected to the Drain of the FET. 
The TI EVM is ~30C / W number and is a good starting point. It's recommended to measure this value again once the boards are built and plugging this back into the calculator. 
</t>
        </r>
      </text>
    </comment>
    <comment ref="F35" authorId="1">
      <text>
        <r>
          <rPr>
            <b/>
            <sz val="9"/>
            <color indexed="81"/>
            <rFont val="Tahoma"/>
            <family val="2"/>
          </rPr>
          <t>This number may need to be adjusted iteratively based on the result of cell C44.</t>
        </r>
        <r>
          <rPr>
            <sz val="9"/>
            <color indexed="81"/>
            <rFont val="Tahoma"/>
            <family val="2"/>
          </rPr>
          <t xml:space="preserve">
</t>
        </r>
      </text>
    </comment>
    <comment ref="F43" authorId="1">
      <text>
        <r>
          <rPr>
            <sz val="9"/>
            <color indexed="81"/>
            <rFont val="Tahoma"/>
            <family val="2"/>
          </rPr>
          <t xml:space="preserve">If FET temperature is too high, increase the # of FETs, reduce the load, or reduce the RθJA by adding more heat sinking to MOSFETs. 
</t>
        </r>
      </text>
    </comment>
    <comment ref="F45" authorId="1">
      <text>
        <r>
          <rPr>
            <sz val="9"/>
            <color indexed="81"/>
            <rFont val="Tahoma"/>
            <family val="2"/>
          </rPr>
          <t xml:space="preserve">Usually this can be set to PLIM,MIN.  If a load is present during start-up a higher Plim, may be preferred. </t>
        </r>
        <r>
          <rPr>
            <b/>
            <sz val="9"/>
            <color indexed="81"/>
            <rFont val="Tahoma"/>
            <family val="2"/>
          </rPr>
          <t xml:space="preserve">
</t>
        </r>
      </text>
    </comment>
    <comment ref="F49" authorId="1">
      <text>
        <r>
          <rPr>
            <sz val="9"/>
            <color indexed="81"/>
            <rFont val="Tahoma"/>
            <family val="2"/>
          </rPr>
          <t xml:space="preserve">Cell turns Red if the actual power limit is below Minimum Power Limit (cell F46)
</t>
        </r>
      </text>
    </comment>
    <comment ref="F51" authorId="3">
      <text>
        <r>
          <rPr>
            <b/>
            <sz val="8"/>
            <color indexed="81"/>
            <rFont val="Tahoma"/>
            <family val="2"/>
          </rPr>
          <t>Select if the load will draw current during start-up. 
For no Load, choose constant current and set to zero</t>
        </r>
      </text>
    </comment>
    <comment ref="F53" authorId="3">
      <text>
        <r>
          <rPr>
            <b/>
            <sz val="8"/>
            <color indexed="81"/>
            <rFont val="Tahoma"/>
            <family val="2"/>
          </rPr>
          <t>Yes or No.  Default is No.  However, DV/DT control can be useful in high current applications or applications were COUT is large.
If SOA margin is poor with a PLIM start-up, switching to a soft start can alleviate this problem.</t>
        </r>
      </text>
    </comment>
    <comment ref="F55" authorId="1">
      <text>
        <r>
          <rPr>
            <b/>
            <sz val="9"/>
            <color indexed="81"/>
            <rFont val="Tahoma"/>
            <family val="2"/>
          </rPr>
          <t xml:space="preserve">If IFET - ILOAD margin is too low, there may be start-up issues due to variation in power limit or load profile.  A margin &gt; 25% is recommended. 
If margin is &lt; 25%, the power limit should be increased or the load should be kept completely OFF during start-up. </t>
        </r>
        <r>
          <rPr>
            <sz val="9"/>
            <color indexed="81"/>
            <rFont val="Tahoma"/>
            <family val="2"/>
          </rPr>
          <t xml:space="preserve">
</t>
        </r>
      </text>
    </comment>
    <comment ref="F56" authorId="0">
      <text>
        <r>
          <rPr>
            <b/>
            <sz val="8"/>
            <color indexed="81"/>
            <rFont val="Tahoma"/>
            <family val="2"/>
          </rPr>
          <t xml:space="preserve">TO ensure start-up the faul time out must be longer than the start-up time. It is recommended to choose a fault timer that is larger than the typical start-time to account for variations in Plim, timer current, and timer capacitance. </t>
        </r>
      </text>
    </comment>
    <comment ref="F58" authorId="1">
      <text>
        <r>
          <rPr>
            <b/>
            <sz val="9"/>
            <color indexed="81"/>
            <rFont val="Tahoma"/>
            <family val="2"/>
          </rPr>
          <t>Pick closest capacitor that is larger than the Target capacitance</t>
        </r>
        <r>
          <rPr>
            <sz val="9"/>
            <color indexed="81"/>
            <rFont val="Tahoma"/>
            <family val="2"/>
          </rPr>
          <t xml:space="preserve">
</t>
        </r>
      </text>
    </comment>
    <comment ref="F60" authorId="1">
      <text>
        <r>
          <rPr>
            <sz val="9"/>
            <color indexed="81"/>
            <rFont val="Tahoma"/>
            <family val="2"/>
          </rPr>
          <t>A ratio over 1.1 is required and over 1.3 is preferred.  This will account for variation in Power limit and timer
If the margin is poor with a PLIM based start-up,  reduce timer, reduce power limit, use more FETs in parallel or switch to soft start (cell F55)</t>
        </r>
      </text>
    </comment>
    <comment ref="F61" authorId="3">
      <text>
        <r>
          <rPr>
            <b/>
            <sz val="8"/>
            <color indexed="81"/>
            <rFont val="Tahoma"/>
            <family val="2"/>
          </rPr>
          <t xml:space="preserve">This is used to determine the maximum FET case temperature before start-up. 
A "yes" here means that a user may run a board at full current, then unplug the board and plug it back in. In that the FET is hot before hot-plug. 
If this is a "no".  FET temperature just equals the ambient temperature. </t>
        </r>
      </text>
    </comment>
    <comment ref="F62" authorId="1">
      <text>
        <r>
          <rPr>
            <b/>
            <sz val="9"/>
            <color indexed="81"/>
            <rFont val="Tahoma"/>
            <family val="2"/>
          </rPr>
          <t xml:space="preserve">If these cells are red, there is no suitable slew rate for keeping FET whithin SOA. 
Reduce load at start-up or pick FET with better SOA. </t>
        </r>
      </text>
    </comment>
    <comment ref="F63" authorId="1">
      <text>
        <r>
          <rPr>
            <b/>
            <sz val="9"/>
            <color indexed="81"/>
            <rFont val="Tahoma"/>
            <family val="2"/>
          </rPr>
          <t xml:space="preserve">If these cells are red, there is no suitable slew rate for keeping FET whithin SOA. 
Reduce load at start-up or pick FET with better SOA. </t>
        </r>
        <r>
          <rPr>
            <sz val="9"/>
            <color indexed="81"/>
            <rFont val="Tahoma"/>
            <family val="2"/>
          </rPr>
          <t xml:space="preserve">
</t>
        </r>
      </text>
    </comment>
    <comment ref="F64" authorId="1">
      <text>
        <r>
          <rPr>
            <b/>
            <sz val="9"/>
            <color indexed="81"/>
            <rFont val="Tahoma"/>
            <family val="2"/>
          </rPr>
          <t>Ensure that this is lower than max ss slew rate in the cell above</t>
        </r>
        <r>
          <rPr>
            <sz val="9"/>
            <color indexed="81"/>
            <rFont val="Tahoma"/>
            <family val="2"/>
          </rPr>
          <t xml:space="preserve">
</t>
        </r>
      </text>
    </comment>
    <comment ref="F67" authorId="1">
      <text>
        <r>
          <rPr>
            <b/>
            <sz val="9"/>
            <color indexed="81"/>
            <rFont val="Tahoma"/>
            <family val="2"/>
          </rPr>
          <t>Ensure that this is lower than max ss slew rate.</t>
        </r>
      </text>
    </comment>
    <comment ref="F68" authorId="1">
      <text>
        <r>
          <rPr>
            <sz val="9"/>
            <color indexed="81"/>
            <rFont val="Tahoma"/>
            <family val="2"/>
          </rPr>
          <t>A margin of &gt;1.1 is required and a margin of &gt;1.3 is recommended to accout for the variation in the gate current. 
Reduce dv/dt rate to reduce inrush current and increase SOA margin</t>
        </r>
      </text>
    </comment>
    <comment ref="F73" authorId="1">
      <text>
        <r>
          <rPr>
            <b/>
            <sz val="9"/>
            <color indexed="81"/>
            <rFont val="Tahoma"/>
            <family val="2"/>
          </rPr>
          <t xml:space="preserve">A margin of &gt;1.1 is required and a margin of &gt;1.3 is recommended to accout for the variation in the power limit and timer. 
Reduce Tfault to improve SOA margin. </t>
        </r>
        <r>
          <rPr>
            <sz val="9"/>
            <color indexed="81"/>
            <rFont val="Tahoma"/>
            <family val="2"/>
          </rPr>
          <t xml:space="preserve">
</t>
        </r>
      </text>
    </comment>
    <comment ref="F74" authorId="0">
      <text>
        <r>
          <rPr>
            <b/>
            <sz val="8"/>
            <color indexed="81"/>
            <rFont val="Tahoma"/>
            <family val="2"/>
          </rPr>
          <t>This threshold must be between 2.9V and 17V.</t>
        </r>
      </text>
    </comment>
  </commentList>
</comments>
</file>

<file path=xl/comments2.xml><?xml version="1.0" encoding="utf-8"?>
<comments xmlns="http://schemas.openxmlformats.org/spreadsheetml/2006/main">
  <authors>
    <author>bdemsc</author>
  </authors>
  <commentList>
    <comment ref="C39" authorId="0">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 ref="C40" authorId="0">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 ref="C41" authorId="0">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List>
</comments>
</file>

<file path=xl/sharedStrings.xml><?xml version="1.0" encoding="utf-8"?>
<sst xmlns="http://schemas.openxmlformats.org/spreadsheetml/2006/main" count="580" uniqueCount="391">
  <si>
    <t>Max Rs =</t>
  </si>
  <si>
    <t>Min. Current limit =</t>
  </si>
  <si>
    <t>Typ. Current limit =</t>
  </si>
  <si>
    <t>Max. Current limit =</t>
  </si>
  <si>
    <t>Rs Power Diss. =</t>
  </si>
  <si>
    <t>ms</t>
  </si>
  <si>
    <t>(V)</t>
  </si>
  <si>
    <t>(A)</t>
  </si>
  <si>
    <t>R1 =</t>
  </si>
  <si>
    <t>R2 =</t>
  </si>
  <si>
    <t>R3 =</t>
  </si>
  <si>
    <t>R4 =</t>
  </si>
  <si>
    <r>
      <t>C</t>
    </r>
    <r>
      <rPr>
        <vertAlign val="subscript"/>
        <sz val="10"/>
        <rFont val="Arial"/>
        <family val="2"/>
      </rPr>
      <t>T</t>
    </r>
    <r>
      <rPr>
        <sz val="10"/>
        <rFont val="Arial"/>
        <family val="2"/>
      </rPr>
      <t xml:space="preserve"> =</t>
    </r>
  </si>
  <si>
    <t>Notes:</t>
  </si>
  <si>
    <t>Option B</t>
  </si>
  <si>
    <t>R3</t>
  </si>
  <si>
    <t>R4</t>
  </si>
  <si>
    <t>A</t>
  </si>
  <si>
    <t>Minimum</t>
  </si>
  <si>
    <t>Typical</t>
  </si>
  <si>
    <t>Maximum</t>
  </si>
  <si>
    <t>Resulting Thresholds:</t>
  </si>
  <si>
    <r>
      <t>V</t>
    </r>
    <r>
      <rPr>
        <b/>
        <vertAlign val="subscript"/>
        <sz val="10"/>
        <rFont val="Arial"/>
        <family val="2"/>
      </rPr>
      <t>DS</t>
    </r>
  </si>
  <si>
    <t>GRAPH:</t>
  </si>
  <si>
    <t>Selected Rs =</t>
  </si>
  <si>
    <t>Max System voltage =</t>
  </si>
  <si>
    <t>Current Lim (min) =</t>
  </si>
  <si>
    <t>Current Lim (typ) =</t>
  </si>
  <si>
    <t>Current Lim (max) =</t>
  </si>
  <si>
    <t>Power Limit (typ) =</t>
  </si>
  <si>
    <t>A) This table calculates the Ids current based</t>
  </si>
  <si>
    <t>B) This table corrrects the table at left so no</t>
  </si>
  <si>
    <t>on power limit only - no current limit info.</t>
  </si>
  <si>
    <t>current is greater than the current limit.</t>
  </si>
  <si>
    <t>Vds</t>
  </si>
  <si>
    <t>Min</t>
  </si>
  <si>
    <t>Typ</t>
  </si>
  <si>
    <t>Max</t>
  </si>
  <si>
    <t>SOA data points from</t>
  </si>
  <si>
    <t>the customer's SOA</t>
  </si>
  <si>
    <t>data he entered.</t>
  </si>
  <si>
    <t>User's</t>
  </si>
  <si>
    <t>Ids</t>
  </si>
  <si>
    <t>x = customer's entry</t>
  </si>
  <si>
    <t>x</t>
  </si>
  <si>
    <t>SOA</t>
  </si>
  <si>
    <t>C) This table creates the</t>
  </si>
  <si>
    <t>µF</t>
  </si>
  <si>
    <r>
      <t>k</t>
    </r>
    <r>
      <rPr>
        <sz val="10"/>
        <rFont val="Symbol"/>
        <family val="1"/>
        <charset val="2"/>
      </rPr>
      <t>W</t>
    </r>
  </si>
  <si>
    <r>
      <t>m</t>
    </r>
    <r>
      <rPr>
        <sz val="10"/>
        <rFont val="Symbol"/>
        <family val="1"/>
        <charset val="2"/>
      </rPr>
      <t>W</t>
    </r>
  </si>
  <si>
    <t>V</t>
  </si>
  <si>
    <t>W</t>
  </si>
  <si>
    <t>D) This table changes ID values to zero for Vds&gt;Vin(max)</t>
  </si>
  <si>
    <t>and adds the SOA curve. This data is plotted.</t>
  </si>
  <si>
    <r>
      <t>1. Although not mandatory, C</t>
    </r>
    <r>
      <rPr>
        <vertAlign val="subscript"/>
        <sz val="10"/>
        <rFont val="Arial"/>
        <family val="2"/>
      </rPr>
      <t>IN</t>
    </r>
    <r>
      <rPr>
        <sz val="10"/>
        <rFont val="Arial"/>
        <family val="2"/>
      </rPr>
      <t xml:space="preserve"> provides transient suppression at the VIN pin</t>
    </r>
  </si>
  <si>
    <t xml:space="preserve">Resulting Upper UVLO Threshold = </t>
  </si>
  <si>
    <t xml:space="preserve">Resulting Lower UVLO Threshold = </t>
  </si>
  <si>
    <t>Resulting Minimum Current Limit</t>
  </si>
  <si>
    <t>Resulting Typical Current Limit</t>
  </si>
  <si>
    <t>Resulting Maximum Current Limit</t>
  </si>
  <si>
    <t>Calculated Values are shown in White Cells</t>
  </si>
  <si>
    <t>www.ti.com/hotswap</t>
  </si>
  <si>
    <r>
      <t>Enter the Resistance for R</t>
    </r>
    <r>
      <rPr>
        <vertAlign val="subscript"/>
        <sz val="10"/>
        <rFont val="Arial"/>
        <family val="2"/>
      </rPr>
      <t>S</t>
    </r>
  </si>
  <si>
    <t>2. A TVS clamp from VIN to GND is absolutely mandatory to clamp the voltage overshoot upon MOSFET turn-off, e.g. during circuit breaker</t>
  </si>
  <si>
    <r>
      <rPr>
        <sz val="11"/>
        <color theme="1"/>
        <rFont val="Arial"/>
        <family val="2"/>
      </rPr>
      <t>R</t>
    </r>
    <r>
      <rPr>
        <vertAlign val="subscript"/>
        <sz val="11"/>
        <color theme="1"/>
        <rFont val="Arial"/>
        <family val="2"/>
      </rPr>
      <t>S</t>
    </r>
    <r>
      <rPr>
        <sz val="11"/>
        <color theme="1"/>
        <rFont val="Arial"/>
        <family val="2"/>
      </rPr>
      <t xml:space="preserve"> =</t>
    </r>
  </si>
  <si>
    <r>
      <t>Minimum Input Operating Voltage: V</t>
    </r>
    <r>
      <rPr>
        <vertAlign val="subscript"/>
        <sz val="10"/>
        <rFont val="Arial"/>
        <family val="2"/>
      </rPr>
      <t>IN(MIN)</t>
    </r>
  </si>
  <si>
    <r>
      <t>Maximum Input Operating Voltage: V</t>
    </r>
    <r>
      <rPr>
        <vertAlign val="subscript"/>
        <sz val="10"/>
        <rFont val="Arial"/>
        <family val="2"/>
      </rPr>
      <t>IN(MAX)</t>
    </r>
  </si>
  <si>
    <r>
      <t>Maximum Power Dissipation in R</t>
    </r>
    <r>
      <rPr>
        <vertAlign val="subscript"/>
        <sz val="10"/>
        <rFont val="Arial"/>
        <family val="2"/>
      </rPr>
      <t>S</t>
    </r>
  </si>
  <si>
    <r>
      <t>I</t>
    </r>
    <r>
      <rPr>
        <b/>
        <vertAlign val="subscript"/>
        <sz val="10"/>
        <rFont val="Arial"/>
        <family val="2"/>
      </rPr>
      <t>D</t>
    </r>
  </si>
  <si>
    <t>nF</t>
  </si>
  <si>
    <r>
      <t>Nominal Input Operating Voltage: V</t>
    </r>
    <r>
      <rPr>
        <vertAlign val="subscript"/>
        <sz val="10"/>
        <rFont val="Arial"/>
        <family val="2"/>
      </rPr>
      <t>IN(NOM)</t>
    </r>
  </si>
  <si>
    <r>
      <t>Maximum Ambient Operating Temperature: T</t>
    </r>
    <r>
      <rPr>
        <vertAlign val="subscript"/>
        <sz val="10"/>
        <rFont val="Arial"/>
        <family val="2"/>
      </rPr>
      <t>MAX</t>
    </r>
  </si>
  <si>
    <r>
      <t>Maximum Load Current: I</t>
    </r>
    <r>
      <rPr>
        <vertAlign val="subscript"/>
        <sz val="10"/>
        <rFont val="Arial"/>
        <family val="2"/>
      </rPr>
      <t>OUT(MAX)</t>
    </r>
  </si>
  <si>
    <t>Step 3: MOSFET Selection</t>
  </si>
  <si>
    <t>Number of MosFETs</t>
  </si>
  <si>
    <t>#</t>
  </si>
  <si>
    <r>
      <rPr>
        <vertAlign val="superscript"/>
        <sz val="10"/>
        <rFont val="Arial"/>
        <family val="2"/>
      </rPr>
      <t>o</t>
    </r>
    <r>
      <rPr>
        <sz val="10"/>
        <rFont val="Arial"/>
        <family val="2"/>
      </rPr>
      <t>C</t>
    </r>
  </si>
  <si>
    <r>
      <rPr>
        <vertAlign val="superscript"/>
        <sz val="10"/>
        <rFont val="Arial"/>
        <family val="2"/>
      </rPr>
      <t>o</t>
    </r>
    <r>
      <rPr>
        <sz val="10"/>
        <rFont val="Arial"/>
        <family val="2"/>
      </rPr>
      <t>C/W</t>
    </r>
  </si>
  <si>
    <t>Maximum FET Junction Temperature</t>
  </si>
  <si>
    <t>100ms SOA Current Maximum Input Voltage</t>
  </si>
  <si>
    <t>1ms SOA Current Maximum Input Voltage</t>
  </si>
  <si>
    <t>10ms SOA Current Maximum Input Voltage</t>
  </si>
  <si>
    <t>100ms or DC SOA Current at Maximum Input Voltage</t>
  </si>
  <si>
    <t>Current Limit</t>
  </si>
  <si>
    <t>Step 4: Startup</t>
  </si>
  <si>
    <t>Startup Load Type</t>
  </si>
  <si>
    <t>Startup Load Value</t>
  </si>
  <si>
    <t>Constant Current</t>
  </si>
  <si>
    <t>Resistive</t>
  </si>
  <si>
    <t>Vout</t>
  </si>
  <si>
    <t>ILOAD</t>
  </si>
  <si>
    <t xml:space="preserve">Start-up slop </t>
  </si>
  <si>
    <t>QG</t>
  </si>
  <si>
    <t>I_Src</t>
  </si>
  <si>
    <t>RMS</t>
  </si>
  <si>
    <t>PLIM</t>
  </si>
  <si>
    <t>combined</t>
  </si>
  <si>
    <t>I_timer</t>
  </si>
  <si>
    <t>C_timer</t>
  </si>
  <si>
    <t>Final</t>
  </si>
  <si>
    <t>Step 1: Operating Conditions</t>
  </si>
  <si>
    <t>Time</t>
  </si>
  <si>
    <t>Startup</t>
  </si>
  <si>
    <t>FET Selection</t>
  </si>
  <si>
    <t>Nominal</t>
  </si>
  <si>
    <t>Derated at TJ</t>
  </si>
  <si>
    <t>Operating Conditions</t>
  </si>
  <si>
    <t>Input Voltage</t>
  </si>
  <si>
    <t>Threshold Voltage CL = VDD</t>
  </si>
  <si>
    <t>Sense input Current</t>
  </si>
  <si>
    <t>Units</t>
  </si>
  <si>
    <t>uA</t>
  </si>
  <si>
    <t>Timer</t>
  </si>
  <si>
    <t>Upper Threshold</t>
  </si>
  <si>
    <t>Fault detection current</t>
  </si>
  <si>
    <t>ICAP</t>
  </si>
  <si>
    <t>Junction Temperature</t>
  </si>
  <si>
    <t>VIN</t>
  </si>
  <si>
    <t>Power Limit</t>
  </si>
  <si>
    <t>mV</t>
  </si>
  <si>
    <t>Minimum Power Limit=</t>
  </si>
  <si>
    <t>Look Up</t>
  </si>
  <si>
    <t>1ms</t>
  </si>
  <si>
    <t>10ms</t>
  </si>
  <si>
    <t>100ms</t>
  </si>
  <si>
    <t>Final SOA</t>
  </si>
  <si>
    <t>time</t>
  </si>
  <si>
    <t>Voltage</t>
  </si>
  <si>
    <t>Lower time</t>
  </si>
  <si>
    <t>Higher timer</t>
  </si>
  <si>
    <t>I (lower time)</t>
  </si>
  <si>
    <t>I (higher time)</t>
  </si>
  <si>
    <t>a</t>
  </si>
  <si>
    <t>m</t>
  </si>
  <si>
    <t>Extr. I</t>
  </si>
  <si>
    <t>Assuming Power vs time is linear on a log-log plot</t>
  </si>
  <si>
    <r>
      <rPr>
        <vertAlign val="superscript"/>
        <sz val="10"/>
        <rFont val="Arial"/>
        <family val="2"/>
      </rPr>
      <t>o</t>
    </r>
    <r>
      <rPr>
        <sz val="10"/>
        <rFont val="Arial"/>
        <family val="2"/>
      </rPr>
      <t>C</t>
    </r>
  </si>
  <si>
    <t>Interpolated Power=</t>
  </si>
  <si>
    <t xml:space="preserve">Max Power with Temp Derating = </t>
  </si>
  <si>
    <t>Load Turn-On Threshold</t>
  </si>
  <si>
    <t>a = iSOA1/tSOA1^m</t>
  </si>
  <si>
    <t>m = log(iSOA1/iSOA2)/log(tSOA1/tSOA2)</t>
  </si>
  <si>
    <t>I = a * t^m</t>
  </si>
  <si>
    <t>Derating factor =</t>
  </si>
  <si>
    <t>No</t>
  </si>
  <si>
    <t>Use External Soft-Start Control</t>
  </si>
  <si>
    <t>Yes</t>
  </si>
  <si>
    <t>Gate</t>
  </si>
  <si>
    <r>
      <t>Use External Resistor Divider to Reduce Effecitve R</t>
    </r>
    <r>
      <rPr>
        <vertAlign val="subscript"/>
        <sz val="10"/>
        <rFont val="Arial"/>
        <family val="2"/>
      </rPr>
      <t>S</t>
    </r>
  </si>
  <si>
    <t>Gate Sourcing Current</t>
  </si>
  <si>
    <t>Recommended Value for RCL1</t>
  </si>
  <si>
    <t>Recommended Value for RCL2</t>
  </si>
  <si>
    <t>Enter value for RCL1</t>
  </si>
  <si>
    <t>Enter value for RCL2</t>
  </si>
  <si>
    <t>CLMAX =</t>
  </si>
  <si>
    <t xml:space="preserve">CLNOM = </t>
  </si>
  <si>
    <t>CLMIN =</t>
  </si>
  <si>
    <t>RCL1 Recommended  =</t>
  </si>
  <si>
    <t>RCL2 Recommmended =</t>
  </si>
  <si>
    <t>Effective Rs =</t>
  </si>
  <si>
    <t>Step 5: UVLO, OVLO &amp; PGD Thresholds</t>
  </si>
  <si>
    <r>
      <t>R</t>
    </r>
    <r>
      <rPr>
        <vertAlign val="subscript"/>
        <sz val="11"/>
        <color theme="1"/>
        <rFont val="Arial"/>
        <family val="2"/>
      </rPr>
      <t>CL1</t>
    </r>
    <r>
      <rPr>
        <sz val="11"/>
        <color theme="1"/>
        <rFont val="Arial"/>
        <family val="2"/>
      </rPr>
      <t xml:space="preserve"> =</t>
    </r>
  </si>
  <si>
    <r>
      <t>R</t>
    </r>
    <r>
      <rPr>
        <vertAlign val="subscript"/>
        <sz val="11"/>
        <color theme="1"/>
        <rFont val="Arial"/>
        <family val="2"/>
      </rPr>
      <t>CL2</t>
    </r>
    <r>
      <rPr>
        <sz val="11"/>
        <color theme="1"/>
        <rFont val="Arial"/>
        <family val="2"/>
      </rPr>
      <t xml:space="preserve"> =</t>
    </r>
  </si>
  <si>
    <t>Design Summary</t>
  </si>
  <si>
    <t>Current limit</t>
  </si>
  <si>
    <t>Fault Timeout</t>
  </si>
  <si>
    <t>Upper UVLO Threshold</t>
  </si>
  <si>
    <t>Lower UVLO Threshold</t>
  </si>
  <si>
    <t>100us</t>
  </si>
  <si>
    <t>Step 2: Current Limit and Circuit Breaker</t>
  </si>
  <si>
    <r>
      <t>Maximum Output Load Capacitance: C</t>
    </r>
    <r>
      <rPr>
        <vertAlign val="subscript"/>
        <sz val="10"/>
        <rFont val="Arial"/>
        <family val="2"/>
      </rPr>
      <t>LOAD</t>
    </r>
  </si>
  <si>
    <t>Retry</t>
  </si>
  <si>
    <t>Latch Off</t>
  </si>
  <si>
    <t>3. Componet tolerances not accounted for in Min/Max Calculations.</t>
  </si>
  <si>
    <r>
      <t>Estimated MOSFET R</t>
    </r>
    <r>
      <rPr>
        <sz val="10"/>
        <rFont val="Symbol"/>
        <family val="1"/>
        <charset val="2"/>
      </rPr>
      <t>Q</t>
    </r>
    <r>
      <rPr>
        <vertAlign val="subscript"/>
        <sz val="10"/>
        <rFont val="Arial"/>
        <family val="2"/>
      </rPr>
      <t>JA</t>
    </r>
  </si>
  <si>
    <t>Values Used</t>
  </si>
  <si>
    <t xml:space="preserve"> </t>
  </si>
  <si>
    <r>
      <t>Effective Sense Resistance (R</t>
    </r>
    <r>
      <rPr>
        <vertAlign val="subscript"/>
        <sz val="10"/>
        <rFont val="Arial"/>
        <family val="2"/>
      </rPr>
      <t>S,EFF</t>
    </r>
    <r>
      <rPr>
        <sz val="10"/>
        <rFont val="Arial"/>
        <family val="2"/>
      </rPr>
      <t>)</t>
    </r>
  </si>
  <si>
    <r>
      <t>Maximum steady state FET Junction Temperature (T</t>
    </r>
    <r>
      <rPr>
        <vertAlign val="subscript"/>
        <sz val="10"/>
        <rFont val="Arial"/>
        <family val="2"/>
      </rPr>
      <t>J,DC</t>
    </r>
    <r>
      <rPr>
        <sz val="10"/>
        <rFont val="Arial"/>
        <family val="2"/>
      </rPr>
      <t>)</t>
    </r>
  </si>
  <si>
    <r>
      <t>MOSFET On resistance @ T</t>
    </r>
    <r>
      <rPr>
        <vertAlign val="subscript"/>
        <sz val="10"/>
        <rFont val="Arial"/>
        <family val="2"/>
      </rPr>
      <t>J,DC</t>
    </r>
  </si>
  <si>
    <t>Plim</t>
  </si>
  <si>
    <t>Plim (Vds) = Plim (Vin,max) + (Vds - Vin,max)*Vos,syst/Rs</t>
  </si>
  <si>
    <t>Target Power Limit</t>
  </si>
  <si>
    <t>Target PLIM</t>
  </si>
  <si>
    <t>k-ohm</t>
  </si>
  <si>
    <t>Actual PLIM</t>
  </si>
  <si>
    <t>ILIM</t>
  </si>
  <si>
    <t>Load type</t>
  </si>
  <si>
    <t>Load Value</t>
  </si>
  <si>
    <t>Load start</t>
  </si>
  <si>
    <t>Rs</t>
  </si>
  <si>
    <t>Vos,syst</t>
  </si>
  <si>
    <r>
      <rPr>
        <b/>
        <u/>
        <sz val="10"/>
        <rFont val="Symbol"/>
        <family val="1"/>
        <charset val="2"/>
      </rPr>
      <t>D</t>
    </r>
    <r>
      <rPr>
        <b/>
        <u/>
        <sz val="10"/>
        <rFont val="Arial"/>
        <family val="2"/>
      </rPr>
      <t>t</t>
    </r>
  </si>
  <si>
    <t>IFET</t>
  </si>
  <si>
    <t>I_Fet-IL margin</t>
  </si>
  <si>
    <t>Start-time</t>
  </si>
  <si>
    <t>I_fet-I_L margin</t>
  </si>
  <si>
    <t>Slop for calculations</t>
  </si>
  <si>
    <t>Note: We get additional buffer, b/c this is designed for a Vinmax, while typically Vin = Vinnom</t>
  </si>
  <si>
    <t>&lt;= mean root square(T_start_error_Plim, timer_error, cap_error); T_start proportional to 1/Plim =&gt; T_start_error_plim = 1/(1-Plim_err) - 1 = 1/(1-0.4) - 1 = 0.66</t>
  </si>
  <si>
    <t>Computed Start - Up Slop</t>
  </si>
  <si>
    <t>Typical Start Time with Vinmax (Tstart)</t>
  </si>
  <si>
    <t>Target Fault Timer: Tstart + Margin</t>
  </si>
  <si>
    <t>Typical Start time</t>
  </si>
  <si>
    <t>Start-slop</t>
  </si>
  <si>
    <t>Target Fault Timer</t>
  </si>
  <si>
    <t>Target Timer capacitance</t>
  </si>
  <si>
    <t>Selected Timer capacitance</t>
  </si>
  <si>
    <t>IFET - ILOAD margin (lowest for Vout range)</t>
  </si>
  <si>
    <t xml:space="preserve">Selected Timer capacitance </t>
  </si>
  <si>
    <t>Final Fault Timer</t>
  </si>
  <si>
    <t>Note: I added an adjustment for the systematic offset</t>
  </si>
  <si>
    <t>Vos syst</t>
  </si>
  <si>
    <t>Rs (ohm)</t>
  </si>
  <si>
    <t>Vin, max</t>
  </si>
  <si>
    <t>Plim tolerance</t>
  </si>
  <si>
    <t>Temp Derated SOA</t>
  </si>
  <si>
    <t>Derated SOA / PLIM</t>
  </si>
  <si>
    <t>SOA / PLIM</t>
  </si>
  <si>
    <t>IFET_PLIM</t>
  </si>
  <si>
    <t>I_FET_SS</t>
  </si>
  <si>
    <t>SS</t>
  </si>
  <si>
    <t>FET Power dissapation at full load (per FET)</t>
  </si>
  <si>
    <t>With PLIM</t>
  </si>
  <si>
    <t>dv/dt rate</t>
  </si>
  <si>
    <t>V/ms</t>
  </si>
  <si>
    <t>I_Cout</t>
  </si>
  <si>
    <t>46 mV</t>
  </si>
  <si>
    <t>With SS</t>
  </si>
  <si>
    <t>To avoid timer running: Iload + Icap,ss &lt; IFET_PLIM / 2 =&gt; SS_RATE &lt; 1/Cout * (IFET_PLIM/2 - ILOAD)</t>
  </si>
  <si>
    <t>Max_SS_Rate</t>
  </si>
  <si>
    <t>FET_ENERGY</t>
  </si>
  <si>
    <t>J</t>
  </si>
  <si>
    <t>Max _allowed SS_rate</t>
  </si>
  <si>
    <t>Power (W)</t>
  </si>
  <si>
    <t>P_ fast_SS</t>
  </si>
  <si>
    <t>P_slow_SS</t>
  </si>
  <si>
    <t>I_g(hi/nom)</t>
  </si>
  <si>
    <t>I_g(low/nom)</t>
  </si>
  <si>
    <t>max_power_typ</t>
  </si>
  <si>
    <t>max_power_low</t>
  </si>
  <si>
    <t>max_power_high</t>
  </si>
  <si>
    <t>typical start time</t>
  </si>
  <si>
    <t>FET Energy dissipated at start-up (EFET)</t>
  </si>
  <si>
    <t>Peak Power dissipated  during start-up (PFET)</t>
  </si>
  <si>
    <t>Equivalent time at peak power - EFET/PFET (t_power)</t>
  </si>
  <si>
    <t>Available SOA for t_power at Vinmax</t>
  </si>
  <si>
    <t>SOA margin</t>
  </si>
  <si>
    <t>SOA Predictor - dv/dt start-up</t>
  </si>
  <si>
    <t>calculated SS capacitance</t>
  </si>
  <si>
    <t>actual SS capacitance</t>
  </si>
  <si>
    <t>actual dv/dt rate</t>
  </si>
  <si>
    <t>Target Fault Time</t>
  </si>
  <si>
    <t xml:space="preserve">Calculated Timer Capacitance </t>
  </si>
  <si>
    <t>Actual Timer Capacitance</t>
  </si>
  <si>
    <t>SOA margin during start-up</t>
  </si>
  <si>
    <t>Covering hot-short, start-into short for SS</t>
  </si>
  <si>
    <t>Available derated SOA for Tfault</t>
  </si>
  <si>
    <t>Actual Fault Time (Tfault)</t>
  </si>
  <si>
    <t>dv/dt rate on Vout</t>
  </si>
  <si>
    <t>actual dv/dt rate on Vout</t>
  </si>
  <si>
    <t>SOA Check - Based on Timer</t>
  </si>
  <si>
    <t>Final Fault Timer(Tfault)</t>
  </si>
  <si>
    <t>SOA margin during "hot-short" or "start-into short"</t>
  </si>
  <si>
    <t>timer_constant</t>
  </si>
  <si>
    <t>Enter Values in Green Shaded Cells</t>
  </si>
  <si>
    <t>1s/DC</t>
  </si>
  <si>
    <t>Can a "hot" board be hotplugged</t>
  </si>
  <si>
    <t>Temp for derating</t>
  </si>
  <si>
    <t>board hot?</t>
  </si>
  <si>
    <t>FET_Energy</t>
  </si>
  <si>
    <t>Tiime (ms)</t>
  </si>
  <si>
    <t>Recommended slew Rate (max)</t>
  </si>
  <si>
    <t>Recommended slew Rate (min)</t>
  </si>
  <si>
    <r>
      <t>100</t>
    </r>
    <r>
      <rPr>
        <sz val="10"/>
        <rFont val="Symbol"/>
        <family val="1"/>
        <charset val="2"/>
      </rPr>
      <t>m</t>
    </r>
    <r>
      <rPr>
        <sz val="10"/>
        <rFont val="Arial"/>
        <family val="2"/>
      </rPr>
      <t>s SOA Current (re-use 1ms data if unavailable) @ V</t>
    </r>
    <r>
      <rPr>
        <vertAlign val="subscript"/>
        <sz val="10"/>
        <rFont val="Arial"/>
        <family val="2"/>
      </rPr>
      <t>IN(MAX)</t>
    </r>
  </si>
  <si>
    <r>
      <t>1ms SOA Current @ V</t>
    </r>
    <r>
      <rPr>
        <vertAlign val="subscript"/>
        <sz val="10"/>
        <rFont val="Arial"/>
        <family val="2"/>
      </rPr>
      <t>IN(MAX)</t>
    </r>
  </si>
  <si>
    <r>
      <t>10ms SOA Current @ V</t>
    </r>
    <r>
      <rPr>
        <vertAlign val="subscript"/>
        <sz val="10"/>
        <rFont val="Arial"/>
        <family val="2"/>
      </rPr>
      <t>IN(MAX)</t>
    </r>
  </si>
  <si>
    <r>
      <t>100ms  Current at @ V</t>
    </r>
    <r>
      <rPr>
        <vertAlign val="subscript"/>
        <sz val="10"/>
        <rFont val="Arial"/>
        <family val="2"/>
      </rPr>
      <t>IN(MAX)</t>
    </r>
    <r>
      <rPr>
        <sz val="10"/>
        <rFont val="Arial"/>
        <family val="2"/>
      </rPr>
      <t xml:space="preserve"> (use DC if 100ms not available)</t>
    </r>
  </si>
  <si>
    <r>
      <t>1s or DC SOA Current at @ V</t>
    </r>
    <r>
      <rPr>
        <vertAlign val="subscript"/>
        <sz val="10"/>
        <rFont val="Arial"/>
        <family val="2"/>
      </rPr>
      <t>IN(MAX)</t>
    </r>
    <r>
      <rPr>
        <sz val="10"/>
        <rFont val="Arial"/>
        <family val="2"/>
      </rPr>
      <t xml:space="preserve"> (use DC if 1s not available)</t>
    </r>
  </si>
  <si>
    <t xml:space="preserve">Key Equations for SOA margin estimate: </t>
  </si>
  <si>
    <t>1) Get total Energy = 1/2 CV^2 + E_load (t_worksheet) * t_start / t_ worksheet</t>
  </si>
  <si>
    <t xml:space="preserve">     note:  t_worksheet is the start time from the start-up worksheet.  E_load = Total Energy @ Start-up - 1/2CV^2</t>
  </si>
  <si>
    <t>2) Get peak power:  4 Possible points with peak power</t>
  </si>
  <si>
    <t>Cap Energy (J)</t>
  </si>
  <si>
    <t>slew rate (V/ms)</t>
  </si>
  <si>
    <t>E_load (t_worksheet)  (J)</t>
  </si>
  <si>
    <t>t_worksheet (ms)</t>
  </si>
  <si>
    <t>t_start (ms)</t>
  </si>
  <si>
    <t>I_cap (A)</t>
  </si>
  <si>
    <t>Total FET Energy (J)</t>
  </si>
  <si>
    <t>Power (load on), (W)</t>
  </si>
  <si>
    <t>SOA margin target</t>
  </si>
  <si>
    <t>Power (Vout= 0) , (W)</t>
  </si>
  <si>
    <t xml:space="preserve">                </t>
  </si>
  <si>
    <t xml:space="preserve"> P = (I_cap + Vout/R ) * (Vin - Vout) = Icap * Vin - Icap * Vout +Vin * Vout / R - Vout^2 / R </t>
  </si>
  <si>
    <t>Vout (dP/dVout = 0) (V)</t>
  </si>
  <si>
    <t xml:space="preserve"> =&gt;  dP/dVout =  -Icap + Vin/R -2Vout /R ;  Zero when Vout = -R*I_cap / 2 + Vin / 2</t>
  </si>
  <si>
    <t xml:space="preserve">Power (@ Vout above, if applicable) </t>
  </si>
  <si>
    <t>max power (W)</t>
  </si>
  <si>
    <t>Equivalent time for SOA (ms)</t>
  </si>
  <si>
    <t>SOA Coefficients</t>
  </si>
  <si>
    <t>0.1 to 1 ms</t>
  </si>
  <si>
    <t>1 to 10ms</t>
  </si>
  <si>
    <t>10ms to 100 ms</t>
  </si>
  <si>
    <t>100 ms to 1s</t>
  </si>
  <si>
    <t>t1</t>
  </si>
  <si>
    <t>t2</t>
  </si>
  <si>
    <t>Available SOA (W)</t>
  </si>
  <si>
    <t>Derated for Temp</t>
  </si>
  <si>
    <t>Temp_start_up</t>
  </si>
  <si>
    <t>SOA Margin</t>
  </si>
  <si>
    <t>Copied Inputs</t>
  </si>
  <si>
    <t># of points</t>
  </si>
  <si>
    <t>mult per point</t>
  </si>
  <si>
    <t xml:space="preserve">Pass? </t>
  </si>
  <si>
    <t>first yes</t>
  </si>
  <si>
    <t>2nd yes</t>
  </si>
  <si>
    <t>N</t>
  </si>
  <si>
    <t>Mult 1</t>
  </si>
  <si>
    <t>mult2</t>
  </si>
  <si>
    <t xml:space="preserve">max slew rate </t>
  </si>
  <si>
    <t>min slew rate</t>
  </si>
  <si>
    <t>Initial</t>
  </si>
  <si>
    <t xml:space="preserve">Yellow and Red cells highlight pottential issues with the design. Red highlights items that are higher risk. </t>
  </si>
  <si>
    <r>
      <t>Actual Timer Capacitance (pick one smaller than C</t>
    </r>
    <r>
      <rPr>
        <vertAlign val="subscript"/>
        <sz val="10"/>
        <rFont val="Arial"/>
        <family val="2"/>
      </rPr>
      <t>T,CALC</t>
    </r>
    <r>
      <rPr>
        <sz val="10"/>
        <rFont val="Arial"/>
        <family val="2"/>
      </rPr>
      <t xml:space="preserve">) </t>
    </r>
  </si>
  <si>
    <t>Typical design procedure</t>
  </si>
  <si>
    <t>Typical applications require multiple passes through the design tool using MOSFET factors such as transient</t>
  </si>
  <si>
    <t>thermal response and safe operating area curves. Refer to the following application reports for more detail.</t>
  </si>
  <si>
    <t>The basic design process follows:</t>
  </si>
  <si>
    <t>1. Enter operating conditions.</t>
  </si>
  <si>
    <t>2. Select current limit parameters.</t>
  </si>
  <si>
    <t>3. Enter MOSTFET SOA characteristics &amp; power limit.</t>
  </si>
  <si>
    <t>4. Select start up conditions (load and/or soft start). Check whether FET is operating with reasonable margin, within the SOA curve.</t>
  </si>
  <si>
    <t xml:space="preserve">    If not, try changing start-up conditions (soft start values, timer values), add more FETs in parallel, or switch to FET with better SOA.</t>
  </si>
  <si>
    <t>5. Enter desired UVLO and OVLO values to get recommended resistor values.</t>
  </si>
  <si>
    <t>6. Done</t>
  </si>
  <si>
    <t>Notes</t>
  </si>
  <si>
    <t>1. This worksheet is designed for use with Microsoft Excel 5.0 or later.  Its use is intended to assist power supply designers in their</t>
  </si>
  <si>
    <t xml:space="preserve">routine, day-to-day calculations.  </t>
  </si>
  <si>
    <t>2. All worksheets have light green inputs cells, white calculated cells, yellow warning cells and red high-risk cells.</t>
  </si>
  <si>
    <t>3. Formulas and device constants used in the spreadsheet are locked to prohibit them from accidentally being overwritten or deleted.</t>
  </si>
  <si>
    <t>Note: TI recommends choosing a FET with SOA current specified for 100ms and/or 1s or DC. If choosing a FET without these parameters, this calculator will estimate the values via extrapolation, which leaves an inherent associated risk.</t>
  </si>
  <si>
    <t>Q1 FET Name</t>
  </si>
  <si>
    <t>Lower time (adjusted)</t>
  </si>
  <si>
    <t>Higher time</t>
  </si>
  <si>
    <t>Higher time (adjusted)</t>
  </si>
  <si>
    <t>Upper bound Slew Rate (4ms start-up) (V/ms)</t>
  </si>
  <si>
    <t>Min Slew Rate (400 ms start - up) (V/ms)</t>
  </si>
  <si>
    <t xml:space="preserve">      a) At Vin = 0 [mainly if there is no load or constant current load that starts at Vout = 0=</t>
  </si>
  <si>
    <t xml:space="preserve">      b) At Vin = Load start [ constant current=</t>
  </si>
  <si>
    <t xml:space="preserve">      c) When derivative of power = 0  [Peak, applies to resistive loads only=</t>
  </si>
  <si>
    <t>&lt;-- Cannot plot zero on a log graph. If slope ~=0, then use 1e-12 as value</t>
  </si>
  <si>
    <t>MOSFET's SOA</t>
  </si>
  <si>
    <t>Note: This is the typical dv/dt rate, but max value can be larger. This is because the gate source current can vary from 16uA to 28uA. Thus TI recommends keeping the overall SOA margin during start-up &gt;1.5 in order to compensate for this.</t>
  </si>
  <si>
    <t xml:space="preserve">TEXAS INSTRUMENTS TEXT FILE LICENSE
Copyright (c) 2014 Texas Instruments Incorporated
All rights reserved not granted herein.
Limited License.  
Texas Instruments Incorporated grants a world-wide, royalty-free, non-exclusive license under copyrights and patents it now or hereafter owns or controls to make, have made, use, import, offer to sell and sell ("Utilize") this software subject to the terms herein.  With respect to the foregoing patent license, such license is granted  solely to the extent that any such patent is necessary to Utilize the software alone.  The patent license shall not apply to any combinations which include this software, other than combinations with devices manufactured by or for TI (“TI Devices”).  No hardware patent is licensed hereunder.
Redistributions must preserve existing copyright notices and reproduce this license (including the above copyright notice and the disclaimer and (if applicable) source code license limitations below) in the documentation and/or other materials provided with the distribution
Redistribution and use in binary form, without modification, are permitted provided that the following conditions are met:
* No reverse engineering, decompilation, or disassembly of this software is permitted with respect to any software provided in binary form.
* any redistribution and use are licensed by TI for use only with TI Devices.
* Nothing shall obligate TI to provide you with source code for the software licensed and provided to you in object code.
If software source code is provided to you, modification and redistribution of the source code are permitted provided that the following conditions are met:
* any redistribution and use of the source code, including any resulting derivative works, are licensed by TI for use only with TI Devices.
* any redistribution and use of any object code compiled from the source code and any resulting derivative works, are licensed by TI for use only with TI Devices.
Neither the name of Texas Instruments Incorporated nor the names of its suppliers may be used to endorse or promote products derived from this software without specific prior written permission.
DISCLAIMER.
THIS SOFTWARE IS PROVIDED BY TI AND TI’S LICENSORS "AS IS" AND ANY EXPRESS OR IMPLIED WARRANTIES, INCLUDING, BUT NOT LIMITED TO, THE IMPLIED WARRANTIES OF MERCHANTABILITY AND FITNESS FOR A PARTICULAR PURPOSE ARE DISCLAIMED. IN NO EVENT SHALL TI AND TI’S LICENSORS BE LIABLE FOR ANY DIRECT, INDIRECT, INCIDENTAL, SPECIAL, EXEMPLARY, OR CONSEQUENTIAL DAMAGES (INCLUDING, BUT NOT LIMITED TO, PROCUREMENT OF SUBSTITUTE GOODS OR SERVICES; LOSS OF USE, DATA, OR PROFITS; OR BUSINESS INTERRUPTION) HOWEVER CAUSED AND ON ANY THEORY OF LIABILITY, WHETHER IN CONTRACT, STRICT LIABILITY, OR TORT (INCLUDING NEGLIGENCE OR OTHERWISE) ARISING IN ANY WAY OUT OF THE USE OF THIS SOFTWARE, EVEN IF ADVISED OF THE POSSIBILITY OF SUCH DAMAGE.
</t>
  </si>
  <si>
    <t>Robust Hot Swap Design</t>
  </si>
  <si>
    <t>Q1 =</t>
  </si>
  <si>
    <r>
      <t xml:space="preserve">                       </t>
    </r>
    <r>
      <rPr>
        <sz val="22"/>
        <color theme="0"/>
        <rFont val="Arial"/>
        <family val="2"/>
      </rPr>
      <t>TPS2490/1/2/3 &amp; TPS2480/1/2/3 Hot Swap Design Tool</t>
    </r>
  </si>
  <si>
    <t>TPS249x/8x Design Tool- Rev. A</t>
  </si>
  <si>
    <t>Maximum Recommended Value for Rs</t>
  </si>
  <si>
    <r>
      <t>C</t>
    </r>
    <r>
      <rPr>
        <vertAlign val="subscript"/>
        <sz val="10"/>
        <rFont val="Arial"/>
        <family val="2"/>
      </rPr>
      <t>1</t>
    </r>
    <r>
      <rPr>
        <sz val="10"/>
        <rFont val="Arial"/>
        <family val="2"/>
      </rPr>
      <t xml:space="preserve"> = </t>
    </r>
  </si>
  <si>
    <r>
      <t>R</t>
    </r>
    <r>
      <rPr>
        <vertAlign val="subscript"/>
        <sz val="11"/>
        <color theme="1"/>
        <rFont val="Arial"/>
        <family val="2"/>
      </rPr>
      <t>G</t>
    </r>
    <r>
      <rPr>
        <sz val="11"/>
        <color theme="1"/>
        <rFont val="Arial"/>
        <family val="2"/>
      </rPr>
      <t xml:space="preserve"> =</t>
    </r>
  </si>
  <si>
    <r>
      <t>C</t>
    </r>
    <r>
      <rPr>
        <vertAlign val="subscript"/>
        <sz val="11"/>
        <color theme="1"/>
        <rFont val="Arial"/>
        <family val="2"/>
      </rPr>
      <t>G</t>
    </r>
    <r>
      <rPr>
        <sz val="11"/>
        <color theme="1"/>
        <rFont val="Arial"/>
        <family val="2"/>
      </rPr>
      <t xml:space="preserve"> =</t>
    </r>
  </si>
  <si>
    <r>
      <t>Select R</t>
    </r>
    <r>
      <rPr>
        <vertAlign val="subscript"/>
        <sz val="10"/>
        <rFont val="Arial"/>
        <family val="2"/>
      </rPr>
      <t>3</t>
    </r>
  </si>
  <si>
    <r>
      <t>Calculated R</t>
    </r>
    <r>
      <rPr>
        <vertAlign val="subscript"/>
        <sz val="10"/>
        <rFont val="Arial"/>
        <family val="2"/>
      </rPr>
      <t>4</t>
    </r>
  </si>
  <si>
    <t>Target Vprog</t>
  </si>
  <si>
    <t>R = R4 / (R4+R3)</t>
  </si>
  <si>
    <t>R* R4 + R*R3 = R4</t>
  </si>
  <si>
    <t>R4(1-R) = R *R3</t>
  </si>
  <si>
    <t>Res. Div.</t>
  </si>
  <si>
    <t>R4 = R3 * R/(1-R)</t>
  </si>
  <si>
    <t>Act R4</t>
  </si>
  <si>
    <t>Vprog</t>
  </si>
  <si>
    <t>Note: For dv/dt keep inrush to be 3x lower than plim</t>
  </si>
  <si>
    <t>Max Target Iinr during start-up (A)</t>
  </si>
  <si>
    <t>UVLO</t>
  </si>
  <si>
    <t>Enable</t>
  </si>
  <si>
    <t>Rising</t>
  </si>
  <si>
    <t>Falling</t>
  </si>
  <si>
    <t>Recommended R2</t>
  </si>
  <si>
    <t>Actual R2</t>
  </si>
  <si>
    <t>Calculated R1</t>
  </si>
  <si>
    <t>Target Under - Voltage</t>
  </si>
  <si>
    <t>Actual R1</t>
  </si>
  <si>
    <t>1.35 = UV * R2/(R2+R1)</t>
  </si>
  <si>
    <t>R2+R1 = UV * R2 /1.35</t>
  </si>
  <si>
    <t>R1 = R2*(-1+UV/1.35)</t>
  </si>
  <si>
    <r>
      <t>Actual R</t>
    </r>
    <r>
      <rPr>
        <vertAlign val="subscript"/>
        <sz val="10"/>
        <rFont val="Arial"/>
        <family val="2"/>
      </rPr>
      <t xml:space="preserve">4 </t>
    </r>
    <r>
      <rPr>
        <sz val="10"/>
        <rFont val="Arial"/>
        <family val="2"/>
      </rPr>
      <t>(Select next available std. value)</t>
    </r>
  </si>
  <si>
    <t>© 2016</t>
  </si>
  <si>
    <r>
      <t>Minimum Power Limit to Ensure Vsns &gt; 5mV &amp; Vprog &gt; 0.4V (P</t>
    </r>
    <r>
      <rPr>
        <vertAlign val="subscript"/>
        <sz val="10"/>
        <rFont val="Arial"/>
        <family val="2"/>
      </rPr>
      <t>LIM,MIN</t>
    </r>
    <r>
      <rPr>
        <sz val="10"/>
        <rFont val="Arial"/>
        <family val="2"/>
      </rPr>
      <t>)</t>
    </r>
  </si>
  <si>
    <t>FDB031N08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</si>
</sst>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0.00E+0"/>
  </numFmts>
  <fonts count="42" x14ac:knownFonts="1">
    <font>
      <sz val="10"/>
      <name val="Arial"/>
    </font>
    <font>
      <sz val="10"/>
      <name val="Arial"/>
      <family val="2"/>
    </font>
    <font>
      <b/>
      <sz val="10"/>
      <name val="Arial"/>
      <family val="2"/>
    </font>
    <font>
      <sz val="8"/>
      <name val="Arial"/>
      <family val="2"/>
    </font>
    <font>
      <b/>
      <sz val="8"/>
      <color indexed="81"/>
      <name val="Tahoma"/>
      <family val="2"/>
    </font>
    <font>
      <vertAlign val="subscript"/>
      <sz val="10"/>
      <name val="Arial"/>
      <family val="2"/>
    </font>
    <font>
      <sz val="10"/>
      <name val="Arial"/>
      <family val="2"/>
    </font>
    <font>
      <b/>
      <sz val="10"/>
      <color indexed="10"/>
      <name val="Arial"/>
      <family val="2"/>
    </font>
    <font>
      <sz val="10"/>
      <color indexed="55"/>
      <name val="Arial"/>
      <family val="2"/>
    </font>
    <font>
      <b/>
      <vertAlign val="subscript"/>
      <sz val="10"/>
      <name val="Arial"/>
      <family val="2"/>
    </font>
    <font>
      <sz val="10"/>
      <name val="Symbol"/>
      <family val="1"/>
      <charset val="2"/>
    </font>
    <font>
      <b/>
      <sz val="9"/>
      <color indexed="81"/>
      <name val="Tahoma"/>
      <family val="2"/>
    </font>
    <font>
      <sz val="9"/>
      <color indexed="81"/>
      <name val="Tahoma"/>
      <family val="2"/>
    </font>
    <font>
      <b/>
      <sz val="12"/>
      <color rgb="FFFF0000"/>
      <name val="Calibri"/>
      <family val="2"/>
    </font>
    <font>
      <u/>
      <sz val="10"/>
      <color theme="10"/>
      <name val="Arial"/>
      <family val="2"/>
    </font>
    <font>
      <u/>
      <sz val="10"/>
      <color theme="0"/>
      <name val="Arial"/>
      <family val="2"/>
    </font>
    <font>
      <sz val="10"/>
      <name val="Calibri"/>
      <family val="2"/>
    </font>
    <font>
      <sz val="24"/>
      <color theme="0"/>
      <name val="Arial"/>
      <family val="2"/>
    </font>
    <font>
      <sz val="26"/>
      <color theme="0"/>
      <name val="Arial"/>
      <family val="2"/>
    </font>
    <font>
      <sz val="10"/>
      <color theme="0"/>
      <name val="Calibri"/>
      <family val="2"/>
    </font>
    <font>
      <b/>
      <sz val="11"/>
      <color rgb="FF0000FF"/>
      <name val="Arial"/>
      <family val="2"/>
    </font>
    <font>
      <sz val="11"/>
      <color theme="1"/>
      <name val="Arial"/>
      <family val="2"/>
    </font>
    <font>
      <vertAlign val="subscript"/>
      <sz val="11"/>
      <color theme="1"/>
      <name val="Arial"/>
      <family val="2"/>
    </font>
    <font>
      <b/>
      <sz val="11"/>
      <name val="Arial"/>
      <family val="2"/>
    </font>
    <font>
      <b/>
      <sz val="8"/>
      <color indexed="10"/>
      <name val="Tahoma"/>
      <family val="2"/>
    </font>
    <font>
      <b/>
      <sz val="8"/>
      <color indexed="81"/>
      <name val="Arial"/>
      <family val="2"/>
    </font>
    <font>
      <vertAlign val="superscript"/>
      <sz val="10"/>
      <name val="Arial"/>
      <family val="2"/>
    </font>
    <font>
      <b/>
      <u/>
      <sz val="10"/>
      <name val="Arial"/>
      <family val="2"/>
    </font>
    <font>
      <u/>
      <sz val="10"/>
      <name val="Arial"/>
      <family val="2"/>
    </font>
    <font>
      <sz val="11"/>
      <color rgb="FF000000"/>
      <name val="Calibri"/>
      <family val="2"/>
      <scheme val="minor"/>
    </font>
    <font>
      <sz val="10"/>
      <color rgb="FFFF0000"/>
      <name val="Arial"/>
      <family val="2"/>
    </font>
    <font>
      <sz val="22"/>
      <color theme="0"/>
      <name val="Arial"/>
      <family val="2"/>
    </font>
    <font>
      <b/>
      <u/>
      <sz val="10"/>
      <name val="Symbol"/>
      <family val="1"/>
      <charset val="2"/>
    </font>
    <font>
      <b/>
      <sz val="24"/>
      <name val="Arial"/>
      <family val="2"/>
    </font>
    <font>
      <sz val="12"/>
      <name val="MS Sans Serif"/>
      <family val="2"/>
    </font>
    <font>
      <b/>
      <sz val="18"/>
      <name val="Arial"/>
      <family val="2"/>
    </font>
    <font>
      <b/>
      <i/>
      <sz val="16"/>
      <name val="Arial"/>
      <family val="2"/>
    </font>
    <font>
      <b/>
      <i/>
      <sz val="11"/>
      <name val="Arial"/>
      <family val="2"/>
    </font>
    <font>
      <b/>
      <i/>
      <sz val="10"/>
      <name val="Arial"/>
      <family val="2"/>
    </font>
    <font>
      <b/>
      <sz val="9"/>
      <color rgb="FFFF0000"/>
      <name val="Arial"/>
      <family val="2"/>
    </font>
    <font>
      <b/>
      <sz val="10"/>
      <color rgb="FFFF0000"/>
      <name val="Arial"/>
      <family val="2"/>
    </font>
    <font>
      <sz val="11"/>
      <color rgb="FF000000"/>
      <name val="Arial"/>
      <family val="2"/>
    </font>
  </fonts>
  <fills count="13">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6795556505021"/>
        <bgColor indexed="64"/>
      </patternFill>
    </fill>
    <fill>
      <patternFill patternType="solid">
        <fgColor theme="5" tint="0.39997558519241921"/>
        <bgColor indexed="64"/>
      </patternFill>
    </fill>
    <fill>
      <patternFill patternType="solid">
        <fgColor theme="6" tint="0.39994506668294322"/>
        <bgColor indexed="64"/>
      </patternFill>
    </fill>
    <fill>
      <patternFill patternType="solid">
        <fgColor theme="0" tint="-0.249977111117893"/>
        <bgColor indexed="64"/>
      </patternFill>
    </fill>
    <fill>
      <patternFill patternType="solid">
        <fgColor indexed="13"/>
        <bgColor indexed="64"/>
      </patternFill>
    </fill>
    <fill>
      <patternFill patternType="solid">
        <fgColor theme="7"/>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diagonal/>
    </border>
    <border>
      <left/>
      <right/>
      <top style="medium">
        <color auto="1"/>
      </top>
      <bottom/>
      <diagonal/>
    </border>
    <border>
      <left style="medium">
        <color indexed="64"/>
      </left>
      <right/>
      <top/>
      <bottom/>
      <diagonal/>
    </border>
    <border>
      <left/>
      <right/>
      <top/>
      <bottom style="medium">
        <color auto="1"/>
      </bottom>
      <diagonal/>
    </border>
    <border>
      <left style="medium">
        <color indexed="64"/>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indexed="64"/>
      </left>
      <right style="thin">
        <color indexed="64"/>
      </right>
      <top/>
      <bottom style="medium">
        <color auto="1"/>
      </bottom>
      <diagonal/>
    </border>
    <border>
      <left style="thin">
        <color indexed="64"/>
      </left>
      <right style="thin">
        <color indexed="64"/>
      </right>
      <top style="medium">
        <color auto="1"/>
      </top>
      <bottom/>
      <diagonal/>
    </border>
    <border>
      <left style="thick">
        <color indexed="39"/>
      </left>
      <right/>
      <top style="thick">
        <color indexed="39"/>
      </top>
      <bottom/>
      <diagonal/>
    </border>
    <border>
      <left/>
      <right/>
      <top style="thick">
        <color indexed="39"/>
      </top>
      <bottom/>
      <diagonal/>
    </border>
    <border>
      <left/>
      <right style="thick">
        <color indexed="39"/>
      </right>
      <top style="thick">
        <color indexed="39"/>
      </top>
      <bottom/>
      <diagonal/>
    </border>
    <border>
      <left style="thick">
        <color indexed="39"/>
      </left>
      <right/>
      <top/>
      <bottom/>
      <diagonal/>
    </border>
    <border>
      <left/>
      <right style="thick">
        <color indexed="39"/>
      </right>
      <top/>
      <bottom/>
      <diagonal/>
    </border>
    <border>
      <left style="thick">
        <color indexed="39"/>
      </left>
      <right/>
      <top/>
      <bottom style="thick">
        <color indexed="39"/>
      </bottom>
      <diagonal/>
    </border>
    <border>
      <left/>
      <right/>
      <top/>
      <bottom style="thick">
        <color indexed="39"/>
      </bottom>
      <diagonal/>
    </border>
    <border>
      <left/>
      <right style="thick">
        <color indexed="39"/>
      </right>
      <top/>
      <bottom style="thick">
        <color indexed="39"/>
      </bottom>
      <diagonal/>
    </border>
    <border>
      <left style="thin">
        <color indexed="64"/>
      </left>
      <right/>
      <top/>
      <bottom style="medium">
        <color auto="1"/>
      </bottom>
      <diagonal/>
    </border>
  </borders>
  <cellStyleXfs count="3">
    <xf numFmtId="0" fontId="0" fillId="0" borderId="0"/>
    <xf numFmtId="0" fontId="14" fillId="0" borderId="0" applyNumberFormat="0" applyFill="0" applyBorder="0" applyAlignment="0" applyProtection="0">
      <alignment vertical="top"/>
      <protection locked="0"/>
    </xf>
    <xf numFmtId="0" fontId="1" fillId="0" borderId="0"/>
  </cellStyleXfs>
  <cellXfs count="304">
    <xf numFmtId="0" fontId="0" fillId="0" borderId="0" xfId="0"/>
    <xf numFmtId="0" fontId="0" fillId="0" borderId="0" xfId="0" applyAlignment="1">
      <alignment horizontal="center"/>
    </xf>
    <xf numFmtId="0" fontId="0" fillId="0" borderId="0" xfId="0" applyAlignment="1">
      <alignment horizontal="right"/>
    </xf>
    <xf numFmtId="0" fontId="0" fillId="0" borderId="0" xfId="0" applyFill="1" applyBorder="1" applyAlignment="1">
      <alignment horizontal="right"/>
    </xf>
    <xf numFmtId="2" fontId="0" fillId="0" borderId="0" xfId="0" applyNumberFormat="1"/>
    <xf numFmtId="0" fontId="0" fillId="0" borderId="1" xfId="0" applyBorder="1" applyAlignment="1">
      <alignment horizontal="center"/>
    </xf>
    <xf numFmtId="164" fontId="0" fillId="0" borderId="0" xfId="0" applyNumberFormat="1" applyAlignment="1">
      <alignment horizontal="center"/>
    </xf>
    <xf numFmtId="10" fontId="0" fillId="0" borderId="0" xfId="0" applyNumberFormat="1"/>
    <xf numFmtId="0" fontId="0" fillId="0" borderId="2" xfId="0" applyBorder="1" applyAlignment="1">
      <alignment horizontal="center"/>
    </xf>
    <xf numFmtId="2" fontId="0" fillId="0" borderId="0" xfId="0" applyNumberFormat="1" applyAlignment="1">
      <alignment horizontal="center"/>
    </xf>
    <xf numFmtId="0" fontId="0" fillId="0" borderId="1" xfId="0" applyFill="1" applyBorder="1" applyAlignment="1">
      <alignment horizontal="center"/>
    </xf>
    <xf numFmtId="0" fontId="2" fillId="0" borderId="0" xfId="0" applyFont="1"/>
    <xf numFmtId="2" fontId="0" fillId="0" borderId="1" xfId="0" applyNumberFormat="1" applyBorder="1" applyAlignment="1">
      <alignment horizontal="center"/>
    </xf>
    <xf numFmtId="0" fontId="0" fillId="0" borderId="5" xfId="0" applyBorder="1" applyAlignment="1">
      <alignment horizontal="center"/>
    </xf>
    <xf numFmtId="0" fontId="0" fillId="0" borderId="8" xfId="0" applyFill="1" applyBorder="1" applyAlignment="1">
      <alignment horizontal="center"/>
    </xf>
    <xf numFmtId="0" fontId="0" fillId="2" borderId="0" xfId="0" applyFill="1" applyProtection="1"/>
    <xf numFmtId="0" fontId="1" fillId="0" borderId="0" xfId="0" applyFont="1"/>
    <xf numFmtId="0" fontId="1" fillId="0" borderId="0" xfId="0" applyFont="1" applyAlignment="1">
      <alignment horizontal="right"/>
    </xf>
    <xf numFmtId="0" fontId="1" fillId="2" borderId="0" xfId="0" applyFont="1" applyFill="1" applyBorder="1" applyAlignment="1">
      <alignment horizontal="right"/>
    </xf>
    <xf numFmtId="0" fontId="15" fillId="2" borderId="0" xfId="1" applyFont="1" applyFill="1" applyAlignment="1" applyProtection="1"/>
    <xf numFmtId="0" fontId="16" fillId="3" borderId="0" xfId="0" applyFont="1" applyFill="1" applyProtection="1"/>
    <xf numFmtId="0" fontId="19" fillId="3" borderId="0" xfId="0" applyFont="1" applyFill="1" applyBorder="1" applyProtection="1"/>
    <xf numFmtId="0" fontId="19" fillId="3" borderId="0" xfId="0" applyFont="1" applyFill="1" applyProtection="1"/>
    <xf numFmtId="0" fontId="18" fillId="3" borderId="18" xfId="0" applyFont="1" applyFill="1" applyBorder="1" applyAlignment="1" applyProtection="1">
      <alignment horizontal="center" vertical="center"/>
    </xf>
    <xf numFmtId="2" fontId="0" fillId="2" borderId="10" xfId="0" applyNumberFormat="1" applyFill="1" applyBorder="1" applyAlignment="1">
      <alignment horizontal="center" vertical="center"/>
    </xf>
    <xf numFmtId="0" fontId="1" fillId="2" borderId="0" xfId="0" applyFont="1" applyFill="1" applyAlignment="1">
      <alignment horizontal="right"/>
    </xf>
    <xf numFmtId="0" fontId="0" fillId="0" borderId="1" xfId="0" applyFill="1" applyBorder="1" applyAlignment="1" applyProtection="1">
      <alignment horizontal="center" vertical="center"/>
      <protection locked="0"/>
    </xf>
    <xf numFmtId="0" fontId="1" fillId="0" borderId="0" xfId="2" applyAlignment="1" applyProtection="1">
      <alignment horizontal="center"/>
    </xf>
    <xf numFmtId="0" fontId="1" fillId="0" borderId="0" xfId="2"/>
    <xf numFmtId="164" fontId="1" fillId="0" borderId="0" xfId="2" applyNumberFormat="1" applyAlignment="1" applyProtection="1">
      <alignment horizontal="center"/>
    </xf>
    <xf numFmtId="166" fontId="1" fillId="0" borderId="0" xfId="2" applyNumberFormat="1" applyAlignment="1" applyProtection="1">
      <alignment horizontal="center"/>
    </xf>
    <xf numFmtId="2" fontId="1" fillId="0" borderId="19" xfId="2" applyNumberFormat="1" applyBorder="1" applyAlignment="1" applyProtection="1">
      <alignment horizontal="center"/>
    </xf>
    <xf numFmtId="0" fontId="1" fillId="0" borderId="1" xfId="2" applyFont="1" applyBorder="1"/>
    <xf numFmtId="0" fontId="1" fillId="0" borderId="1" xfId="2" applyBorder="1"/>
    <xf numFmtId="0" fontId="1" fillId="0" borderId="0" xfId="0" applyFont="1" applyFill="1" applyBorder="1"/>
    <xf numFmtId="0" fontId="0" fillId="0" borderId="0" xfId="0" applyFill="1" applyBorder="1" applyAlignment="1" applyProtection="1">
      <alignment horizontal="center" vertical="center"/>
      <protection locked="0"/>
    </xf>
    <xf numFmtId="0" fontId="1" fillId="0" borderId="0" xfId="0" applyFont="1" applyFill="1" applyAlignment="1">
      <alignment horizontal="right"/>
    </xf>
    <xf numFmtId="166" fontId="1" fillId="0" borderId="0" xfId="2" applyNumberFormat="1" applyAlignment="1">
      <alignment horizontal="center"/>
    </xf>
    <xf numFmtId="2" fontId="1" fillId="0" borderId="0" xfId="2" applyNumberFormat="1" applyAlignment="1">
      <alignment horizontal="center"/>
    </xf>
    <xf numFmtId="0" fontId="1" fillId="0" borderId="0" xfId="0" applyFont="1" applyAlignment="1">
      <alignment horizontal="center"/>
    </xf>
    <xf numFmtId="0" fontId="0" fillId="0" borderId="0" xfId="0" applyAlignment="1">
      <alignment horizontal="left"/>
    </xf>
    <xf numFmtId="2" fontId="1" fillId="0" borderId="1" xfId="0" applyNumberFormat="1"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2" fillId="2" borderId="0" xfId="0" applyFont="1" applyFill="1" applyBorder="1" applyAlignment="1">
      <alignment horizontal="right"/>
    </xf>
    <xf numFmtId="0" fontId="2" fillId="2" borderId="0" xfId="0" applyFont="1" applyFill="1" applyBorder="1" applyAlignment="1">
      <alignment horizontal="center"/>
    </xf>
    <xf numFmtId="0" fontId="0" fillId="0" borderId="0" xfId="0" applyFill="1" applyBorder="1" applyAlignment="1" applyProtection="1">
      <alignment horizontal="center"/>
    </xf>
    <xf numFmtId="0" fontId="16" fillId="0" borderId="0" xfId="0" applyFont="1" applyFill="1" applyBorder="1" applyProtection="1"/>
    <xf numFmtId="0" fontId="30" fillId="0" borderId="0" xfId="0" applyFont="1"/>
    <xf numFmtId="0" fontId="2" fillId="0" borderId="0" xfId="0" applyFont="1" applyFill="1" applyAlignment="1" applyProtection="1">
      <alignment horizontal="left"/>
      <protection locked="0"/>
    </xf>
    <xf numFmtId="0" fontId="0" fillId="0" borderId="0" xfId="0" applyFill="1"/>
    <xf numFmtId="0" fontId="2" fillId="0" borderId="9" xfId="0" applyFont="1" applyFill="1" applyBorder="1" applyAlignment="1">
      <alignment horizontal="center"/>
    </xf>
    <xf numFmtId="0" fontId="2" fillId="0" borderId="11" xfId="0" applyFont="1" applyFill="1" applyBorder="1" applyAlignment="1">
      <alignment horizontal="center"/>
    </xf>
    <xf numFmtId="0" fontId="2" fillId="0" borderId="12" xfId="0" applyFont="1" applyFill="1" applyBorder="1" applyAlignment="1">
      <alignment horizontal="center"/>
    </xf>
    <xf numFmtId="0" fontId="2" fillId="0" borderId="13" xfId="0" applyFont="1" applyFill="1" applyBorder="1" applyAlignment="1">
      <alignment horizontal="center"/>
    </xf>
    <xf numFmtId="0" fontId="0" fillId="0" borderId="12" xfId="0" applyFill="1" applyBorder="1" applyAlignment="1" applyProtection="1">
      <alignment horizontal="center"/>
      <protection locked="0"/>
    </xf>
    <xf numFmtId="0" fontId="0" fillId="0" borderId="13" xfId="0" applyFill="1" applyBorder="1" applyAlignment="1" applyProtection="1">
      <alignment horizontal="center"/>
      <protection locked="0"/>
    </xf>
    <xf numFmtId="0" fontId="0" fillId="0" borderId="14" xfId="0" applyFill="1" applyBorder="1" applyAlignment="1" applyProtection="1">
      <alignment horizontal="center"/>
      <protection locked="0"/>
    </xf>
    <xf numFmtId="0" fontId="0" fillId="0" borderId="16" xfId="0" applyFill="1" applyBorder="1" applyAlignment="1" applyProtection="1">
      <alignment horizontal="center"/>
      <protection locked="0"/>
    </xf>
    <xf numFmtId="2" fontId="0" fillId="3" borderId="1" xfId="0" applyNumberFormat="1" applyFill="1" applyBorder="1" applyAlignment="1" applyProtection="1">
      <alignment horizontal="center" vertical="center"/>
    </xf>
    <xf numFmtId="0" fontId="0" fillId="0" borderId="0" xfId="0" applyAlignment="1">
      <alignment horizontal="center"/>
    </xf>
    <xf numFmtId="0" fontId="1" fillId="0" borderId="0" xfId="0" applyFont="1" applyAlignment="1">
      <alignment horizontal="center"/>
    </xf>
    <xf numFmtId="0" fontId="0" fillId="0" borderId="0" xfId="0" applyAlignment="1">
      <alignment horizontal="center"/>
    </xf>
    <xf numFmtId="0" fontId="1" fillId="0" borderId="1" xfId="0" applyFont="1" applyBorder="1" applyAlignment="1">
      <alignment horizontal="center"/>
    </xf>
    <xf numFmtId="0" fontId="1" fillId="0" borderId="0" xfId="0" applyFont="1" applyAlignment="1">
      <alignment horizontal="left"/>
    </xf>
    <xf numFmtId="2" fontId="1" fillId="0" borderId="0" xfId="2" applyNumberFormat="1"/>
    <xf numFmtId="0" fontId="27" fillId="0" borderId="0" xfId="2" applyFont="1"/>
    <xf numFmtId="0" fontId="27" fillId="0" borderId="0" xfId="2" applyFont="1" applyAlignment="1" applyProtection="1">
      <alignment horizontal="center"/>
    </xf>
    <xf numFmtId="0" fontId="27" fillId="0" borderId="0" xfId="2" applyFont="1" applyAlignment="1">
      <alignment horizontal="center"/>
    </xf>
    <xf numFmtId="10" fontId="1" fillId="0" borderId="0" xfId="2" applyNumberFormat="1"/>
    <xf numFmtId="0" fontId="1" fillId="0" borderId="0" xfId="0" applyFont="1" applyAlignment="1">
      <alignment horizontal="center"/>
    </xf>
    <xf numFmtId="0" fontId="0" fillId="0" borderId="0" xfId="0" applyAlignment="1">
      <alignment horizontal="center"/>
    </xf>
    <xf numFmtId="0" fontId="1" fillId="0" borderId="1" xfId="0" applyFont="1" applyFill="1" applyBorder="1" applyAlignment="1">
      <alignment horizontal="center"/>
    </xf>
    <xf numFmtId="0" fontId="1" fillId="0" borderId="3" xfId="0" applyFont="1" applyFill="1" applyBorder="1" applyAlignment="1">
      <alignment horizontal="center"/>
    </xf>
    <xf numFmtId="0" fontId="28" fillId="0" borderId="0" xfId="2" applyFont="1"/>
    <xf numFmtId="165" fontId="0" fillId="0" borderId="1" xfId="0" applyNumberFormat="1" applyFill="1" applyBorder="1" applyAlignment="1" applyProtection="1">
      <alignment horizontal="center" vertical="center"/>
    </xf>
    <xf numFmtId="0" fontId="27" fillId="0" borderId="0" xfId="0" applyFont="1" applyAlignment="1">
      <alignment horizontal="center"/>
    </xf>
    <xf numFmtId="0" fontId="2" fillId="0" borderId="0" xfId="0" applyFont="1" applyAlignment="1">
      <alignment horizontal="center"/>
    </xf>
    <xf numFmtId="0" fontId="1" fillId="3" borderId="0" xfId="0" applyFont="1" applyFill="1" applyAlignment="1">
      <alignment horizontal="right"/>
    </xf>
    <xf numFmtId="0" fontId="1" fillId="0" borderId="0" xfId="0" applyFont="1" applyFill="1" applyBorder="1" applyAlignment="1">
      <alignment horizontal="right"/>
    </xf>
    <xf numFmtId="2" fontId="1" fillId="0" borderId="0" xfId="0" applyNumberFormat="1" applyFont="1"/>
    <xf numFmtId="0" fontId="0" fillId="0" borderId="0" xfId="0" applyAlignment="1">
      <alignment horizontal="center"/>
    </xf>
    <xf numFmtId="0" fontId="0" fillId="9" borderId="10" xfId="0" applyFill="1" applyBorder="1" applyAlignment="1" applyProtection="1">
      <alignment horizontal="center" vertical="center"/>
      <protection locked="0"/>
    </xf>
    <xf numFmtId="0" fontId="0" fillId="9" borderId="1" xfId="0" applyFill="1" applyBorder="1" applyAlignment="1" applyProtection="1">
      <alignment horizontal="center" vertical="center"/>
      <protection locked="0"/>
    </xf>
    <xf numFmtId="0" fontId="0" fillId="9" borderId="15" xfId="0" applyFill="1" applyBorder="1" applyAlignment="1" applyProtection="1">
      <alignment horizontal="center" vertical="center"/>
      <protection locked="0"/>
    </xf>
    <xf numFmtId="0" fontId="1" fillId="6" borderId="10"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165" fontId="0" fillId="6" borderId="1" xfId="0" applyNumberFormat="1" applyFill="1" applyBorder="1" applyAlignment="1" applyProtection="1">
      <alignment horizontal="center" vertical="center"/>
      <protection locked="0"/>
    </xf>
    <xf numFmtId="0" fontId="0" fillId="6" borderId="10" xfId="0" applyFill="1" applyBorder="1" applyAlignment="1" applyProtection="1">
      <alignment horizontal="center" vertical="center"/>
      <protection locked="0"/>
    </xf>
    <xf numFmtId="0" fontId="0" fillId="6" borderId="1" xfId="0" applyNumberFormat="1" applyFill="1" applyBorder="1" applyAlignment="1" applyProtection="1">
      <alignment horizontal="center" vertical="center"/>
      <protection locked="0"/>
    </xf>
    <xf numFmtId="0" fontId="0" fillId="6" borderId="1" xfId="0" applyFill="1" applyBorder="1" applyAlignment="1" applyProtection="1">
      <alignment horizontal="center"/>
    </xf>
    <xf numFmtId="165" fontId="1" fillId="0" borderId="0" xfId="2" applyNumberFormat="1" applyAlignment="1">
      <alignment horizontal="center"/>
    </xf>
    <xf numFmtId="165" fontId="1" fillId="0" borderId="0" xfId="2" applyNumberFormat="1"/>
    <xf numFmtId="0" fontId="1" fillId="0" borderId="0" xfId="2"/>
    <xf numFmtId="0" fontId="1" fillId="11" borderId="27" xfId="2" applyFill="1" applyBorder="1" applyProtection="1"/>
    <xf numFmtId="0" fontId="1" fillId="11" borderId="28" xfId="2" applyFill="1" applyBorder="1" applyProtection="1"/>
    <xf numFmtId="0" fontId="1" fillId="11" borderId="29" xfId="2" applyFill="1" applyBorder="1" applyProtection="1"/>
    <xf numFmtId="0" fontId="1" fillId="11" borderId="30" xfId="2" applyFill="1" applyBorder="1" applyProtection="1"/>
    <xf numFmtId="0" fontId="1" fillId="11" borderId="0" xfId="2" applyFill="1" applyBorder="1" applyProtection="1"/>
    <xf numFmtId="0" fontId="1" fillId="11" borderId="31" xfId="2" applyFill="1" applyBorder="1" applyProtection="1"/>
    <xf numFmtId="0" fontId="33" fillId="11" borderId="0" xfId="2" applyFont="1" applyFill="1" applyBorder="1" applyProtection="1"/>
    <xf numFmtId="0" fontId="34" fillId="11" borderId="0" xfId="2" applyFont="1" applyFill="1" applyBorder="1" applyProtection="1"/>
    <xf numFmtId="0" fontId="35" fillId="11" borderId="0" xfId="2" applyFont="1" applyFill="1" applyBorder="1" applyProtection="1"/>
    <xf numFmtId="0" fontId="36" fillId="11" borderId="0" xfId="2" applyFont="1" applyFill="1" applyProtection="1"/>
    <xf numFmtId="0" fontId="1" fillId="11" borderId="0" xfId="2" applyFill="1" applyProtection="1"/>
    <xf numFmtId="0" fontId="37" fillId="11" borderId="0" xfId="2" applyFont="1" applyFill="1" applyAlignment="1" applyProtection="1"/>
    <xf numFmtId="0" fontId="37" fillId="11" borderId="0" xfId="2" applyFont="1" applyFill="1" applyAlignment="1" applyProtection="1">
      <alignment wrapText="1"/>
    </xf>
    <xf numFmtId="0" fontId="38" fillId="11" borderId="0" xfId="2" applyFont="1" applyFill="1" applyAlignment="1" applyProtection="1">
      <alignment vertical="center"/>
    </xf>
    <xf numFmtId="0" fontId="38" fillId="11" borderId="0" xfId="2" applyFont="1" applyFill="1" applyProtection="1"/>
    <xf numFmtId="0" fontId="1" fillId="11" borderId="32" xfId="2" applyFill="1" applyBorder="1" applyProtection="1"/>
    <xf numFmtId="0" fontId="1" fillId="11" borderId="33" xfId="2" applyFill="1" applyBorder="1" applyProtection="1"/>
    <xf numFmtId="0" fontId="1" fillId="11" borderId="34" xfId="2" applyFill="1" applyBorder="1" applyProtection="1"/>
    <xf numFmtId="0" fontId="1" fillId="11" borderId="0" xfId="2" applyFont="1" applyFill="1" applyBorder="1" applyProtection="1"/>
    <xf numFmtId="0" fontId="1" fillId="5" borderId="1" xfId="2" applyFill="1" applyBorder="1" applyAlignment="1" applyProtection="1">
      <alignment horizontal="center" vertical="center"/>
      <protection locked="0"/>
    </xf>
    <xf numFmtId="2" fontId="1" fillId="0" borderId="0" xfId="2" applyNumberFormat="1" applyAlignment="1">
      <alignment horizontal="center"/>
    </xf>
    <xf numFmtId="0" fontId="1" fillId="0" borderId="0" xfId="2"/>
    <xf numFmtId="0" fontId="1" fillId="0" borderId="0" xfId="2" applyAlignment="1">
      <alignment horizontal="center"/>
    </xf>
    <xf numFmtId="2" fontId="1" fillId="0" borderId="0" xfId="2" applyNumberFormat="1"/>
    <xf numFmtId="0" fontId="1" fillId="0" borderId="0" xfId="2" applyFont="1"/>
    <xf numFmtId="0" fontId="1" fillId="0" borderId="0" xfId="2" applyFont="1" applyAlignment="1">
      <alignment horizontal="center"/>
    </xf>
    <xf numFmtId="0" fontId="1" fillId="0" borderId="0" xfId="2" applyBorder="1" applyAlignment="1">
      <alignment horizontal="center"/>
    </xf>
    <xf numFmtId="2" fontId="1" fillId="0" borderId="0" xfId="2" applyNumberFormat="1" applyBorder="1" applyAlignment="1">
      <alignment horizontal="center"/>
    </xf>
    <xf numFmtId="0" fontId="28" fillId="0" borderId="0" xfId="2" applyFont="1"/>
    <xf numFmtId="0" fontId="1" fillId="0" borderId="0" xfId="2" applyFont="1" applyBorder="1" applyAlignment="1">
      <alignment horizontal="center"/>
    </xf>
    <xf numFmtId="0" fontId="28" fillId="0" borderId="0" xfId="2" applyFont="1" applyAlignment="1">
      <alignment horizontal="center"/>
    </xf>
    <xf numFmtId="0" fontId="28" fillId="10" borderId="0" xfId="2" applyFont="1" applyFill="1"/>
    <xf numFmtId="2" fontId="28" fillId="0" borderId="0" xfId="2" applyNumberFormat="1" applyFont="1" applyBorder="1" applyAlignment="1">
      <alignment horizontal="center"/>
    </xf>
    <xf numFmtId="0" fontId="1" fillId="0" borderId="0" xfId="2"/>
    <xf numFmtId="0" fontId="1" fillId="0" borderId="0" xfId="2" applyAlignment="1">
      <alignment horizontal="center"/>
    </xf>
    <xf numFmtId="0" fontId="1" fillId="0" borderId="0" xfId="2" applyBorder="1"/>
    <xf numFmtId="2" fontId="1" fillId="0" borderId="0" xfId="2" applyNumberFormat="1" applyAlignment="1">
      <alignment horizontal="center"/>
    </xf>
    <xf numFmtId="0" fontId="1" fillId="0" borderId="0" xfId="2" applyFont="1"/>
    <xf numFmtId="0" fontId="1" fillId="0" borderId="0" xfId="2" applyFont="1" applyAlignment="1">
      <alignment horizontal="right"/>
    </xf>
    <xf numFmtId="0" fontId="1" fillId="0" borderId="0" xfId="2" applyFont="1" applyAlignment="1">
      <alignment horizontal="center"/>
    </xf>
    <xf numFmtId="0" fontId="1" fillId="0" borderId="1" xfId="2" applyBorder="1"/>
    <xf numFmtId="0" fontId="1" fillId="0" borderId="0" xfId="2" applyFill="1" applyBorder="1" applyAlignment="1">
      <alignment horizontal="center"/>
    </xf>
    <xf numFmtId="0" fontId="1" fillId="0" borderId="1" xfId="2" applyFont="1" applyBorder="1"/>
    <xf numFmtId="0" fontId="1" fillId="0" borderId="0" xfId="2" applyBorder="1" applyAlignment="1">
      <alignment horizontal="center"/>
    </xf>
    <xf numFmtId="2" fontId="1" fillId="0" borderId="0" xfId="2" applyNumberFormat="1" applyBorder="1" applyAlignment="1">
      <alignment horizontal="center"/>
    </xf>
    <xf numFmtId="2" fontId="1" fillId="0" borderId="1" xfId="2" applyNumberFormat="1" applyBorder="1"/>
    <xf numFmtId="0" fontId="1" fillId="0" borderId="0" xfId="2" applyFont="1" applyBorder="1"/>
    <xf numFmtId="0" fontId="28" fillId="0" borderId="0" xfId="2" applyFont="1"/>
    <xf numFmtId="0" fontId="29" fillId="0" borderId="0" xfId="2" applyFont="1" applyBorder="1" applyAlignment="1">
      <alignment horizontal="center"/>
    </xf>
    <xf numFmtId="2" fontId="1" fillId="0" borderId="0" xfId="2" applyNumberFormat="1" applyBorder="1"/>
    <xf numFmtId="0" fontId="1" fillId="0" borderId="0" xfId="2" applyFont="1" applyBorder="1" applyAlignment="1">
      <alignment horizontal="right"/>
    </xf>
    <xf numFmtId="2" fontId="1" fillId="0" borderId="0" xfId="2" applyNumberFormat="1" applyFont="1" applyBorder="1" applyAlignment="1">
      <alignment horizontal="left"/>
    </xf>
    <xf numFmtId="0" fontId="1" fillId="0" borderId="0" xfId="2" applyFont="1" applyBorder="1" applyAlignment="1">
      <alignment horizontal="center"/>
    </xf>
    <xf numFmtId="0" fontId="28" fillId="0" borderId="0" xfId="2" applyFont="1" applyBorder="1" applyAlignment="1">
      <alignment horizontal="center"/>
    </xf>
    <xf numFmtId="0" fontId="28" fillId="0" borderId="0" xfId="2" applyFont="1" applyBorder="1" applyAlignment="1">
      <alignment horizontal="left"/>
    </xf>
    <xf numFmtId="0" fontId="1" fillId="0" borderId="5" xfId="2" applyBorder="1"/>
    <xf numFmtId="0" fontId="1" fillId="0" borderId="1" xfId="2" applyFont="1" applyFill="1" applyBorder="1"/>
    <xf numFmtId="2" fontId="28" fillId="0" borderId="0" xfId="2" applyNumberFormat="1" applyFont="1" applyBorder="1" applyAlignment="1">
      <alignment horizontal="center"/>
    </xf>
    <xf numFmtId="0" fontId="1" fillId="0" borderId="0" xfId="2" applyBorder="1" applyAlignment="1"/>
    <xf numFmtId="11" fontId="0" fillId="0" borderId="0" xfId="0" applyNumberFormat="1" applyFill="1" applyBorder="1" applyAlignment="1" applyProtection="1">
      <alignment horizontal="center" vertical="center"/>
      <protection locked="0"/>
    </xf>
    <xf numFmtId="0" fontId="0" fillId="6" borderId="8" xfId="0" applyNumberFormat="1" applyFill="1" applyBorder="1" applyAlignment="1" applyProtection="1">
      <alignment horizontal="center" vertical="center"/>
      <protection locked="0"/>
    </xf>
    <xf numFmtId="164" fontId="0" fillId="0" borderId="0" xfId="0" applyNumberFormat="1" applyFill="1" applyBorder="1" applyAlignment="1" applyProtection="1">
      <alignment horizontal="center" vertical="center"/>
      <protection locked="0"/>
    </xf>
    <xf numFmtId="2" fontId="0" fillId="0" borderId="0" xfId="0" applyNumberFormat="1" applyAlignment="1">
      <alignment horizontal="right" indent="2"/>
    </xf>
    <xf numFmtId="0" fontId="0" fillId="2" borderId="0" xfId="0" applyFill="1" applyBorder="1" applyProtection="1"/>
    <xf numFmtId="0" fontId="0" fillId="2" borderId="0" xfId="0" applyFill="1" applyAlignment="1" applyProtection="1">
      <alignment horizontal="center"/>
    </xf>
    <xf numFmtId="0" fontId="0" fillId="0" borderId="0" xfId="0" applyProtection="1"/>
    <xf numFmtId="0" fontId="8" fillId="2" borderId="0" xfId="0" applyFont="1" applyFill="1" applyAlignment="1" applyProtection="1">
      <alignment horizontal="left"/>
    </xf>
    <xf numFmtId="0" fontId="1" fillId="2" borderId="0" xfId="0" applyFont="1" applyFill="1" applyProtection="1"/>
    <xf numFmtId="14" fontId="8" fillId="2" borderId="0" xfId="0" applyNumberFormat="1" applyFont="1" applyFill="1" applyAlignment="1" applyProtection="1">
      <alignment horizontal="left"/>
    </xf>
    <xf numFmtId="0" fontId="0" fillId="2" borderId="1" xfId="0" applyFill="1" applyBorder="1" applyAlignment="1" applyProtection="1">
      <alignment horizontal="center"/>
    </xf>
    <xf numFmtId="0" fontId="0" fillId="3" borderId="0" xfId="0" applyFill="1" applyBorder="1" applyAlignment="1" applyProtection="1">
      <alignment horizontal="center"/>
    </xf>
    <xf numFmtId="0" fontId="0" fillId="5" borderId="1" xfId="0" applyFill="1" applyBorder="1" applyAlignment="1" applyProtection="1">
      <alignment horizontal="center"/>
    </xf>
    <xf numFmtId="0" fontId="30" fillId="4" borderId="1" xfId="0" applyFont="1" applyFill="1" applyBorder="1" applyAlignment="1" applyProtection="1">
      <alignment horizontal="center"/>
    </xf>
    <xf numFmtId="0" fontId="23" fillId="7" borderId="17" xfId="0" applyFont="1" applyFill="1" applyBorder="1" applyProtection="1"/>
    <xf numFmtId="0" fontId="0" fillId="2" borderId="18" xfId="0" applyFill="1" applyBorder="1" applyProtection="1"/>
    <xf numFmtId="0" fontId="1" fillId="2" borderId="18" xfId="0" applyFont="1" applyFill="1" applyBorder="1" applyAlignment="1" applyProtection="1">
      <alignment horizontal="right" vertical="center"/>
    </xf>
    <xf numFmtId="0" fontId="1" fillId="2" borderId="26" xfId="0" applyFont="1" applyFill="1" applyBorder="1" applyAlignment="1" applyProtection="1">
      <alignment horizontal="center" vertical="center"/>
    </xf>
    <xf numFmtId="0" fontId="0" fillId="2" borderId="22" xfId="0" applyFill="1" applyBorder="1" applyProtection="1"/>
    <xf numFmtId="0" fontId="20" fillId="2" borderId="19" xfId="0" applyFont="1" applyFill="1" applyBorder="1" applyProtection="1"/>
    <xf numFmtId="0" fontId="1" fillId="2" borderId="0" xfId="0" applyFont="1" applyFill="1" applyBorder="1" applyAlignment="1" applyProtection="1">
      <alignment horizontal="right" vertical="center"/>
    </xf>
    <xf numFmtId="0" fontId="1" fillId="2" borderId="7" xfId="0" applyFont="1" applyFill="1" applyBorder="1" applyAlignment="1" applyProtection="1">
      <alignment horizontal="center" vertical="center"/>
    </xf>
    <xf numFmtId="0" fontId="0" fillId="2" borderId="23" xfId="0" applyFill="1" applyBorder="1" applyProtection="1"/>
    <xf numFmtId="0" fontId="0" fillId="2" borderId="19" xfId="0" applyFill="1" applyBorder="1" applyProtection="1"/>
    <xf numFmtId="0" fontId="0" fillId="2" borderId="7" xfId="0" applyFill="1" applyBorder="1" applyAlignment="1" applyProtection="1">
      <alignment horizontal="center" vertical="center"/>
    </xf>
    <xf numFmtId="0" fontId="0" fillId="2" borderId="21" xfId="0" applyFill="1" applyBorder="1" applyProtection="1"/>
    <xf numFmtId="0" fontId="0" fillId="2" borderId="20" xfId="0" applyFill="1" applyBorder="1" applyProtection="1"/>
    <xf numFmtId="0" fontId="1" fillId="2" borderId="20" xfId="0" applyFont="1" applyFill="1" applyBorder="1" applyAlignment="1" applyProtection="1">
      <alignment horizontal="right" vertical="center"/>
    </xf>
    <xf numFmtId="0" fontId="1" fillId="2" borderId="25" xfId="0" applyFont="1" applyFill="1" applyBorder="1" applyAlignment="1" applyProtection="1">
      <alignment horizontal="center" vertical="center"/>
    </xf>
    <xf numFmtId="0" fontId="0" fillId="2" borderId="24" xfId="0" applyFill="1" applyBorder="1" applyProtection="1"/>
    <xf numFmtId="0" fontId="0" fillId="7" borderId="18" xfId="0" applyFill="1" applyBorder="1" applyProtection="1"/>
    <xf numFmtId="2" fontId="0" fillId="0" borderId="1" xfId="0" applyNumberFormat="1" applyBorder="1" applyAlignment="1" applyProtection="1">
      <alignment horizontal="center" vertical="center"/>
    </xf>
    <xf numFmtId="0" fontId="1" fillId="0" borderId="0" xfId="0" applyFont="1" applyProtection="1"/>
    <xf numFmtId="0" fontId="1" fillId="2" borderId="0" xfId="0" applyFont="1" applyFill="1" applyBorder="1" applyProtection="1"/>
    <xf numFmtId="0" fontId="10" fillId="2" borderId="7" xfId="0" applyFont="1" applyFill="1" applyBorder="1" applyAlignment="1" applyProtection="1">
      <alignment horizontal="center" vertical="center"/>
    </xf>
    <xf numFmtId="0" fontId="0" fillId="2" borderId="3" xfId="0" applyFill="1" applyBorder="1" applyProtection="1"/>
    <xf numFmtId="0" fontId="0" fillId="5" borderId="0" xfId="0" applyFill="1" applyBorder="1" applyProtection="1"/>
    <xf numFmtId="0" fontId="1" fillId="5" borderId="0" xfId="0" applyFont="1" applyFill="1" applyBorder="1" applyAlignment="1" applyProtection="1">
      <alignment horizontal="right" vertical="center"/>
    </xf>
    <xf numFmtId="165" fontId="0" fillId="2" borderId="1" xfId="0" applyNumberFormat="1" applyFill="1" applyBorder="1" applyAlignment="1" applyProtection="1">
      <alignment horizontal="center" vertical="center"/>
    </xf>
    <xf numFmtId="0" fontId="0" fillId="6" borderId="0" xfId="0" applyFill="1" applyBorder="1" applyProtection="1"/>
    <xf numFmtId="0" fontId="1" fillId="6" borderId="0" xfId="0" applyFont="1" applyFill="1" applyBorder="1" applyAlignment="1" applyProtection="1">
      <alignment horizontal="right" vertical="center"/>
    </xf>
    <xf numFmtId="0" fontId="0" fillId="8" borderId="0" xfId="0" applyFill="1" applyBorder="1" applyProtection="1"/>
    <xf numFmtId="0" fontId="1" fillId="8" borderId="0" xfId="0" applyFont="1" applyFill="1" applyBorder="1" applyAlignment="1" applyProtection="1">
      <alignment horizontal="right" vertical="center"/>
    </xf>
    <xf numFmtId="0" fontId="0" fillId="0" borderId="0" xfId="0" applyBorder="1" applyProtection="1"/>
    <xf numFmtId="165" fontId="0" fillId="2" borderId="5" xfId="0" applyNumberFormat="1" applyFill="1" applyBorder="1" applyAlignment="1" applyProtection="1">
      <alignment horizontal="center" vertical="center"/>
    </xf>
    <xf numFmtId="0" fontId="1" fillId="2" borderId="18" xfId="0" applyFont="1" applyFill="1" applyBorder="1" applyAlignment="1" applyProtection="1">
      <alignment horizontal="right"/>
    </xf>
    <xf numFmtId="0" fontId="0" fillId="2" borderId="26" xfId="0" applyFill="1" applyBorder="1" applyAlignment="1" applyProtection="1">
      <alignment horizontal="center" vertical="center"/>
    </xf>
    <xf numFmtId="0" fontId="1" fillId="2" borderId="0" xfId="0" applyFont="1" applyFill="1" applyBorder="1" applyAlignment="1" applyProtection="1">
      <alignment horizontal="right"/>
    </xf>
    <xf numFmtId="0" fontId="2" fillId="0" borderId="0" xfId="0" applyFont="1" applyProtection="1"/>
    <xf numFmtId="0" fontId="6" fillId="2" borderId="7" xfId="0" applyFont="1" applyFill="1" applyBorder="1" applyAlignment="1" applyProtection="1">
      <alignment horizontal="center" vertical="center"/>
    </xf>
    <xf numFmtId="0" fontId="0" fillId="0" borderId="19" xfId="0" applyBorder="1" applyProtection="1"/>
    <xf numFmtId="2" fontId="0" fillId="2" borderId="1" xfId="0" applyNumberFormat="1" applyFill="1" applyBorder="1" applyAlignment="1" applyProtection="1">
      <alignment horizontal="center" vertical="center"/>
    </xf>
    <xf numFmtId="9" fontId="0" fillId="2" borderId="1" xfId="0" applyNumberFormat="1" applyFill="1" applyBorder="1" applyAlignment="1" applyProtection="1">
      <alignment horizontal="center" vertical="center"/>
    </xf>
    <xf numFmtId="0" fontId="0" fillId="3" borderId="0" xfId="0" applyFill="1" applyBorder="1" applyProtection="1"/>
    <xf numFmtId="0" fontId="1" fillId="3" borderId="0" xfId="0" applyFont="1" applyFill="1" applyBorder="1" applyAlignment="1" applyProtection="1">
      <alignment horizontal="right" vertical="center"/>
    </xf>
    <xf numFmtId="0" fontId="1" fillId="3" borderId="0" xfId="0" applyFont="1" applyFill="1" applyBorder="1" applyAlignment="1" applyProtection="1">
      <alignment horizontal="right"/>
    </xf>
    <xf numFmtId="0" fontId="1" fillId="0" borderId="0" xfId="0" applyFont="1" applyBorder="1" applyAlignment="1" applyProtection="1">
      <alignment horizontal="right"/>
    </xf>
    <xf numFmtId="0" fontId="1" fillId="0" borderId="7" xfId="0" applyFont="1" applyBorder="1" applyAlignment="1" applyProtection="1">
      <alignment horizontal="center"/>
    </xf>
    <xf numFmtId="0" fontId="1" fillId="0" borderId="0" xfId="0" applyFont="1" applyFill="1" applyBorder="1" applyAlignment="1" applyProtection="1">
      <alignment horizontal="right"/>
    </xf>
    <xf numFmtId="0" fontId="1" fillId="2" borderId="23" xfId="0" applyFont="1" applyFill="1" applyBorder="1" applyProtection="1"/>
    <xf numFmtId="0" fontId="0" fillId="3" borderId="20" xfId="0" applyFill="1" applyBorder="1" applyProtection="1"/>
    <xf numFmtId="0" fontId="1" fillId="3" borderId="20" xfId="0" applyFont="1" applyFill="1" applyBorder="1" applyAlignment="1" applyProtection="1">
      <alignment horizontal="right"/>
    </xf>
    <xf numFmtId="2" fontId="0" fillId="2" borderId="15" xfId="0" applyNumberFormat="1" applyFill="1" applyBorder="1" applyAlignment="1" applyProtection="1">
      <alignment horizontal="center" vertical="center"/>
    </xf>
    <xf numFmtId="0" fontId="0" fillId="2" borderId="25" xfId="0" applyFill="1" applyBorder="1" applyAlignment="1" applyProtection="1">
      <alignment horizontal="center" vertical="center"/>
    </xf>
    <xf numFmtId="0" fontId="1" fillId="2" borderId="24" xfId="0" applyFont="1" applyFill="1" applyBorder="1" applyProtection="1"/>
    <xf numFmtId="0" fontId="23" fillId="7" borderId="19" xfId="0" applyFont="1" applyFill="1" applyBorder="1" applyProtection="1"/>
    <xf numFmtId="0" fontId="0" fillId="7" borderId="0" xfId="0" applyFill="1" applyBorder="1" applyProtection="1"/>
    <xf numFmtId="0" fontId="1" fillId="0" borderId="0" xfId="0" applyFont="1" applyAlignment="1" applyProtection="1">
      <alignment horizontal="right"/>
    </xf>
    <xf numFmtId="0" fontId="1" fillId="2" borderId="4" xfId="0" applyFont="1" applyFill="1" applyBorder="1" applyAlignment="1" applyProtection="1">
      <alignment horizontal="center" vertical="center"/>
    </xf>
    <xf numFmtId="2" fontId="0" fillId="2" borderId="6" xfId="0" applyNumberForma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7" fillId="2" borderId="0" xfId="0" applyFont="1" applyFill="1" applyBorder="1" applyProtection="1"/>
    <xf numFmtId="0" fontId="0" fillId="2" borderId="4" xfId="0" applyFill="1" applyBorder="1" applyAlignment="1" applyProtection="1">
      <alignment horizontal="center"/>
    </xf>
    <xf numFmtId="0" fontId="2" fillId="2" borderId="0" xfId="0" applyFont="1" applyFill="1" applyBorder="1" applyAlignment="1" applyProtection="1">
      <alignment horizontal="right"/>
    </xf>
    <xf numFmtId="0" fontId="2" fillId="2" borderId="0" xfId="0" applyFont="1" applyFill="1" applyBorder="1" applyAlignment="1" applyProtection="1">
      <alignment horizontal="center"/>
    </xf>
    <xf numFmtId="2" fontId="0" fillId="2" borderId="9" xfId="0" applyNumberFormat="1" applyFill="1" applyBorder="1" applyAlignment="1" applyProtection="1">
      <alignment horizontal="center" vertical="center"/>
    </xf>
    <xf numFmtId="0" fontId="0" fillId="3" borderId="35" xfId="0" applyFill="1" applyBorder="1" applyProtection="1"/>
    <xf numFmtId="0" fontId="21" fillId="2" borderId="18" xfId="0" applyFont="1" applyFill="1" applyBorder="1" applyAlignment="1" applyProtection="1">
      <alignment horizontal="right" vertical="center"/>
    </xf>
    <xf numFmtId="0" fontId="0" fillId="2" borderId="10" xfId="0"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21" fillId="2" borderId="0" xfId="0" applyFont="1" applyFill="1" applyBorder="1" applyAlignment="1" applyProtection="1">
      <alignment horizontal="right" vertical="center"/>
    </xf>
    <xf numFmtId="0" fontId="0" fillId="2" borderId="8" xfId="0"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0" fillId="3" borderId="23" xfId="0" applyFill="1" applyBorder="1" applyProtection="1"/>
    <xf numFmtId="0" fontId="0" fillId="2" borderId="0" xfId="0" applyFill="1" applyBorder="1" applyAlignment="1" applyProtection="1">
      <alignment horizontal="right" vertical="center"/>
    </xf>
    <xf numFmtId="0" fontId="0" fillId="2" borderId="1" xfId="0" applyNumberForma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0" fillId="12" borderId="17" xfId="0" applyFill="1" applyBorder="1" applyProtection="1"/>
    <xf numFmtId="0" fontId="1" fillId="12" borderId="18" xfId="0" applyFont="1" applyFill="1" applyBorder="1" applyAlignment="1" applyProtection="1">
      <alignment horizontal="center"/>
    </xf>
    <xf numFmtId="0" fontId="2" fillId="12" borderId="18" xfId="0" applyFont="1" applyFill="1" applyBorder="1" applyAlignment="1" applyProtection="1">
      <alignment horizontal="center"/>
    </xf>
    <xf numFmtId="0" fontId="2" fillId="12" borderId="22" xfId="0" applyFont="1" applyFill="1" applyBorder="1" applyAlignment="1" applyProtection="1">
      <alignment horizontal="left"/>
    </xf>
    <xf numFmtId="0" fontId="2" fillId="2" borderId="0" xfId="0" applyFont="1" applyFill="1" applyBorder="1" applyProtection="1"/>
    <xf numFmtId="0" fontId="0" fillId="2" borderId="12" xfId="0" applyFill="1" applyBorder="1" applyProtection="1"/>
    <xf numFmtId="0" fontId="1" fillId="2" borderId="1" xfId="0" applyFont="1" applyFill="1" applyBorder="1" applyAlignment="1" applyProtection="1">
      <alignment horizontal="right"/>
    </xf>
    <xf numFmtId="165" fontId="0" fillId="2" borderId="1" xfId="0" applyNumberFormat="1" applyFill="1" applyBorder="1" applyAlignment="1" applyProtection="1">
      <alignment horizontal="center"/>
    </xf>
    <xf numFmtId="0" fontId="1" fillId="2" borderId="13" xfId="0" applyFont="1" applyFill="1" applyBorder="1" applyProtection="1"/>
    <xf numFmtId="165" fontId="0" fillId="2" borderId="0" xfId="0" applyNumberFormat="1" applyFill="1" applyBorder="1" applyAlignment="1" applyProtection="1">
      <alignment horizontal="center"/>
    </xf>
    <xf numFmtId="1" fontId="0" fillId="2" borderId="1" xfId="0" applyNumberFormat="1" applyFill="1" applyBorder="1" applyAlignment="1" applyProtection="1">
      <alignment horizontal="center"/>
    </xf>
    <xf numFmtId="1" fontId="0" fillId="2" borderId="0" xfId="0" applyNumberFormat="1" applyFill="1" applyBorder="1" applyAlignment="1" applyProtection="1">
      <alignment horizontal="center"/>
    </xf>
    <xf numFmtId="0" fontId="0" fillId="2" borderId="5" xfId="0" applyNumberFormat="1" applyFill="1" applyBorder="1" applyAlignment="1" applyProtection="1">
      <alignment horizontal="center" vertical="center"/>
    </xf>
    <xf numFmtId="164" fontId="0" fillId="2" borderId="1" xfId="0" applyNumberFormat="1" applyFill="1" applyBorder="1" applyAlignment="1" applyProtection="1">
      <alignment horizontal="center"/>
    </xf>
    <xf numFmtId="0" fontId="1" fillId="2" borderId="0" xfId="0" applyFont="1" applyFill="1" applyBorder="1" applyAlignment="1" applyProtection="1">
      <alignment horizontal="center" vertical="center"/>
    </xf>
    <xf numFmtId="164" fontId="1" fillId="2" borderId="1" xfId="0" applyNumberFormat="1" applyFont="1" applyFill="1" applyBorder="1" applyAlignment="1" applyProtection="1">
      <alignment horizontal="right"/>
    </xf>
    <xf numFmtId="2" fontId="0" fillId="2" borderId="0" xfId="0" applyNumberFormat="1" applyFill="1" applyBorder="1" applyAlignment="1" applyProtection="1">
      <alignment horizontal="center"/>
    </xf>
    <xf numFmtId="2" fontId="0" fillId="2" borderId="5" xfId="0" applyNumberFormat="1" applyFill="1" applyBorder="1" applyAlignment="1" applyProtection="1">
      <alignment horizontal="center" vertical="center"/>
    </xf>
    <xf numFmtId="0" fontId="1" fillId="2" borderId="0" xfId="2" applyFont="1" applyFill="1" applyBorder="1" applyAlignment="1" applyProtection="1">
      <alignment horizontal="right" vertical="center"/>
    </xf>
    <xf numFmtId="1" fontId="1" fillId="2" borderId="1" xfId="2" applyNumberFormat="1" applyFont="1" applyFill="1" applyBorder="1" applyAlignment="1" applyProtection="1">
      <alignment horizontal="center" vertical="center"/>
    </xf>
    <xf numFmtId="164" fontId="0" fillId="2" borderId="0" xfId="0" applyNumberFormat="1" applyFill="1" applyBorder="1" applyAlignment="1" applyProtection="1">
      <alignment horizontal="center"/>
    </xf>
    <xf numFmtId="0" fontId="0" fillId="2" borderId="1" xfId="0" applyFill="1" applyBorder="1" applyAlignment="1" applyProtection="1">
      <alignment horizontal="center" vertical="center"/>
    </xf>
    <xf numFmtId="0" fontId="0" fillId="0" borderId="1" xfId="0" applyBorder="1" applyAlignment="1" applyProtection="1">
      <alignment horizontal="center"/>
    </xf>
    <xf numFmtId="0" fontId="0" fillId="0" borderId="0" xfId="0" applyAlignment="1" applyProtection="1">
      <alignment horizontal="center"/>
    </xf>
    <xf numFmtId="1" fontId="1" fillId="2" borderId="0" xfId="0" applyNumberFormat="1" applyFont="1" applyFill="1" applyBorder="1" applyAlignment="1" applyProtection="1">
      <alignment horizontal="center" vertical="center"/>
    </xf>
    <xf numFmtId="0" fontId="0" fillId="2" borderId="0" xfId="0" applyFill="1" applyBorder="1" applyAlignment="1" applyProtection="1">
      <alignment horizontal="center"/>
    </xf>
    <xf numFmtId="0" fontId="1" fillId="2" borderId="19" xfId="0" applyFont="1" applyFill="1" applyBorder="1" applyAlignment="1" applyProtection="1">
      <alignment horizontal="right"/>
    </xf>
    <xf numFmtId="0" fontId="1" fillId="2" borderId="0" xfId="0" applyFont="1" applyFill="1" applyBorder="1" applyAlignment="1" applyProtection="1">
      <alignment horizontal="left"/>
    </xf>
    <xf numFmtId="0" fontId="0" fillId="2" borderId="0" xfId="0" applyFill="1" applyBorder="1" applyAlignment="1" applyProtection="1">
      <alignment horizontal="right"/>
    </xf>
    <xf numFmtId="14" fontId="1" fillId="2" borderId="0" xfId="0" applyNumberFormat="1" applyFont="1" applyFill="1" applyBorder="1" applyAlignment="1" applyProtection="1">
      <alignment horizontal="center"/>
    </xf>
    <xf numFmtId="0" fontId="1" fillId="2" borderId="20" xfId="0" applyFont="1" applyFill="1" applyBorder="1" applyAlignment="1" applyProtection="1">
      <alignment horizontal="left"/>
    </xf>
    <xf numFmtId="0" fontId="0" fillId="2" borderId="20" xfId="0" applyFill="1" applyBorder="1" applyAlignment="1" applyProtection="1">
      <alignment horizontal="center"/>
    </xf>
    <xf numFmtId="0" fontId="20" fillId="2" borderId="0" xfId="0" applyFont="1" applyFill="1" applyProtection="1"/>
    <xf numFmtId="0" fontId="0" fillId="3" borderId="0" xfId="0" applyFill="1" applyProtection="1"/>
    <xf numFmtId="0" fontId="0" fillId="3" borderId="0" xfId="0" applyFill="1" applyAlignment="1" applyProtection="1">
      <alignment horizontal="center"/>
    </xf>
    <xf numFmtId="0" fontId="23" fillId="2" borderId="0" xfId="0" applyFont="1" applyFill="1" applyProtection="1"/>
    <xf numFmtId="0" fontId="14" fillId="5" borderId="0" xfId="1" applyFill="1" applyAlignment="1" applyProtection="1"/>
    <xf numFmtId="0" fontId="41" fillId="0" borderId="17" xfId="0" applyFont="1" applyBorder="1" applyAlignment="1">
      <alignment horizontal="center" vertical="center" wrapText="1"/>
    </xf>
    <xf numFmtId="0" fontId="41" fillId="0" borderId="18" xfId="0" applyFont="1" applyBorder="1" applyAlignment="1">
      <alignment horizontal="center" vertical="center" wrapText="1"/>
    </xf>
    <xf numFmtId="0" fontId="41" fillId="0" borderId="22" xfId="0" applyFont="1" applyBorder="1" applyAlignment="1">
      <alignment horizontal="center" vertical="center" wrapText="1"/>
    </xf>
    <xf numFmtId="0" fontId="41" fillId="0" borderId="19" xfId="0" applyFont="1" applyBorder="1" applyAlignment="1">
      <alignment horizontal="center" vertical="center" wrapText="1"/>
    </xf>
    <xf numFmtId="0" fontId="41" fillId="0" borderId="0" xfId="0" applyFont="1" applyBorder="1" applyAlignment="1">
      <alignment horizontal="center" vertical="center" wrapText="1"/>
    </xf>
    <xf numFmtId="0" fontId="41" fillId="0" borderId="23" xfId="0" applyFont="1" applyBorder="1" applyAlignment="1">
      <alignment horizontal="center" vertical="center" wrapText="1"/>
    </xf>
    <xf numFmtId="0" fontId="41" fillId="0" borderId="21" xfId="0" applyFont="1" applyBorder="1" applyAlignment="1">
      <alignment horizontal="center" vertical="center" wrapText="1"/>
    </xf>
    <xf numFmtId="0" fontId="41" fillId="0" borderId="20" xfId="0" applyFont="1" applyBorder="1" applyAlignment="1">
      <alignment horizontal="center" vertical="center" wrapText="1"/>
    </xf>
    <xf numFmtId="0" fontId="41" fillId="0" borderId="24" xfId="0" applyFont="1" applyBorder="1" applyAlignment="1">
      <alignment horizontal="center" vertical="center" wrapText="1"/>
    </xf>
    <xf numFmtId="0" fontId="14" fillId="11" borderId="0" xfId="1" applyFill="1" applyAlignment="1" applyProtection="1">
      <alignment horizontal="left"/>
    </xf>
    <xf numFmtId="0" fontId="13" fillId="3" borderId="0" xfId="0" applyFont="1" applyFill="1" applyBorder="1" applyAlignment="1" applyProtection="1">
      <alignment horizontal="center" vertical="center"/>
    </xf>
    <xf numFmtId="0" fontId="17" fillId="4" borderId="17" xfId="0" applyFont="1" applyFill="1" applyBorder="1" applyAlignment="1" applyProtection="1">
      <alignment horizontal="left" vertical="center"/>
    </xf>
    <xf numFmtId="0" fontId="17" fillId="4" borderId="18" xfId="0" applyFont="1" applyFill="1" applyBorder="1" applyAlignment="1" applyProtection="1">
      <alignment horizontal="left" vertical="center"/>
    </xf>
    <xf numFmtId="0" fontId="1" fillId="2" borderId="3" xfId="0" applyFont="1" applyFill="1" applyBorder="1" applyAlignment="1" applyProtection="1">
      <alignment horizontal="left" vertical="center" wrapText="1"/>
    </xf>
    <xf numFmtId="0" fontId="1" fillId="2" borderId="0" xfId="0" applyFont="1" applyFill="1" applyAlignment="1" applyProtection="1">
      <alignment horizontal="left" vertical="center" wrapText="1"/>
    </xf>
    <xf numFmtId="0" fontId="39" fillId="2" borderId="19" xfId="2" applyFont="1" applyFill="1" applyBorder="1" applyAlignment="1" applyProtection="1">
      <alignment horizontal="left" vertical="top" wrapText="1"/>
    </xf>
    <xf numFmtId="0" fontId="40" fillId="2" borderId="19" xfId="0" applyFont="1" applyFill="1" applyBorder="1" applyAlignment="1" applyProtection="1">
      <alignment horizontal="left" vertical="top" wrapText="1"/>
    </xf>
    <xf numFmtId="0" fontId="40" fillId="2" borderId="0" xfId="0" applyFont="1" applyFill="1" applyBorder="1" applyAlignment="1" applyProtection="1">
      <alignment horizontal="left" vertical="top" wrapText="1"/>
    </xf>
    <xf numFmtId="0" fontId="27" fillId="0" borderId="0" xfId="0" applyFont="1" applyAlignment="1">
      <alignment horizontal="center"/>
    </xf>
    <xf numFmtId="0" fontId="28" fillId="0" borderId="0" xfId="0" applyFont="1" applyAlignment="1">
      <alignment horizontal="center"/>
    </xf>
    <xf numFmtId="0" fontId="2" fillId="0" borderId="0" xfId="0" applyFont="1" applyAlignment="1">
      <alignment horizontal="center"/>
    </xf>
    <xf numFmtId="0" fontId="27" fillId="0" borderId="1" xfId="2" applyFont="1" applyBorder="1" applyAlignment="1">
      <alignment horizontal="center"/>
    </xf>
    <xf numFmtId="0" fontId="1" fillId="0" borderId="5" xfId="2" applyFont="1" applyBorder="1" applyAlignment="1">
      <alignment horizontal="center"/>
    </xf>
    <xf numFmtId="0" fontId="1" fillId="0" borderId="5" xfId="2" applyBorder="1" applyAlignment="1">
      <alignment horizontal="center"/>
    </xf>
    <xf numFmtId="0" fontId="28" fillId="0" borderId="0" xfId="2" applyFont="1" applyBorder="1" applyAlignment="1">
      <alignment horizontal="center"/>
    </xf>
    <xf numFmtId="2" fontId="1" fillId="0" borderId="0" xfId="2" applyNumberFormat="1" applyFont="1" applyBorder="1" applyAlignment="1">
      <alignment horizontal="center"/>
    </xf>
    <xf numFmtId="2" fontId="1" fillId="0" borderId="0" xfId="2" applyNumberFormat="1" applyBorder="1" applyAlignment="1">
      <alignment horizontal="center"/>
    </xf>
  </cellXfs>
  <cellStyles count="3">
    <cellStyle name="Hyperlink" xfId="1" builtinId="8"/>
    <cellStyle name="Normal" xfId="0" builtinId="0"/>
    <cellStyle name="Normal 2" xfId="2"/>
  </cellStyles>
  <dxfs count="21">
    <dxf>
      <font>
        <color theme="0"/>
      </font>
      <fill>
        <patternFill>
          <fgColor theme="0"/>
          <bgColor theme="0"/>
        </patternFill>
      </fill>
    </dxf>
    <dxf>
      <fill>
        <patternFill>
          <bgColor rgb="FFFF0000"/>
        </patternFill>
      </fill>
    </dxf>
    <dxf>
      <font>
        <color theme="0"/>
      </font>
      <fill>
        <patternFill>
          <bgColor theme="0"/>
        </patternFill>
      </fill>
    </dxf>
    <dxf>
      <font>
        <color theme="0"/>
      </font>
      <fill>
        <patternFill patternType="solid">
          <bgColor theme="0"/>
        </patternFill>
      </fill>
      <border>
        <left/>
        <right/>
      </border>
    </dxf>
    <dxf>
      <fill>
        <patternFill>
          <bgColor rgb="FFFF0000"/>
        </patternFill>
      </fill>
    </dxf>
    <dxf>
      <fill>
        <patternFill>
          <bgColor rgb="FFFF0000"/>
        </patternFill>
      </fill>
    </dxf>
    <dxf>
      <fill>
        <patternFill>
          <bgColor rgb="FFFFFF00"/>
        </patternFill>
      </fill>
    </dxf>
    <dxf>
      <fill>
        <patternFill>
          <bgColor rgb="FFFF0000"/>
        </patternFill>
      </fill>
    </dxf>
    <dxf>
      <font>
        <color theme="0"/>
      </font>
      <fill>
        <patternFill>
          <fgColor theme="0"/>
          <bgColor theme="0"/>
        </patternFill>
      </fill>
    </dxf>
    <dxf>
      <font>
        <strike val="0"/>
        <color theme="0"/>
      </font>
      <fill>
        <patternFill patternType="none">
          <bgColor auto="1"/>
        </patternFill>
      </fill>
    </dxf>
    <dxf>
      <font>
        <strike/>
        <color theme="0" tint="-0.24994659260841701"/>
      </font>
      <fill>
        <patternFill patternType="none">
          <bgColor auto="1"/>
        </patternFill>
      </fill>
    </dxf>
    <dxf>
      <font>
        <color theme="0"/>
      </font>
      <fill>
        <patternFill patternType="solid">
          <bgColor theme="0"/>
        </patternFill>
      </fill>
      <border>
        <left/>
        <right/>
      </border>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5" tint="-0.24994659260841701"/>
        </patternFill>
      </fill>
    </dxf>
    <dxf>
      <fill>
        <patternFill>
          <bgColor rgb="FFFF0000"/>
        </patternFill>
      </fill>
    </dxf>
    <dxf>
      <font>
        <color theme="0"/>
      </font>
    </dxf>
    <dxf>
      <fill>
        <patternFill>
          <bgColor indexed="10"/>
        </patternFill>
      </fill>
    </dxf>
    <dxf>
      <font>
        <condense val="0"/>
        <extend val="0"/>
        <color indexed="9"/>
      </font>
      <fill>
        <patternFill>
          <bgColor indexed="9"/>
        </patternFill>
      </fill>
      <border>
        <left/>
        <right/>
        <top style="thin">
          <color indexed="64"/>
        </top>
        <bottom/>
      </border>
    </dxf>
  </dxfs>
  <tableStyles count="0" defaultTableStyle="TableStyleMedium9" defaultPivotStyle="PivotStyleLight16"/>
  <colors>
    <mruColors>
      <color rgb="FF0053FA"/>
      <color rgb="FFFF5050"/>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IN"/>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67237229923697"/>
          <c:y val="0.10613723813134238"/>
          <c:w val="0.83144069779259888"/>
          <c:h val="0.76916929287639557"/>
        </c:manualLayout>
      </c:layout>
      <c:scatterChart>
        <c:scatterStyle val="lineMarker"/>
        <c:varyColors val="0"/>
        <c:ser>
          <c:idx val="3"/>
          <c:order val="0"/>
          <c:tx>
            <c:v>Temp Derated FET SOA (t = Tfault)</c:v>
          </c:tx>
          <c:spPr>
            <a:ln w="25400">
              <a:solidFill>
                <a:srgbClr val="008000"/>
              </a:solidFill>
              <a:prstDash val="solid"/>
            </a:ln>
          </c:spPr>
          <c:marker>
            <c:symbol val="none"/>
          </c:marker>
          <c:xVal>
            <c:numRef>
              <c:f>Equations!$R$146:$R$162</c:f>
              <c:numCache>
                <c:formatCode>General</c:formatCode>
                <c:ptCount val="17"/>
                <c:pt idx="0">
                  <c:v>0.45</c:v>
                </c:pt>
                <c:pt idx="1">
                  <c:v>4.5</c:v>
                </c:pt>
                <c:pt idx="2">
                  <c:v>9</c:v>
                </c:pt>
                <c:pt idx="3">
                  <c:v>13.5</c:v>
                </c:pt>
                <c:pt idx="4">
                  <c:v>18</c:v>
                </c:pt>
                <c:pt idx="5">
                  <c:v>22.5</c:v>
                </c:pt>
                <c:pt idx="6">
                  <c:v>27</c:v>
                </c:pt>
                <c:pt idx="7">
                  <c:v>31.500000000000004</c:v>
                </c:pt>
                <c:pt idx="8">
                  <c:v>36</c:v>
                </c:pt>
                <c:pt idx="9">
                  <c:v>40.5</c:v>
                </c:pt>
                <c:pt idx="10">
                  <c:v>45</c:v>
                </c:pt>
                <c:pt idx="11">
                  <c:v>49.5</c:v>
                </c:pt>
                <c:pt idx="12">
                  <c:v>54</c:v>
                </c:pt>
                <c:pt idx="13">
                  <c:v>58.499999999999993</c:v>
                </c:pt>
                <c:pt idx="14">
                  <c:v>63.000000000000007</c:v>
                </c:pt>
                <c:pt idx="15">
                  <c:v>67.5</c:v>
                </c:pt>
                <c:pt idx="16">
                  <c:v>72</c:v>
                </c:pt>
              </c:numCache>
            </c:numRef>
          </c:xVal>
          <c:yVal>
            <c:numRef>
              <c:f>Equations!$V$146:$V$162</c:f>
              <c:numCache>
                <c:formatCode>0.00</c:formatCode>
                <c:ptCount val="17"/>
                <c:pt idx="0">
                  <c:v>1302.1699999999998</c:v>
                </c:pt>
                <c:pt idx="1">
                  <c:v>130.21699999999998</c:v>
                </c:pt>
                <c:pt idx="2">
                  <c:v>65.108499999999992</c:v>
                </c:pt>
                <c:pt idx="3">
                  <c:v>43.405666666666669</c:v>
                </c:pt>
                <c:pt idx="4">
                  <c:v>32.554249999999996</c:v>
                </c:pt>
                <c:pt idx="5">
                  <c:v>26.043399999999998</c:v>
                </c:pt>
                <c:pt idx="6">
                  <c:v>21.702833333333334</c:v>
                </c:pt>
                <c:pt idx="7">
                  <c:v>18.602428571428568</c:v>
                </c:pt>
                <c:pt idx="8">
                  <c:v>16.277124999999998</c:v>
                </c:pt>
                <c:pt idx="9">
                  <c:v>14.468555555555556</c:v>
                </c:pt>
                <c:pt idx="10">
                  <c:v>13.021699999999999</c:v>
                </c:pt>
                <c:pt idx="11">
                  <c:v>11.83790909090909</c:v>
                </c:pt>
                <c:pt idx="12">
                  <c:v>10.851416666666667</c:v>
                </c:pt>
                <c:pt idx="13">
                  <c:v>10.016692307692308</c:v>
                </c:pt>
                <c:pt idx="14">
                  <c:v>9.3012142857142841</c:v>
                </c:pt>
                <c:pt idx="15">
                  <c:v>8.6811333333333334</c:v>
                </c:pt>
                <c:pt idx="16">
                  <c:v>8.138562499999999</c:v>
                </c:pt>
              </c:numCache>
            </c:numRef>
          </c:yVal>
          <c:smooth val="0"/>
        </c:ser>
        <c:ser>
          <c:idx val="1"/>
          <c:order val="1"/>
          <c:tx>
            <c:v>Typ Device SOA Limit</c:v>
          </c:tx>
          <c:spPr>
            <a:ln w="25400">
              <a:solidFill>
                <a:srgbClr val="FF0000"/>
              </a:solidFill>
              <a:prstDash val="solid"/>
            </a:ln>
          </c:spPr>
          <c:marker>
            <c:symbol val="none"/>
          </c:marker>
          <c:xVal>
            <c:numRef>
              <c:f>Equations!$R$146:$R$165</c:f>
              <c:numCache>
                <c:formatCode>General</c:formatCode>
                <c:ptCount val="20"/>
                <c:pt idx="0">
                  <c:v>0.45</c:v>
                </c:pt>
                <c:pt idx="1">
                  <c:v>4.5</c:v>
                </c:pt>
                <c:pt idx="2">
                  <c:v>9</c:v>
                </c:pt>
                <c:pt idx="3">
                  <c:v>13.5</c:v>
                </c:pt>
                <c:pt idx="4">
                  <c:v>18</c:v>
                </c:pt>
                <c:pt idx="5">
                  <c:v>22.5</c:v>
                </c:pt>
                <c:pt idx="6">
                  <c:v>27</c:v>
                </c:pt>
                <c:pt idx="7">
                  <c:v>31.500000000000004</c:v>
                </c:pt>
                <c:pt idx="8">
                  <c:v>36</c:v>
                </c:pt>
                <c:pt idx="9">
                  <c:v>40.5</c:v>
                </c:pt>
                <c:pt idx="10">
                  <c:v>45</c:v>
                </c:pt>
                <c:pt idx="11">
                  <c:v>49.5</c:v>
                </c:pt>
                <c:pt idx="12">
                  <c:v>54</c:v>
                </c:pt>
                <c:pt idx="13">
                  <c:v>58.499999999999993</c:v>
                </c:pt>
                <c:pt idx="14">
                  <c:v>63.000000000000007</c:v>
                </c:pt>
                <c:pt idx="15">
                  <c:v>67.5</c:v>
                </c:pt>
                <c:pt idx="16">
                  <c:v>72</c:v>
                </c:pt>
              </c:numCache>
            </c:numRef>
          </c:xVal>
          <c:yVal>
            <c:numRef>
              <c:f>Equations!$T$146:$T$165</c:f>
              <c:numCache>
                <c:formatCode>0.00</c:formatCode>
                <c:ptCount val="20"/>
                <c:pt idx="0">
                  <c:v>25</c:v>
                </c:pt>
                <c:pt idx="1">
                  <c:v>25</c:v>
                </c:pt>
                <c:pt idx="2">
                  <c:v>25</c:v>
                </c:pt>
                <c:pt idx="3">
                  <c:v>18.518518518518519</c:v>
                </c:pt>
                <c:pt idx="4">
                  <c:v>13.888888888888889</c:v>
                </c:pt>
                <c:pt idx="5">
                  <c:v>11.111111111111111</c:v>
                </c:pt>
                <c:pt idx="6">
                  <c:v>9.2592592592592595</c:v>
                </c:pt>
                <c:pt idx="7">
                  <c:v>7.9365079365079358</c:v>
                </c:pt>
                <c:pt idx="8">
                  <c:v>6.9444444444444446</c:v>
                </c:pt>
                <c:pt idx="9">
                  <c:v>6.1728395061728394</c:v>
                </c:pt>
                <c:pt idx="10">
                  <c:v>5.5555555555555554</c:v>
                </c:pt>
                <c:pt idx="11">
                  <c:v>5.0505050505050502</c:v>
                </c:pt>
                <c:pt idx="12">
                  <c:v>4.6296296296296298</c:v>
                </c:pt>
                <c:pt idx="13">
                  <c:v>5.0000000000000003E-10</c:v>
                </c:pt>
                <c:pt idx="14">
                  <c:v>5.0000000000000003E-10</c:v>
                </c:pt>
                <c:pt idx="15">
                  <c:v>5.0000000000000003E-10</c:v>
                </c:pt>
                <c:pt idx="16">
                  <c:v>5.0000000000000003E-10</c:v>
                </c:pt>
                <c:pt idx="17">
                  <c:v>0</c:v>
                </c:pt>
                <c:pt idx="18">
                  <c:v>0</c:v>
                </c:pt>
                <c:pt idx="19">
                  <c:v>0</c:v>
                </c:pt>
              </c:numCache>
            </c:numRef>
          </c:yVal>
          <c:smooth val="0"/>
        </c:ser>
        <c:dLbls>
          <c:showLegendKey val="0"/>
          <c:showVal val="0"/>
          <c:showCatName val="0"/>
          <c:showSerName val="0"/>
          <c:showPercent val="0"/>
          <c:showBubbleSize val="0"/>
        </c:dLbls>
        <c:axId val="131437312"/>
        <c:axId val="131439232"/>
      </c:scatterChart>
      <c:valAx>
        <c:axId val="131437312"/>
        <c:scaling>
          <c:logBase val="10"/>
          <c:orientation val="minMax"/>
          <c:max val="100"/>
          <c:min val="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V</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Voltage - V</a:t>
                </a:r>
              </a:p>
            </c:rich>
          </c:tx>
          <c:layout>
            <c:manualLayout>
              <c:xMode val="edge"/>
              <c:yMode val="edge"/>
              <c:x val="0.37459064370200507"/>
              <c:y val="0.94029461520736024"/>
            </c:manualLayout>
          </c:layout>
          <c:overlay val="0"/>
          <c:spPr>
            <a:noFill/>
            <a:ln w="25400">
              <a:noFill/>
            </a:ln>
          </c:spPr>
        </c:title>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31439232"/>
        <c:crossesAt val="0.1"/>
        <c:crossBetween val="midCat"/>
      </c:valAx>
      <c:valAx>
        <c:axId val="131439232"/>
        <c:scaling>
          <c:logBase val="10"/>
          <c:orientation val="minMax"/>
          <c:max val="100"/>
          <c:min val="0.1"/>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I</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Current - A</a:t>
                </a:r>
              </a:p>
            </c:rich>
          </c:tx>
          <c:layout>
            <c:manualLayout>
              <c:xMode val="edge"/>
              <c:yMode val="edge"/>
              <c:x val="2.0103885280763262E-2"/>
              <c:y val="0.21497860712616401"/>
            </c:manualLayout>
          </c:layout>
          <c:overlay val="0"/>
          <c:spPr>
            <a:noFill/>
            <a:ln w="25400">
              <a:noFill/>
            </a:ln>
          </c:spPr>
        </c:title>
        <c:numFmt formatCode="General" sourceLinked="0"/>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31437312"/>
        <c:crosses val="autoZero"/>
        <c:crossBetween val="midCat"/>
      </c:valAx>
      <c:spPr>
        <a:solidFill>
          <a:srgbClr val="FFFFFF"/>
        </a:solidFill>
        <a:ln w="12700">
          <a:solidFill>
            <a:srgbClr val="808080"/>
          </a:solidFill>
          <a:prstDash val="solid"/>
        </a:ln>
      </c:spPr>
    </c:plotArea>
    <c:legend>
      <c:legendPos val="r"/>
      <c:layout>
        <c:manualLayout>
          <c:xMode val="edge"/>
          <c:yMode val="edge"/>
          <c:x val="0.50994825783805042"/>
          <c:y val="2.4282023990083109E-2"/>
          <c:w val="0.47145813152771249"/>
          <c:h val="0.18794475132426872"/>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000000000000233" r="0.750000000000002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I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a:t>I</a:t>
            </a:r>
            <a:r>
              <a:rPr lang="en-US" sz="1600" baseline="-25000"/>
              <a:t>LOAD</a:t>
            </a:r>
            <a:r>
              <a:rPr lang="en-US" sz="1600" baseline="0"/>
              <a:t> and I</a:t>
            </a:r>
            <a:r>
              <a:rPr lang="en-US" sz="1600" baseline="-25000"/>
              <a:t>FET</a:t>
            </a:r>
            <a:r>
              <a:rPr lang="en-US" sz="1600" baseline="0"/>
              <a:t> vs Vout </a:t>
            </a:r>
            <a:r>
              <a:rPr lang="en-US" sz="1600" b="1" i="0" baseline="0">
                <a:effectLst/>
              </a:rPr>
              <a:t>(V</a:t>
            </a:r>
            <a:r>
              <a:rPr lang="en-US" sz="1600" b="1" i="0" baseline="-25000">
                <a:effectLst/>
              </a:rPr>
              <a:t>IN</a:t>
            </a:r>
            <a:r>
              <a:rPr lang="en-US" sz="1600" b="1" i="0" baseline="0">
                <a:effectLst/>
              </a:rPr>
              <a:t> = V</a:t>
            </a:r>
            <a:r>
              <a:rPr lang="en-US" sz="1600" b="1" i="0" baseline="-25000">
                <a:effectLst/>
              </a:rPr>
              <a:t>INMAX</a:t>
            </a:r>
            <a:r>
              <a:rPr lang="en-US" sz="1600" b="1" i="0" baseline="0">
                <a:effectLst/>
              </a:rPr>
              <a:t>)</a:t>
            </a:r>
            <a:r>
              <a:rPr lang="en-US" sz="1600" baseline="0"/>
              <a:t>                                               </a:t>
            </a:r>
            <a:endParaRPr lang="en-US" sz="1600" baseline="-25000"/>
          </a:p>
        </c:rich>
      </c:tx>
      <c:layout>
        <c:manualLayout>
          <c:xMode val="edge"/>
          <c:yMode val="edge"/>
          <c:x val="0.16494063286351637"/>
          <c:y val="3.0591748387251084E-2"/>
        </c:manualLayout>
      </c:layout>
      <c:overlay val="1"/>
      <c:spPr>
        <a:solidFill>
          <a:schemeClr val="bg1"/>
        </a:solidFill>
      </c:spPr>
    </c:title>
    <c:autoTitleDeleted val="0"/>
    <c:plotArea>
      <c:layout>
        <c:manualLayout>
          <c:layoutTarget val="inner"/>
          <c:xMode val="edge"/>
          <c:yMode val="edge"/>
          <c:x val="0.15203109554174482"/>
          <c:y val="0.13835811263066838"/>
          <c:w val="0.76865751103613689"/>
          <c:h val="0.70165890209112658"/>
        </c:manualLayout>
      </c:layout>
      <c:scatterChart>
        <c:scatterStyle val="smoothMarker"/>
        <c:varyColors val="0"/>
        <c:ser>
          <c:idx val="0"/>
          <c:order val="0"/>
          <c:tx>
            <c:strRef>
              <c:f>Start_up!$C$7</c:f>
              <c:strCache>
                <c:ptCount val="1"/>
                <c:pt idx="0">
                  <c:v>ILOAD</c:v>
                </c:pt>
              </c:strCache>
            </c:strRef>
          </c:tx>
          <c:marker>
            <c:symbol val="none"/>
          </c:marker>
          <c:xVal>
            <c:numRef>
              <c:f>Start_up!$B$10:$B$111</c:f>
              <c:numCache>
                <c:formatCode>0.00</c:formatCode>
                <c:ptCount val="102"/>
                <c:pt idx="0">
                  <c:v>0</c:v>
                </c:pt>
                <c:pt idx="1">
                  <c:v>0.51923076923076927</c:v>
                </c:pt>
                <c:pt idx="2">
                  <c:v>1.0384615384615385</c:v>
                </c:pt>
                <c:pt idx="3">
                  <c:v>1.5576923076923077</c:v>
                </c:pt>
                <c:pt idx="4">
                  <c:v>2.0769230769230771</c:v>
                </c:pt>
                <c:pt idx="5">
                  <c:v>2.5961538461538463</c:v>
                </c:pt>
                <c:pt idx="6">
                  <c:v>3.1153846153846154</c:v>
                </c:pt>
                <c:pt idx="7">
                  <c:v>3.6346153846153846</c:v>
                </c:pt>
                <c:pt idx="8">
                  <c:v>4.1538461538461542</c:v>
                </c:pt>
                <c:pt idx="9">
                  <c:v>4.6730769230769234</c:v>
                </c:pt>
                <c:pt idx="10">
                  <c:v>5.1923076923076925</c:v>
                </c:pt>
                <c:pt idx="11">
                  <c:v>5.7115384615384617</c:v>
                </c:pt>
                <c:pt idx="12">
                  <c:v>6.2307692307692308</c:v>
                </c:pt>
                <c:pt idx="13">
                  <c:v>6.75</c:v>
                </c:pt>
                <c:pt idx="14">
                  <c:v>7.2692307692307692</c:v>
                </c:pt>
                <c:pt idx="15">
                  <c:v>7.7884615384615374</c:v>
                </c:pt>
                <c:pt idx="16">
                  <c:v>8.3076923076923084</c:v>
                </c:pt>
                <c:pt idx="17">
                  <c:v>8.8269230769230766</c:v>
                </c:pt>
                <c:pt idx="18">
                  <c:v>9.3461538461538467</c:v>
                </c:pt>
                <c:pt idx="19">
                  <c:v>9.865384615384615</c:v>
                </c:pt>
                <c:pt idx="20">
                  <c:v>10.384615384615385</c:v>
                </c:pt>
                <c:pt idx="21">
                  <c:v>10.903846153846153</c:v>
                </c:pt>
                <c:pt idx="22">
                  <c:v>11.423076923076923</c:v>
                </c:pt>
                <c:pt idx="23">
                  <c:v>11.942307692307692</c:v>
                </c:pt>
                <c:pt idx="24">
                  <c:v>12.461538461538462</c:v>
                </c:pt>
                <c:pt idx="25">
                  <c:v>12.980769230769232</c:v>
                </c:pt>
                <c:pt idx="26">
                  <c:v>13.5</c:v>
                </c:pt>
                <c:pt idx="27">
                  <c:v>14.01923076923077</c:v>
                </c:pt>
                <c:pt idx="28">
                  <c:v>14.538461538461538</c:v>
                </c:pt>
                <c:pt idx="29">
                  <c:v>15.057692307692308</c:v>
                </c:pt>
                <c:pt idx="30">
                  <c:v>15.576923076923075</c:v>
                </c:pt>
                <c:pt idx="31">
                  <c:v>16.096153846153847</c:v>
                </c:pt>
                <c:pt idx="32">
                  <c:v>16.615384615384617</c:v>
                </c:pt>
                <c:pt idx="33">
                  <c:v>17.134615384615383</c:v>
                </c:pt>
                <c:pt idx="34">
                  <c:v>17.653846153846153</c:v>
                </c:pt>
                <c:pt idx="35">
                  <c:v>18.173076923076923</c:v>
                </c:pt>
                <c:pt idx="36">
                  <c:v>18.692307692307693</c:v>
                </c:pt>
                <c:pt idx="37">
                  <c:v>19.211538461538463</c:v>
                </c:pt>
                <c:pt idx="38">
                  <c:v>19.73076923076923</c:v>
                </c:pt>
                <c:pt idx="39">
                  <c:v>20.25</c:v>
                </c:pt>
                <c:pt idx="40">
                  <c:v>20.76923076923077</c:v>
                </c:pt>
                <c:pt idx="41">
                  <c:v>21.288461538461537</c:v>
                </c:pt>
                <c:pt idx="42">
                  <c:v>21.807692307692307</c:v>
                </c:pt>
                <c:pt idx="43">
                  <c:v>22.326923076923077</c:v>
                </c:pt>
                <c:pt idx="44">
                  <c:v>22.846153846153847</c:v>
                </c:pt>
                <c:pt idx="45">
                  <c:v>23.365384615384617</c:v>
                </c:pt>
                <c:pt idx="46">
                  <c:v>23.884615384615383</c:v>
                </c:pt>
                <c:pt idx="47">
                  <c:v>24.403846153846153</c:v>
                </c:pt>
                <c:pt idx="48">
                  <c:v>24.923076923076923</c:v>
                </c:pt>
                <c:pt idx="49">
                  <c:v>25.442307692307693</c:v>
                </c:pt>
                <c:pt idx="50">
                  <c:v>25.961538461538463</c:v>
                </c:pt>
                <c:pt idx="51">
                  <c:v>26.48076923076923</c:v>
                </c:pt>
                <c:pt idx="52">
                  <c:v>27</c:v>
                </c:pt>
                <c:pt idx="53">
                  <c:v>27.519230769230766</c:v>
                </c:pt>
                <c:pt idx="54">
                  <c:v>28.03846153846154</c:v>
                </c:pt>
                <c:pt idx="55">
                  <c:v>28.557692307692307</c:v>
                </c:pt>
                <c:pt idx="56">
                  <c:v>29.076923076923077</c:v>
                </c:pt>
                <c:pt idx="57">
                  <c:v>29.59615384615385</c:v>
                </c:pt>
                <c:pt idx="58">
                  <c:v>30.115384615384617</c:v>
                </c:pt>
                <c:pt idx="59">
                  <c:v>30.634615384615383</c:v>
                </c:pt>
                <c:pt idx="60">
                  <c:v>31.15384615384615</c:v>
                </c:pt>
                <c:pt idx="61">
                  <c:v>31.673076923076923</c:v>
                </c:pt>
                <c:pt idx="62">
                  <c:v>32.192307692307693</c:v>
                </c:pt>
                <c:pt idx="63">
                  <c:v>32.71153846153846</c:v>
                </c:pt>
                <c:pt idx="64">
                  <c:v>33.230769230769234</c:v>
                </c:pt>
                <c:pt idx="65">
                  <c:v>33.75</c:v>
                </c:pt>
                <c:pt idx="66">
                  <c:v>34.269230769230766</c:v>
                </c:pt>
                <c:pt idx="67">
                  <c:v>34.78846153846154</c:v>
                </c:pt>
                <c:pt idx="68">
                  <c:v>35.307692307692307</c:v>
                </c:pt>
                <c:pt idx="69">
                  <c:v>35.826923076923073</c:v>
                </c:pt>
                <c:pt idx="70">
                  <c:v>36.346153846153847</c:v>
                </c:pt>
                <c:pt idx="71">
                  <c:v>36.865384615384613</c:v>
                </c:pt>
                <c:pt idx="72">
                  <c:v>37.384615384615387</c:v>
                </c:pt>
                <c:pt idx="73">
                  <c:v>37.903846153846153</c:v>
                </c:pt>
                <c:pt idx="74">
                  <c:v>38.423076923076927</c:v>
                </c:pt>
                <c:pt idx="75">
                  <c:v>38.942307692307693</c:v>
                </c:pt>
                <c:pt idx="76">
                  <c:v>39.46153846153846</c:v>
                </c:pt>
                <c:pt idx="77">
                  <c:v>39.980769230769234</c:v>
                </c:pt>
                <c:pt idx="78">
                  <c:v>40.5</c:v>
                </c:pt>
                <c:pt idx="79">
                  <c:v>41.019230769230766</c:v>
                </c:pt>
                <c:pt idx="80">
                  <c:v>41.53846153846154</c:v>
                </c:pt>
                <c:pt idx="81">
                  <c:v>42.057692307692307</c:v>
                </c:pt>
                <c:pt idx="82">
                  <c:v>42.576923076923073</c:v>
                </c:pt>
                <c:pt idx="83">
                  <c:v>43.096153846153847</c:v>
                </c:pt>
                <c:pt idx="84">
                  <c:v>43.615384615384613</c:v>
                </c:pt>
                <c:pt idx="85">
                  <c:v>44.134615384615387</c:v>
                </c:pt>
                <c:pt idx="86">
                  <c:v>44.653846153846153</c:v>
                </c:pt>
                <c:pt idx="87">
                  <c:v>45.173076923076927</c:v>
                </c:pt>
                <c:pt idx="88">
                  <c:v>45.692307692307693</c:v>
                </c:pt>
                <c:pt idx="89">
                  <c:v>46.21153846153846</c:v>
                </c:pt>
                <c:pt idx="90">
                  <c:v>46.730769230769234</c:v>
                </c:pt>
                <c:pt idx="91">
                  <c:v>47.25</c:v>
                </c:pt>
                <c:pt idx="92">
                  <c:v>47.769230769230766</c:v>
                </c:pt>
                <c:pt idx="93">
                  <c:v>48.28846153846154</c:v>
                </c:pt>
                <c:pt idx="94">
                  <c:v>48.807692307692307</c:v>
                </c:pt>
                <c:pt idx="95">
                  <c:v>49.326923076923073</c:v>
                </c:pt>
                <c:pt idx="96">
                  <c:v>49.846153846153847</c:v>
                </c:pt>
                <c:pt idx="97">
                  <c:v>50.365384615384613</c:v>
                </c:pt>
                <c:pt idx="98">
                  <c:v>50.884615384615387</c:v>
                </c:pt>
                <c:pt idx="99">
                  <c:v>51.403846153846153</c:v>
                </c:pt>
                <c:pt idx="100">
                  <c:v>51.923076923076927</c:v>
                </c:pt>
                <c:pt idx="101">
                  <c:v>52.442307692307693</c:v>
                </c:pt>
              </c:numCache>
            </c:numRef>
          </c:xVal>
          <c:yVal>
            <c:numRef>
              <c:f>Start_up!$C$10:$C$111</c:f>
              <c:numCache>
                <c:formatCode>0.000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8">
                  <c:v>1</c:v>
                </c:pt>
                <c:pt idx="79">
                  <c:v>1</c:v>
                </c:pt>
                <c:pt idx="80">
                  <c:v>1</c:v>
                </c:pt>
                <c:pt idx="81">
                  <c:v>1</c:v>
                </c:pt>
                <c:pt idx="82">
                  <c:v>1</c:v>
                </c:pt>
                <c:pt idx="83">
                  <c:v>1</c:v>
                </c:pt>
                <c:pt idx="84">
                  <c:v>1</c:v>
                </c:pt>
                <c:pt idx="85">
                  <c:v>1</c:v>
                </c:pt>
                <c:pt idx="86">
                  <c:v>1</c:v>
                </c:pt>
                <c:pt idx="87">
                  <c:v>1</c:v>
                </c:pt>
                <c:pt idx="88">
                  <c:v>1</c:v>
                </c:pt>
                <c:pt idx="89">
                  <c:v>1</c:v>
                </c:pt>
                <c:pt idx="90">
                  <c:v>1</c:v>
                </c:pt>
                <c:pt idx="91">
                  <c:v>1</c:v>
                </c:pt>
                <c:pt idx="92">
                  <c:v>1</c:v>
                </c:pt>
                <c:pt idx="93">
                  <c:v>1</c:v>
                </c:pt>
                <c:pt idx="94">
                  <c:v>1</c:v>
                </c:pt>
                <c:pt idx="95">
                  <c:v>1</c:v>
                </c:pt>
                <c:pt idx="96">
                  <c:v>1</c:v>
                </c:pt>
                <c:pt idx="97">
                  <c:v>1</c:v>
                </c:pt>
                <c:pt idx="98">
                  <c:v>1</c:v>
                </c:pt>
                <c:pt idx="99">
                  <c:v>1</c:v>
                </c:pt>
                <c:pt idx="100">
                  <c:v>1</c:v>
                </c:pt>
                <c:pt idx="101">
                  <c:v>1</c:v>
                </c:pt>
              </c:numCache>
            </c:numRef>
          </c:yVal>
          <c:smooth val="1"/>
        </c:ser>
        <c:ser>
          <c:idx val="1"/>
          <c:order val="1"/>
          <c:tx>
            <c:strRef>
              <c:f>Start_up!$G$7</c:f>
              <c:strCache>
                <c:ptCount val="1"/>
                <c:pt idx="0">
                  <c:v>IFET</c:v>
                </c:pt>
              </c:strCache>
            </c:strRef>
          </c:tx>
          <c:marker>
            <c:symbol val="none"/>
          </c:marker>
          <c:xVal>
            <c:numRef>
              <c:f>Start_up!$B$10:$B$111</c:f>
              <c:numCache>
                <c:formatCode>0.00</c:formatCode>
                <c:ptCount val="102"/>
                <c:pt idx="0">
                  <c:v>0</c:v>
                </c:pt>
                <c:pt idx="1">
                  <c:v>0.51923076923076927</c:v>
                </c:pt>
                <c:pt idx="2">
                  <c:v>1.0384615384615385</c:v>
                </c:pt>
                <c:pt idx="3">
                  <c:v>1.5576923076923077</c:v>
                </c:pt>
                <c:pt idx="4">
                  <c:v>2.0769230769230771</c:v>
                </c:pt>
                <c:pt idx="5">
                  <c:v>2.5961538461538463</c:v>
                </c:pt>
                <c:pt idx="6">
                  <c:v>3.1153846153846154</c:v>
                </c:pt>
                <c:pt idx="7">
                  <c:v>3.6346153846153846</c:v>
                </c:pt>
                <c:pt idx="8">
                  <c:v>4.1538461538461542</c:v>
                </c:pt>
                <c:pt idx="9">
                  <c:v>4.6730769230769234</c:v>
                </c:pt>
                <c:pt idx="10">
                  <c:v>5.1923076923076925</c:v>
                </c:pt>
                <c:pt idx="11">
                  <c:v>5.7115384615384617</c:v>
                </c:pt>
                <c:pt idx="12">
                  <c:v>6.2307692307692308</c:v>
                </c:pt>
                <c:pt idx="13">
                  <c:v>6.75</c:v>
                </c:pt>
                <c:pt idx="14">
                  <c:v>7.2692307692307692</c:v>
                </c:pt>
                <c:pt idx="15">
                  <c:v>7.7884615384615374</c:v>
                </c:pt>
                <c:pt idx="16">
                  <c:v>8.3076923076923084</c:v>
                </c:pt>
                <c:pt idx="17">
                  <c:v>8.8269230769230766</c:v>
                </c:pt>
                <c:pt idx="18">
                  <c:v>9.3461538461538467</c:v>
                </c:pt>
                <c:pt idx="19">
                  <c:v>9.865384615384615</c:v>
                </c:pt>
                <c:pt idx="20">
                  <c:v>10.384615384615385</c:v>
                </c:pt>
                <c:pt idx="21">
                  <c:v>10.903846153846153</c:v>
                </c:pt>
                <c:pt idx="22">
                  <c:v>11.423076923076923</c:v>
                </c:pt>
                <c:pt idx="23">
                  <c:v>11.942307692307692</c:v>
                </c:pt>
                <c:pt idx="24">
                  <c:v>12.461538461538462</c:v>
                </c:pt>
                <c:pt idx="25">
                  <c:v>12.980769230769232</c:v>
                </c:pt>
                <c:pt idx="26">
                  <c:v>13.5</c:v>
                </c:pt>
                <c:pt idx="27">
                  <c:v>14.01923076923077</c:v>
                </c:pt>
                <c:pt idx="28">
                  <c:v>14.538461538461538</c:v>
                </c:pt>
                <c:pt idx="29">
                  <c:v>15.057692307692308</c:v>
                </c:pt>
                <c:pt idx="30">
                  <c:v>15.576923076923075</c:v>
                </c:pt>
                <c:pt idx="31">
                  <c:v>16.096153846153847</c:v>
                </c:pt>
                <c:pt idx="32">
                  <c:v>16.615384615384617</c:v>
                </c:pt>
                <c:pt idx="33">
                  <c:v>17.134615384615383</c:v>
                </c:pt>
                <c:pt idx="34">
                  <c:v>17.653846153846153</c:v>
                </c:pt>
                <c:pt idx="35">
                  <c:v>18.173076923076923</c:v>
                </c:pt>
                <c:pt idx="36">
                  <c:v>18.692307692307693</c:v>
                </c:pt>
                <c:pt idx="37">
                  <c:v>19.211538461538463</c:v>
                </c:pt>
                <c:pt idx="38">
                  <c:v>19.73076923076923</c:v>
                </c:pt>
                <c:pt idx="39">
                  <c:v>20.25</c:v>
                </c:pt>
                <c:pt idx="40">
                  <c:v>20.76923076923077</c:v>
                </c:pt>
                <c:pt idx="41">
                  <c:v>21.288461538461537</c:v>
                </c:pt>
                <c:pt idx="42">
                  <c:v>21.807692307692307</c:v>
                </c:pt>
                <c:pt idx="43">
                  <c:v>22.326923076923077</c:v>
                </c:pt>
                <c:pt idx="44">
                  <c:v>22.846153846153847</c:v>
                </c:pt>
                <c:pt idx="45">
                  <c:v>23.365384615384617</c:v>
                </c:pt>
                <c:pt idx="46">
                  <c:v>23.884615384615383</c:v>
                </c:pt>
                <c:pt idx="47">
                  <c:v>24.403846153846153</c:v>
                </c:pt>
                <c:pt idx="48">
                  <c:v>24.923076923076923</c:v>
                </c:pt>
                <c:pt idx="49">
                  <c:v>25.442307692307693</c:v>
                </c:pt>
                <c:pt idx="50">
                  <c:v>25.961538461538463</c:v>
                </c:pt>
                <c:pt idx="51">
                  <c:v>26.48076923076923</c:v>
                </c:pt>
                <c:pt idx="52">
                  <c:v>27</c:v>
                </c:pt>
                <c:pt idx="53">
                  <c:v>27.519230769230766</c:v>
                </c:pt>
                <c:pt idx="54">
                  <c:v>28.03846153846154</c:v>
                </c:pt>
                <c:pt idx="55">
                  <c:v>28.557692307692307</c:v>
                </c:pt>
                <c:pt idx="56">
                  <c:v>29.076923076923077</c:v>
                </c:pt>
                <c:pt idx="57">
                  <c:v>29.59615384615385</c:v>
                </c:pt>
                <c:pt idx="58">
                  <c:v>30.115384615384617</c:v>
                </c:pt>
                <c:pt idx="59">
                  <c:v>30.634615384615383</c:v>
                </c:pt>
                <c:pt idx="60">
                  <c:v>31.15384615384615</c:v>
                </c:pt>
                <c:pt idx="61">
                  <c:v>31.673076923076923</c:v>
                </c:pt>
                <c:pt idx="62">
                  <c:v>32.192307692307693</c:v>
                </c:pt>
                <c:pt idx="63">
                  <c:v>32.71153846153846</c:v>
                </c:pt>
                <c:pt idx="64">
                  <c:v>33.230769230769234</c:v>
                </c:pt>
                <c:pt idx="65">
                  <c:v>33.75</c:v>
                </c:pt>
                <c:pt idx="66">
                  <c:v>34.269230769230766</c:v>
                </c:pt>
                <c:pt idx="67">
                  <c:v>34.78846153846154</c:v>
                </c:pt>
                <c:pt idx="68">
                  <c:v>35.307692307692307</c:v>
                </c:pt>
                <c:pt idx="69">
                  <c:v>35.826923076923073</c:v>
                </c:pt>
                <c:pt idx="70">
                  <c:v>36.346153846153847</c:v>
                </c:pt>
                <c:pt idx="71">
                  <c:v>36.865384615384613</c:v>
                </c:pt>
                <c:pt idx="72">
                  <c:v>37.384615384615387</c:v>
                </c:pt>
                <c:pt idx="73">
                  <c:v>37.903846153846153</c:v>
                </c:pt>
                <c:pt idx="74">
                  <c:v>38.423076923076927</c:v>
                </c:pt>
                <c:pt idx="75">
                  <c:v>38.942307692307693</c:v>
                </c:pt>
                <c:pt idx="76">
                  <c:v>39.46153846153846</c:v>
                </c:pt>
                <c:pt idx="77">
                  <c:v>39.980769230769234</c:v>
                </c:pt>
                <c:pt idx="78">
                  <c:v>40.5</c:v>
                </c:pt>
                <c:pt idx="79">
                  <c:v>41.019230769230766</c:v>
                </c:pt>
                <c:pt idx="80">
                  <c:v>41.53846153846154</c:v>
                </c:pt>
                <c:pt idx="81">
                  <c:v>42.057692307692307</c:v>
                </c:pt>
                <c:pt idx="82">
                  <c:v>42.576923076923073</c:v>
                </c:pt>
                <c:pt idx="83">
                  <c:v>43.096153846153847</c:v>
                </c:pt>
                <c:pt idx="84">
                  <c:v>43.615384615384613</c:v>
                </c:pt>
                <c:pt idx="85">
                  <c:v>44.134615384615387</c:v>
                </c:pt>
                <c:pt idx="86">
                  <c:v>44.653846153846153</c:v>
                </c:pt>
                <c:pt idx="87">
                  <c:v>45.173076923076927</c:v>
                </c:pt>
                <c:pt idx="88">
                  <c:v>45.692307692307693</c:v>
                </c:pt>
                <c:pt idx="89">
                  <c:v>46.21153846153846</c:v>
                </c:pt>
                <c:pt idx="90">
                  <c:v>46.730769230769234</c:v>
                </c:pt>
                <c:pt idx="91">
                  <c:v>47.25</c:v>
                </c:pt>
                <c:pt idx="92">
                  <c:v>47.769230769230766</c:v>
                </c:pt>
                <c:pt idx="93">
                  <c:v>48.28846153846154</c:v>
                </c:pt>
                <c:pt idx="94">
                  <c:v>48.807692307692307</c:v>
                </c:pt>
                <c:pt idx="95">
                  <c:v>49.326923076923073</c:v>
                </c:pt>
                <c:pt idx="96">
                  <c:v>49.846153846153847</c:v>
                </c:pt>
                <c:pt idx="97">
                  <c:v>50.365384615384613</c:v>
                </c:pt>
                <c:pt idx="98">
                  <c:v>50.884615384615387</c:v>
                </c:pt>
                <c:pt idx="99">
                  <c:v>51.403846153846153</c:v>
                </c:pt>
                <c:pt idx="100">
                  <c:v>51.923076923076927</c:v>
                </c:pt>
                <c:pt idx="101">
                  <c:v>52.442307692307693</c:v>
                </c:pt>
              </c:numCache>
            </c:numRef>
          </c:xVal>
          <c:yVal>
            <c:numRef>
              <c:f>Start_up!$G$10:$G$112</c:f>
              <c:numCache>
                <c:formatCode>General</c:formatCode>
                <c:ptCount val="103"/>
                <c:pt idx="0">
                  <c:v>1.76</c:v>
                </c:pt>
                <c:pt idx="1">
                  <c:v>1.76</c:v>
                </c:pt>
                <c:pt idx="2">
                  <c:v>1.76</c:v>
                </c:pt>
                <c:pt idx="3">
                  <c:v>1.76</c:v>
                </c:pt>
                <c:pt idx="4">
                  <c:v>1.76</c:v>
                </c:pt>
                <c:pt idx="5">
                  <c:v>1.76</c:v>
                </c:pt>
                <c:pt idx="6">
                  <c:v>1.76</c:v>
                </c:pt>
                <c:pt idx="7">
                  <c:v>1.76</c:v>
                </c:pt>
                <c:pt idx="8">
                  <c:v>1.76</c:v>
                </c:pt>
                <c:pt idx="9">
                  <c:v>1.76</c:v>
                </c:pt>
                <c:pt idx="10">
                  <c:v>1.76</c:v>
                </c:pt>
                <c:pt idx="11">
                  <c:v>1.76</c:v>
                </c:pt>
                <c:pt idx="12">
                  <c:v>1.76</c:v>
                </c:pt>
                <c:pt idx="13">
                  <c:v>1.76</c:v>
                </c:pt>
                <c:pt idx="14">
                  <c:v>1.76</c:v>
                </c:pt>
                <c:pt idx="15">
                  <c:v>1.76</c:v>
                </c:pt>
                <c:pt idx="16">
                  <c:v>1.76</c:v>
                </c:pt>
                <c:pt idx="17">
                  <c:v>1.76</c:v>
                </c:pt>
                <c:pt idx="18">
                  <c:v>1.76</c:v>
                </c:pt>
                <c:pt idx="19">
                  <c:v>1.76</c:v>
                </c:pt>
                <c:pt idx="20">
                  <c:v>1.76</c:v>
                </c:pt>
                <c:pt idx="21">
                  <c:v>1.76</c:v>
                </c:pt>
                <c:pt idx="22">
                  <c:v>1.76</c:v>
                </c:pt>
                <c:pt idx="23">
                  <c:v>1.76</c:v>
                </c:pt>
                <c:pt idx="24">
                  <c:v>2.76</c:v>
                </c:pt>
                <c:pt idx="25">
                  <c:v>2.76</c:v>
                </c:pt>
                <c:pt idx="26">
                  <c:v>2.76</c:v>
                </c:pt>
                <c:pt idx="27">
                  <c:v>2.76</c:v>
                </c:pt>
                <c:pt idx="28">
                  <c:v>2.76</c:v>
                </c:pt>
                <c:pt idx="29">
                  <c:v>2.76</c:v>
                </c:pt>
                <c:pt idx="30">
                  <c:v>2.76</c:v>
                </c:pt>
                <c:pt idx="31">
                  <c:v>2.76</c:v>
                </c:pt>
                <c:pt idx="32">
                  <c:v>2.76</c:v>
                </c:pt>
                <c:pt idx="33">
                  <c:v>2.76</c:v>
                </c:pt>
                <c:pt idx="34">
                  <c:v>2.76</c:v>
                </c:pt>
                <c:pt idx="35">
                  <c:v>2.76</c:v>
                </c:pt>
                <c:pt idx="36">
                  <c:v>2.76</c:v>
                </c:pt>
                <c:pt idx="37">
                  <c:v>2.76</c:v>
                </c:pt>
                <c:pt idx="38">
                  <c:v>2.76</c:v>
                </c:pt>
                <c:pt idx="39">
                  <c:v>2.76</c:v>
                </c:pt>
                <c:pt idx="40">
                  <c:v>2.76</c:v>
                </c:pt>
                <c:pt idx="41">
                  <c:v>2.76</c:v>
                </c:pt>
                <c:pt idx="42">
                  <c:v>2.76</c:v>
                </c:pt>
                <c:pt idx="43">
                  <c:v>2.76</c:v>
                </c:pt>
                <c:pt idx="44">
                  <c:v>2.76</c:v>
                </c:pt>
                <c:pt idx="45">
                  <c:v>2.76</c:v>
                </c:pt>
                <c:pt idx="46">
                  <c:v>2.76</c:v>
                </c:pt>
                <c:pt idx="47">
                  <c:v>2.76</c:v>
                </c:pt>
                <c:pt idx="48">
                  <c:v>2.76</c:v>
                </c:pt>
                <c:pt idx="49">
                  <c:v>2.76</c:v>
                </c:pt>
                <c:pt idx="50">
                  <c:v>2.76</c:v>
                </c:pt>
                <c:pt idx="51">
                  <c:v>2.76</c:v>
                </c:pt>
                <c:pt idx="52">
                  <c:v>2.76</c:v>
                </c:pt>
                <c:pt idx="53">
                  <c:v>2.76</c:v>
                </c:pt>
                <c:pt idx="54">
                  <c:v>2.76</c:v>
                </c:pt>
                <c:pt idx="55">
                  <c:v>2.76</c:v>
                </c:pt>
                <c:pt idx="56">
                  <c:v>2.76</c:v>
                </c:pt>
                <c:pt idx="57">
                  <c:v>2.76</c:v>
                </c:pt>
                <c:pt idx="58">
                  <c:v>2.76</c:v>
                </c:pt>
                <c:pt idx="59">
                  <c:v>2.76</c:v>
                </c:pt>
                <c:pt idx="60">
                  <c:v>2.76</c:v>
                </c:pt>
                <c:pt idx="61">
                  <c:v>2.76</c:v>
                </c:pt>
                <c:pt idx="62">
                  <c:v>2.76</c:v>
                </c:pt>
                <c:pt idx="63">
                  <c:v>2.76</c:v>
                </c:pt>
                <c:pt idx="64">
                  <c:v>2.76</c:v>
                </c:pt>
                <c:pt idx="65">
                  <c:v>2.76</c:v>
                </c:pt>
                <c:pt idx="66">
                  <c:v>2.76</c:v>
                </c:pt>
                <c:pt idx="67">
                  <c:v>2.76</c:v>
                </c:pt>
                <c:pt idx="68">
                  <c:v>2.76</c:v>
                </c:pt>
                <c:pt idx="69">
                  <c:v>2.76</c:v>
                </c:pt>
                <c:pt idx="70">
                  <c:v>2.76</c:v>
                </c:pt>
                <c:pt idx="71">
                  <c:v>2.76</c:v>
                </c:pt>
                <c:pt idx="72">
                  <c:v>2.76</c:v>
                </c:pt>
                <c:pt idx="73">
                  <c:v>2.76</c:v>
                </c:pt>
                <c:pt idx="74">
                  <c:v>2.76</c:v>
                </c:pt>
                <c:pt idx="75">
                  <c:v>2.76</c:v>
                </c:pt>
                <c:pt idx="76">
                  <c:v>2.76</c:v>
                </c:pt>
                <c:pt idx="77">
                  <c:v>2.76</c:v>
                </c:pt>
                <c:pt idx="78">
                  <c:v>2.76</c:v>
                </c:pt>
                <c:pt idx="79">
                  <c:v>2.76</c:v>
                </c:pt>
                <c:pt idx="80">
                  <c:v>2.76</c:v>
                </c:pt>
                <c:pt idx="81">
                  <c:v>2.76</c:v>
                </c:pt>
                <c:pt idx="82">
                  <c:v>2.76</c:v>
                </c:pt>
                <c:pt idx="83">
                  <c:v>2.76</c:v>
                </c:pt>
                <c:pt idx="84">
                  <c:v>2.76</c:v>
                </c:pt>
                <c:pt idx="85">
                  <c:v>2.76</c:v>
                </c:pt>
                <c:pt idx="86">
                  <c:v>2.76</c:v>
                </c:pt>
                <c:pt idx="87">
                  <c:v>2.76</c:v>
                </c:pt>
                <c:pt idx="88">
                  <c:v>2.76</c:v>
                </c:pt>
                <c:pt idx="89">
                  <c:v>2.76</c:v>
                </c:pt>
                <c:pt idx="90">
                  <c:v>2.76</c:v>
                </c:pt>
                <c:pt idx="91">
                  <c:v>2.76</c:v>
                </c:pt>
                <c:pt idx="92">
                  <c:v>2.76</c:v>
                </c:pt>
                <c:pt idx="93">
                  <c:v>2.76</c:v>
                </c:pt>
                <c:pt idx="94">
                  <c:v>2.76</c:v>
                </c:pt>
                <c:pt idx="95">
                  <c:v>2.76</c:v>
                </c:pt>
                <c:pt idx="96">
                  <c:v>2.76</c:v>
                </c:pt>
                <c:pt idx="97">
                  <c:v>2.76</c:v>
                </c:pt>
                <c:pt idx="98">
                  <c:v>2.76</c:v>
                </c:pt>
                <c:pt idx="99">
                  <c:v>2.76</c:v>
                </c:pt>
                <c:pt idx="100">
                  <c:v>2.76</c:v>
                </c:pt>
                <c:pt idx="101">
                  <c:v>2.76</c:v>
                </c:pt>
                <c:pt idx="102">
                  <c:v>2.76</c:v>
                </c:pt>
              </c:numCache>
            </c:numRef>
          </c:yVal>
          <c:smooth val="1"/>
        </c:ser>
        <c:dLbls>
          <c:showLegendKey val="0"/>
          <c:showVal val="0"/>
          <c:showCatName val="0"/>
          <c:showSerName val="0"/>
          <c:showPercent val="0"/>
          <c:showBubbleSize val="0"/>
        </c:dLbls>
        <c:axId val="133447040"/>
        <c:axId val="133457408"/>
      </c:scatterChart>
      <c:valAx>
        <c:axId val="133447040"/>
        <c:scaling>
          <c:orientation val="minMax"/>
        </c:scaling>
        <c:delete val="0"/>
        <c:axPos val="b"/>
        <c:majorGridlines/>
        <c:minorGridlines/>
        <c:title>
          <c:tx>
            <c:rich>
              <a:bodyPr/>
              <a:lstStyle/>
              <a:p>
                <a:pPr>
                  <a:defRPr/>
                </a:pPr>
                <a:r>
                  <a:rPr lang="en-US"/>
                  <a:t>Output</a:t>
                </a:r>
                <a:r>
                  <a:rPr lang="en-US" baseline="0"/>
                  <a:t> Voltage (V)</a:t>
                </a:r>
                <a:endParaRPr lang="en-US"/>
              </a:p>
            </c:rich>
          </c:tx>
          <c:layout>
            <c:manualLayout>
              <c:xMode val="edge"/>
              <c:yMode val="edge"/>
              <c:x val="0.40914479681091759"/>
              <c:y val="0.92545001031614371"/>
            </c:manualLayout>
          </c:layout>
          <c:overlay val="0"/>
        </c:title>
        <c:numFmt formatCode="0.0" sourceLinked="0"/>
        <c:majorTickMark val="out"/>
        <c:minorTickMark val="none"/>
        <c:tickLblPos val="nextTo"/>
        <c:txPr>
          <a:bodyPr/>
          <a:lstStyle/>
          <a:p>
            <a:pPr>
              <a:defRPr b="1"/>
            </a:pPr>
            <a:endParaRPr lang="en-US"/>
          </a:p>
        </c:txPr>
        <c:crossAx val="133457408"/>
        <c:crosses val="autoZero"/>
        <c:crossBetween val="midCat"/>
      </c:valAx>
      <c:valAx>
        <c:axId val="133457408"/>
        <c:scaling>
          <c:orientation val="minMax"/>
        </c:scaling>
        <c:delete val="0"/>
        <c:axPos val="l"/>
        <c:majorGridlines/>
        <c:minorGridlines/>
        <c:title>
          <c:tx>
            <c:rich>
              <a:bodyPr rot="-5400000" vert="horz"/>
              <a:lstStyle/>
              <a:p>
                <a:pPr>
                  <a:defRPr/>
                </a:pPr>
                <a:r>
                  <a:rPr lang="en-US"/>
                  <a:t>Current (A)</a:t>
                </a:r>
              </a:p>
            </c:rich>
          </c:tx>
          <c:layout>
            <c:manualLayout>
              <c:xMode val="edge"/>
              <c:yMode val="edge"/>
              <c:x val="2.2822940901788977E-2"/>
              <c:y val="0.40230001943237698"/>
            </c:manualLayout>
          </c:layout>
          <c:overlay val="0"/>
        </c:title>
        <c:numFmt formatCode="0.00" sourceLinked="0"/>
        <c:majorTickMark val="out"/>
        <c:minorTickMark val="none"/>
        <c:tickLblPos val="nextTo"/>
        <c:txPr>
          <a:bodyPr/>
          <a:lstStyle/>
          <a:p>
            <a:pPr>
              <a:defRPr b="1"/>
            </a:pPr>
            <a:endParaRPr lang="en-US"/>
          </a:p>
        </c:txPr>
        <c:crossAx val="133447040"/>
        <c:crosses val="autoZero"/>
        <c:crossBetween val="midCat"/>
      </c:valAx>
    </c:plotArea>
    <c:legend>
      <c:legendPos val="r"/>
      <c:layout>
        <c:manualLayout>
          <c:xMode val="edge"/>
          <c:yMode val="edge"/>
          <c:x val="0.20097942842412428"/>
          <c:y val="0.16726500821758991"/>
          <c:w val="0.21462230092985587"/>
          <c:h val="0.18516649249275954"/>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en-US"/>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I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a:t>Start</a:t>
            </a:r>
            <a:r>
              <a:rPr lang="en-US" sz="1600" baseline="0"/>
              <a:t> - up: </a:t>
            </a:r>
            <a:r>
              <a:rPr lang="en-US" sz="1600"/>
              <a:t>FET</a:t>
            </a:r>
            <a:r>
              <a:rPr lang="en-US" sz="1600" baseline="0"/>
              <a:t> Power (</a:t>
            </a:r>
            <a:r>
              <a:rPr lang="en-US" sz="1600" b="1" i="0" u="none" strike="noStrike" baseline="0">
                <a:effectLst/>
              </a:rPr>
              <a:t>V</a:t>
            </a:r>
            <a:r>
              <a:rPr lang="en-US" sz="1600" b="1" i="0" u="none" strike="noStrike" baseline="-25000">
                <a:effectLst/>
              </a:rPr>
              <a:t>IN</a:t>
            </a:r>
            <a:r>
              <a:rPr lang="en-US" sz="1600" b="1" i="0" u="none" strike="noStrike" baseline="0">
                <a:effectLst/>
              </a:rPr>
              <a:t> = </a:t>
            </a:r>
            <a:r>
              <a:rPr lang="en-US" sz="1600" b="1" i="0" baseline="0">
                <a:effectLst/>
              </a:rPr>
              <a:t>V</a:t>
            </a:r>
            <a:r>
              <a:rPr lang="en-US" sz="1600" b="1" i="0" baseline="-25000">
                <a:effectLst/>
              </a:rPr>
              <a:t>INMAX</a:t>
            </a:r>
            <a:r>
              <a:rPr lang="en-US" sz="1600" b="1" i="0" u="none" strike="noStrike" baseline="0">
                <a:effectLst/>
              </a:rPr>
              <a:t>)</a:t>
            </a:r>
            <a:endParaRPr lang="en-US" sz="1600"/>
          </a:p>
        </c:rich>
      </c:tx>
      <c:layout>
        <c:manualLayout>
          <c:xMode val="edge"/>
          <c:yMode val="edge"/>
          <c:x val="0.19627129299304633"/>
          <c:y val="4.7011518577863782E-3"/>
        </c:manualLayout>
      </c:layout>
      <c:overlay val="0"/>
      <c:spPr>
        <a:solidFill>
          <a:schemeClr val="bg1"/>
        </a:solidFill>
      </c:spPr>
    </c:title>
    <c:autoTitleDeleted val="0"/>
    <c:plotArea>
      <c:layout>
        <c:manualLayout>
          <c:layoutTarget val="inner"/>
          <c:xMode val="edge"/>
          <c:yMode val="edge"/>
          <c:x val="0.13897705213713227"/>
          <c:y val="8.0967958803185414E-2"/>
          <c:w val="0.7676811886700865"/>
          <c:h val="0.71875545525738083"/>
        </c:manualLayout>
      </c:layout>
      <c:scatterChart>
        <c:scatterStyle val="lineMarker"/>
        <c:varyColors val="0"/>
        <c:ser>
          <c:idx val="0"/>
          <c:order val="0"/>
          <c:tx>
            <c:v>FET power dissipation</c:v>
          </c:tx>
          <c:marker>
            <c:symbol val="none"/>
          </c:marker>
          <c:xVal>
            <c:numRef>
              <c:f>Start_up!$K$8:$K$115</c:f>
              <c:numCache>
                <c:formatCode>0.00</c:formatCode>
                <c:ptCount val="108"/>
                <c:pt idx="0" formatCode="0.0">
                  <c:v>-10</c:v>
                </c:pt>
                <c:pt idx="1">
                  <c:v>-0.01</c:v>
                </c:pt>
                <c:pt idx="2" formatCode="0.0">
                  <c:v>0</c:v>
                </c:pt>
                <c:pt idx="3" formatCode="0.0">
                  <c:v>0.59003496503496511</c:v>
                </c:pt>
                <c:pt idx="4" formatCode="0.0">
                  <c:v>1.1800699300699302</c:v>
                </c:pt>
                <c:pt idx="5" formatCode="0.0">
                  <c:v>1.7701048951048954</c:v>
                </c:pt>
                <c:pt idx="6" formatCode="0.0">
                  <c:v>2.3601398601398604</c:v>
                </c:pt>
                <c:pt idx="7" formatCode="0.0">
                  <c:v>2.9501748251748259</c:v>
                </c:pt>
                <c:pt idx="8" formatCode="0.0">
                  <c:v>3.5402097902097909</c:v>
                </c:pt>
                <c:pt idx="9" formatCode="0.0">
                  <c:v>4.1302447552447559</c:v>
                </c:pt>
                <c:pt idx="10" formatCode="0.0">
                  <c:v>4.7202797202797209</c:v>
                </c:pt>
                <c:pt idx="11" formatCode="0.0">
                  <c:v>5.3103146853146859</c:v>
                </c:pt>
                <c:pt idx="12" formatCode="0.0">
                  <c:v>5.9003496503496509</c:v>
                </c:pt>
                <c:pt idx="13" formatCode="0.0">
                  <c:v>6.4903846153846159</c:v>
                </c:pt>
                <c:pt idx="14" formatCode="0.0">
                  <c:v>7.0804195804195809</c:v>
                </c:pt>
                <c:pt idx="15" formatCode="0.0">
                  <c:v>7.670454545454545</c:v>
                </c:pt>
                <c:pt idx="16" formatCode="0.0">
                  <c:v>8.2604895104895117</c:v>
                </c:pt>
                <c:pt idx="17" formatCode="0.0">
                  <c:v>8.8505244755244767</c:v>
                </c:pt>
                <c:pt idx="18" formatCode="0.0">
                  <c:v>9.4405594405594417</c:v>
                </c:pt>
                <c:pt idx="19" formatCode="0.0">
                  <c:v>10.030594405594405</c:v>
                </c:pt>
                <c:pt idx="20" formatCode="0.0">
                  <c:v>10.620629370629372</c:v>
                </c:pt>
                <c:pt idx="21" formatCode="0.0">
                  <c:v>11.210664335664335</c:v>
                </c:pt>
                <c:pt idx="22" formatCode="0.0">
                  <c:v>11.800699300699302</c:v>
                </c:pt>
                <c:pt idx="23" formatCode="0.0">
                  <c:v>12.390734265734265</c:v>
                </c:pt>
                <c:pt idx="24" formatCode="0.0">
                  <c:v>12.980769230769232</c:v>
                </c:pt>
                <c:pt idx="25" formatCode="0.0">
                  <c:v>13.570804195804195</c:v>
                </c:pt>
                <c:pt idx="26" formatCode="0.0">
                  <c:v>14.160839160839162</c:v>
                </c:pt>
                <c:pt idx="27" formatCode="0.0">
                  <c:v>14.750874125874128</c:v>
                </c:pt>
                <c:pt idx="28" formatCode="0.0">
                  <c:v>15.340909090909092</c:v>
                </c:pt>
                <c:pt idx="29" formatCode="0.0">
                  <c:v>15.930944055944057</c:v>
                </c:pt>
                <c:pt idx="30" formatCode="0.0">
                  <c:v>16.520979020979023</c:v>
                </c:pt>
                <c:pt idx="31" formatCode="0.0">
                  <c:v>17.111013986013987</c:v>
                </c:pt>
                <c:pt idx="32" formatCode="0.0">
                  <c:v>17.70104895104895</c:v>
                </c:pt>
                <c:pt idx="33" formatCode="0.0">
                  <c:v>18.291083916083917</c:v>
                </c:pt>
                <c:pt idx="34" formatCode="0.0">
                  <c:v>18.88111888111888</c:v>
                </c:pt>
                <c:pt idx="35" formatCode="0.0">
                  <c:v>19.471153846153843</c:v>
                </c:pt>
                <c:pt idx="36" formatCode="0.0">
                  <c:v>20.061188811188806</c:v>
                </c:pt>
                <c:pt idx="37" formatCode="0.0">
                  <c:v>20.651223776223773</c:v>
                </c:pt>
                <c:pt idx="38" formatCode="0.0">
                  <c:v>21.241258741258736</c:v>
                </c:pt>
                <c:pt idx="39" formatCode="0.0">
                  <c:v>21.831293706293703</c:v>
                </c:pt>
                <c:pt idx="40" formatCode="0.0">
                  <c:v>22.421328671328663</c:v>
                </c:pt>
                <c:pt idx="41" formatCode="0.0">
                  <c:v>23.01136363636363</c:v>
                </c:pt>
                <c:pt idx="42" formatCode="0.0">
                  <c:v>23.601398601398593</c:v>
                </c:pt>
                <c:pt idx="43" formatCode="0.0">
                  <c:v>24.191433566433556</c:v>
                </c:pt>
                <c:pt idx="44" formatCode="0.0">
                  <c:v>24.781468531468519</c:v>
                </c:pt>
                <c:pt idx="45" formatCode="0.0">
                  <c:v>25.371503496503486</c:v>
                </c:pt>
                <c:pt idx="46" formatCode="0.0">
                  <c:v>25.961538461538449</c:v>
                </c:pt>
                <c:pt idx="47" formatCode="0.0">
                  <c:v>26.551573426573412</c:v>
                </c:pt>
                <c:pt idx="48" formatCode="0.0">
                  <c:v>27.141608391608376</c:v>
                </c:pt>
                <c:pt idx="49" formatCode="0.0">
                  <c:v>27.731643356643339</c:v>
                </c:pt>
                <c:pt idx="50" formatCode="0.0">
                  <c:v>28.321678321678306</c:v>
                </c:pt>
                <c:pt idx="51" formatCode="0.0">
                  <c:v>28.911713286713269</c:v>
                </c:pt>
                <c:pt idx="52" formatCode="0.0">
                  <c:v>29.501748251748236</c:v>
                </c:pt>
                <c:pt idx="53" formatCode="0.0">
                  <c:v>30.091783216783195</c:v>
                </c:pt>
                <c:pt idx="54" formatCode="0.0">
                  <c:v>30.681818181818162</c:v>
                </c:pt>
                <c:pt idx="55" formatCode="0.0">
                  <c:v>31.271853146853122</c:v>
                </c:pt>
                <c:pt idx="56" formatCode="0.0">
                  <c:v>31.861888111888096</c:v>
                </c:pt>
                <c:pt idx="57" formatCode="0.0">
                  <c:v>32.451923076923059</c:v>
                </c:pt>
                <c:pt idx="58" formatCode="0.0">
                  <c:v>33.041958041958026</c:v>
                </c:pt>
                <c:pt idx="59" formatCode="0.0">
                  <c:v>33.631993006992992</c:v>
                </c:pt>
                <c:pt idx="60" formatCode="0.0">
                  <c:v>34.222027972027959</c:v>
                </c:pt>
                <c:pt idx="61" formatCode="0.0">
                  <c:v>34.812062937062926</c:v>
                </c:pt>
                <c:pt idx="62" formatCode="0.0">
                  <c:v>35.402097902097893</c:v>
                </c:pt>
                <c:pt idx="63" formatCode="0.0">
                  <c:v>35.99213286713286</c:v>
                </c:pt>
                <c:pt idx="64" formatCode="0.0">
                  <c:v>36.582167832167826</c:v>
                </c:pt>
                <c:pt idx="65" formatCode="0.0">
                  <c:v>37.172202797202793</c:v>
                </c:pt>
                <c:pt idx="66" formatCode="0.0">
                  <c:v>37.76223776223776</c:v>
                </c:pt>
                <c:pt idx="67" formatCode="0.0">
                  <c:v>38.352272727272727</c:v>
                </c:pt>
                <c:pt idx="68" formatCode="0.0">
                  <c:v>38.942307692307693</c:v>
                </c:pt>
                <c:pt idx="69" formatCode="0.0">
                  <c:v>39.532342657342667</c:v>
                </c:pt>
                <c:pt idx="70" formatCode="0.0">
                  <c:v>40.122377622377627</c:v>
                </c:pt>
                <c:pt idx="71" formatCode="0.0">
                  <c:v>40.712412587412594</c:v>
                </c:pt>
                <c:pt idx="72" formatCode="0.0">
                  <c:v>41.302447552447568</c:v>
                </c:pt>
                <c:pt idx="73" formatCode="0.0">
                  <c:v>41.892482517482527</c:v>
                </c:pt>
                <c:pt idx="74" formatCode="0.0">
                  <c:v>42.482517482517501</c:v>
                </c:pt>
                <c:pt idx="75" formatCode="0.0">
                  <c:v>43.072552447552468</c:v>
                </c:pt>
                <c:pt idx="76" formatCode="0.0">
                  <c:v>43.662587412587442</c:v>
                </c:pt>
                <c:pt idx="77" formatCode="0.0">
                  <c:v>44.252622377622401</c:v>
                </c:pt>
                <c:pt idx="78" formatCode="0.0">
                  <c:v>44.842657342657368</c:v>
                </c:pt>
                <c:pt idx="79" formatCode="0.0">
                  <c:v>45.432692307692342</c:v>
                </c:pt>
                <c:pt idx="80" formatCode="0.0">
                  <c:v>46.022727272727309</c:v>
                </c:pt>
                <c:pt idx="81" formatCode="0.0">
                  <c:v>46.612762237762269</c:v>
                </c:pt>
                <c:pt idx="82" formatCode="0.0">
                  <c:v>47.202797202797242</c:v>
                </c:pt>
                <c:pt idx="83" formatCode="0.0">
                  <c:v>47.792832167832209</c:v>
                </c:pt>
                <c:pt idx="84" formatCode="0.0">
                  <c:v>48.382867132867169</c:v>
                </c:pt>
                <c:pt idx="85" formatCode="0.0">
                  <c:v>48.972902097902143</c:v>
                </c:pt>
                <c:pt idx="86" formatCode="0.0">
                  <c:v>49.56293706293711</c:v>
                </c:pt>
                <c:pt idx="87" formatCode="0.0">
                  <c:v>50.152972027972083</c:v>
                </c:pt>
                <c:pt idx="88" formatCode="0.0">
                  <c:v>50.743006993007043</c:v>
                </c:pt>
                <c:pt idx="89" formatCode="0.0">
                  <c:v>51.333041958042017</c:v>
                </c:pt>
                <c:pt idx="90" formatCode="0.0">
                  <c:v>51.923076923076984</c:v>
                </c:pt>
                <c:pt idx="91" formatCode="0.0">
                  <c:v>52.513111888111943</c:v>
                </c:pt>
                <c:pt idx="92" formatCode="0.0">
                  <c:v>53.103146853146917</c:v>
                </c:pt>
                <c:pt idx="93" formatCode="0.0">
                  <c:v>53.693181818181884</c:v>
                </c:pt>
                <c:pt idx="94" formatCode="0.0">
                  <c:v>54.283216783216851</c:v>
                </c:pt>
                <c:pt idx="95" formatCode="0.0">
                  <c:v>54.873251748251818</c:v>
                </c:pt>
                <c:pt idx="96" formatCode="0.0">
                  <c:v>55.463286713286784</c:v>
                </c:pt>
                <c:pt idx="97" formatCode="0.0">
                  <c:v>56.053321678321751</c:v>
                </c:pt>
                <c:pt idx="98" formatCode="0.0">
                  <c:v>56.643356643356718</c:v>
                </c:pt>
                <c:pt idx="99" formatCode="0.0">
                  <c:v>57.233391608391685</c:v>
                </c:pt>
                <c:pt idx="100" formatCode="0.0">
                  <c:v>57.823426573426659</c:v>
                </c:pt>
                <c:pt idx="101" formatCode="0.0">
                  <c:v>58.413461538461625</c:v>
                </c:pt>
                <c:pt idx="102" formatCode="0.0">
                  <c:v>59.003496503496592</c:v>
                </c:pt>
                <c:pt idx="103" formatCode="0.0">
                  <c:v>59.593531468531559</c:v>
                </c:pt>
                <c:pt idx="104" formatCode="0.0">
                  <c:v>60.183566433566526</c:v>
                </c:pt>
                <c:pt idx="105" formatCode="0.0">
                  <c:v>60.773601398601492</c:v>
                </c:pt>
                <c:pt idx="106" formatCode="0.0">
                  <c:v>61.363636363636459</c:v>
                </c:pt>
                <c:pt idx="107" formatCode="0.0">
                  <c:v>61.863636363636459</c:v>
                </c:pt>
              </c:numCache>
            </c:numRef>
          </c:xVal>
          <c:yVal>
            <c:numRef>
              <c:f>Start_up!$O$8:$O$115</c:f>
              <c:numCache>
                <c:formatCode>General</c:formatCode>
                <c:ptCount val="108"/>
                <c:pt idx="0">
                  <c:v>0</c:v>
                </c:pt>
                <c:pt idx="1">
                  <c:v>0</c:v>
                </c:pt>
                <c:pt idx="2">
                  <c:v>95.04</c:v>
                </c:pt>
                <c:pt idx="3">
                  <c:v>94.126153846153855</c:v>
                </c:pt>
                <c:pt idx="4">
                  <c:v>93.212307692307689</c:v>
                </c:pt>
                <c:pt idx="5">
                  <c:v>92.298461538461538</c:v>
                </c:pt>
                <c:pt idx="6">
                  <c:v>91.384615384615373</c:v>
                </c:pt>
                <c:pt idx="7">
                  <c:v>90.470769230769235</c:v>
                </c:pt>
                <c:pt idx="8">
                  <c:v>89.556923076923084</c:v>
                </c:pt>
                <c:pt idx="9">
                  <c:v>88.643076923076919</c:v>
                </c:pt>
                <c:pt idx="10">
                  <c:v>87.729230769230767</c:v>
                </c:pt>
                <c:pt idx="11">
                  <c:v>86.815384615384616</c:v>
                </c:pt>
                <c:pt idx="12">
                  <c:v>85.901538461538465</c:v>
                </c:pt>
                <c:pt idx="13">
                  <c:v>84.987692307692313</c:v>
                </c:pt>
                <c:pt idx="14">
                  <c:v>84.073846153846148</c:v>
                </c:pt>
                <c:pt idx="15">
                  <c:v>83.16</c:v>
                </c:pt>
                <c:pt idx="16">
                  <c:v>82.246153846153845</c:v>
                </c:pt>
                <c:pt idx="17">
                  <c:v>81.332307692307694</c:v>
                </c:pt>
                <c:pt idx="18">
                  <c:v>80.418461538461543</c:v>
                </c:pt>
                <c:pt idx="19">
                  <c:v>79.504615384615377</c:v>
                </c:pt>
                <c:pt idx="20">
                  <c:v>78.590769230769226</c:v>
                </c:pt>
                <c:pt idx="21">
                  <c:v>77.676923076923075</c:v>
                </c:pt>
                <c:pt idx="22">
                  <c:v>76.763076923076923</c:v>
                </c:pt>
                <c:pt idx="23">
                  <c:v>75.849230769230772</c:v>
                </c:pt>
                <c:pt idx="24">
                  <c:v>74.935384615384621</c:v>
                </c:pt>
                <c:pt idx="25">
                  <c:v>74.021538461538455</c:v>
                </c:pt>
                <c:pt idx="26">
                  <c:v>114.64615384615384</c:v>
                </c:pt>
                <c:pt idx="27">
                  <c:v>113.21307692307691</c:v>
                </c:pt>
                <c:pt idx="28">
                  <c:v>111.77999999999999</c:v>
                </c:pt>
                <c:pt idx="29">
                  <c:v>110.34692307692306</c:v>
                </c:pt>
                <c:pt idx="30">
                  <c:v>108.91384615384614</c:v>
                </c:pt>
                <c:pt idx="31">
                  <c:v>107.48076923076923</c:v>
                </c:pt>
                <c:pt idx="32">
                  <c:v>106.04769230769232</c:v>
                </c:pt>
                <c:pt idx="33">
                  <c:v>104.61461538461538</c:v>
                </c:pt>
                <c:pt idx="34">
                  <c:v>103.18153846153847</c:v>
                </c:pt>
                <c:pt idx="35">
                  <c:v>101.74846153846153</c:v>
                </c:pt>
                <c:pt idx="36">
                  <c:v>100.31538461538462</c:v>
                </c:pt>
                <c:pt idx="37">
                  <c:v>98.882307692307691</c:v>
                </c:pt>
                <c:pt idx="38">
                  <c:v>97.449230769230752</c:v>
                </c:pt>
                <c:pt idx="39">
                  <c:v>96.016153846153827</c:v>
                </c:pt>
                <c:pt idx="40">
                  <c:v>94.583076923076931</c:v>
                </c:pt>
                <c:pt idx="41">
                  <c:v>93.149999999999991</c:v>
                </c:pt>
                <c:pt idx="42">
                  <c:v>91.716923076923052</c:v>
                </c:pt>
                <c:pt idx="43">
                  <c:v>90.283846153846156</c:v>
                </c:pt>
                <c:pt idx="44">
                  <c:v>88.850769230769231</c:v>
                </c:pt>
                <c:pt idx="45">
                  <c:v>87.417692307692306</c:v>
                </c:pt>
                <c:pt idx="46">
                  <c:v>85.984615384615381</c:v>
                </c:pt>
                <c:pt idx="47">
                  <c:v>84.551538461538456</c:v>
                </c:pt>
                <c:pt idx="48">
                  <c:v>83.118461538461531</c:v>
                </c:pt>
                <c:pt idx="49">
                  <c:v>81.685384615384606</c:v>
                </c:pt>
                <c:pt idx="50">
                  <c:v>80.252307692307681</c:v>
                </c:pt>
                <c:pt idx="51">
                  <c:v>78.819230769230757</c:v>
                </c:pt>
                <c:pt idx="52">
                  <c:v>77.386153846153832</c:v>
                </c:pt>
                <c:pt idx="53">
                  <c:v>75.953076923076921</c:v>
                </c:pt>
                <c:pt idx="54">
                  <c:v>74.52</c:v>
                </c:pt>
                <c:pt idx="55">
                  <c:v>73.086923076923085</c:v>
                </c:pt>
                <c:pt idx="56">
                  <c:v>71.653846153846146</c:v>
                </c:pt>
                <c:pt idx="57">
                  <c:v>70.220769230769221</c:v>
                </c:pt>
                <c:pt idx="58">
                  <c:v>68.787692307692296</c:v>
                </c:pt>
                <c:pt idx="59">
                  <c:v>67.354615384615371</c:v>
                </c:pt>
                <c:pt idx="60">
                  <c:v>65.921538461538447</c:v>
                </c:pt>
                <c:pt idx="61">
                  <c:v>64.488461538461536</c:v>
                </c:pt>
                <c:pt idx="62">
                  <c:v>63.055384615384625</c:v>
                </c:pt>
                <c:pt idx="63">
                  <c:v>61.622307692307686</c:v>
                </c:pt>
                <c:pt idx="64">
                  <c:v>60.189230769230761</c:v>
                </c:pt>
                <c:pt idx="65">
                  <c:v>58.756153846153843</c:v>
                </c:pt>
                <c:pt idx="66">
                  <c:v>57.323076923076911</c:v>
                </c:pt>
                <c:pt idx="67">
                  <c:v>55.889999999999993</c:v>
                </c:pt>
                <c:pt idx="68">
                  <c:v>54.456923076923083</c:v>
                </c:pt>
                <c:pt idx="69">
                  <c:v>53.023846153846144</c:v>
                </c:pt>
                <c:pt idx="70">
                  <c:v>51.590769230769233</c:v>
                </c:pt>
                <c:pt idx="71">
                  <c:v>50.157692307692315</c:v>
                </c:pt>
                <c:pt idx="72">
                  <c:v>48.724615384615376</c:v>
                </c:pt>
                <c:pt idx="73">
                  <c:v>47.291538461538465</c:v>
                </c:pt>
                <c:pt idx="74">
                  <c:v>45.858461538461526</c:v>
                </c:pt>
                <c:pt idx="75">
                  <c:v>44.425384615384615</c:v>
                </c:pt>
                <c:pt idx="76">
                  <c:v>42.992307692307676</c:v>
                </c:pt>
                <c:pt idx="77">
                  <c:v>41.559230769230766</c:v>
                </c:pt>
                <c:pt idx="78">
                  <c:v>40.126153846153848</c:v>
                </c:pt>
                <c:pt idx="79">
                  <c:v>38.693076923076916</c:v>
                </c:pt>
                <c:pt idx="80">
                  <c:v>37.26</c:v>
                </c:pt>
                <c:pt idx="81">
                  <c:v>35.82692307692308</c:v>
                </c:pt>
                <c:pt idx="82">
                  <c:v>34.393846153846148</c:v>
                </c:pt>
                <c:pt idx="83">
                  <c:v>32.96076923076923</c:v>
                </c:pt>
                <c:pt idx="84">
                  <c:v>31.527692307692316</c:v>
                </c:pt>
                <c:pt idx="85">
                  <c:v>30.094615384615381</c:v>
                </c:pt>
                <c:pt idx="86">
                  <c:v>28.661538461538466</c:v>
                </c:pt>
                <c:pt idx="87">
                  <c:v>27.228461538461531</c:v>
                </c:pt>
                <c:pt idx="88">
                  <c:v>25.795384615384616</c:v>
                </c:pt>
                <c:pt idx="89">
                  <c:v>24.362307692307681</c:v>
                </c:pt>
                <c:pt idx="90">
                  <c:v>22.929230769230763</c:v>
                </c:pt>
                <c:pt idx="91">
                  <c:v>21.496153846153849</c:v>
                </c:pt>
                <c:pt idx="92">
                  <c:v>20.063076923076913</c:v>
                </c:pt>
                <c:pt idx="93">
                  <c:v>18.63</c:v>
                </c:pt>
                <c:pt idx="94">
                  <c:v>17.196923076923085</c:v>
                </c:pt>
                <c:pt idx="95">
                  <c:v>15.763846153846147</c:v>
                </c:pt>
                <c:pt idx="96">
                  <c:v>14.330769230769233</c:v>
                </c:pt>
                <c:pt idx="97">
                  <c:v>12.897692307692317</c:v>
                </c:pt>
                <c:pt idx="98">
                  <c:v>11.464615384615382</c:v>
                </c:pt>
                <c:pt idx="99">
                  <c:v>10.031538461538467</c:v>
                </c:pt>
                <c:pt idx="100">
                  <c:v>8.5984615384615317</c:v>
                </c:pt>
                <c:pt idx="101">
                  <c:v>7.1653846153846166</c:v>
                </c:pt>
                <c:pt idx="102">
                  <c:v>5.732307692307681</c:v>
                </c:pt>
                <c:pt idx="103">
                  <c:v>4.2992307692307659</c:v>
                </c:pt>
                <c:pt idx="104">
                  <c:v>2.8661538461538503</c:v>
                </c:pt>
                <c:pt idx="105">
                  <c:v>1.4330769230769154</c:v>
                </c:pt>
                <c:pt idx="106">
                  <c:v>0</c:v>
                </c:pt>
                <c:pt idx="107">
                  <c:v>0</c:v>
                </c:pt>
              </c:numCache>
            </c:numRef>
          </c:yVal>
          <c:smooth val="0"/>
        </c:ser>
        <c:dLbls>
          <c:showLegendKey val="0"/>
          <c:showVal val="0"/>
          <c:showCatName val="0"/>
          <c:showSerName val="0"/>
          <c:showPercent val="0"/>
          <c:showBubbleSize val="0"/>
        </c:dLbls>
        <c:axId val="133486464"/>
        <c:axId val="133513216"/>
      </c:scatterChart>
      <c:valAx>
        <c:axId val="133486464"/>
        <c:scaling>
          <c:orientation val="minMax"/>
          <c:min val="-1"/>
        </c:scaling>
        <c:delete val="0"/>
        <c:axPos val="b"/>
        <c:minorGridlines/>
        <c:title>
          <c:tx>
            <c:rich>
              <a:bodyPr/>
              <a:lstStyle/>
              <a:p>
                <a:pPr>
                  <a:defRPr/>
                </a:pPr>
                <a:r>
                  <a:rPr lang="en-US"/>
                  <a:t>Time (ms)</a:t>
                </a:r>
              </a:p>
            </c:rich>
          </c:tx>
          <c:layout>
            <c:manualLayout>
              <c:xMode val="edge"/>
              <c:yMode val="edge"/>
              <c:x val="0.44799096768442925"/>
              <c:y val="0.90583847854517363"/>
            </c:manualLayout>
          </c:layout>
          <c:overlay val="0"/>
        </c:title>
        <c:numFmt formatCode="0.0" sourceLinked="1"/>
        <c:majorTickMark val="out"/>
        <c:minorTickMark val="none"/>
        <c:tickLblPos val="nextTo"/>
        <c:txPr>
          <a:bodyPr/>
          <a:lstStyle/>
          <a:p>
            <a:pPr>
              <a:defRPr b="1"/>
            </a:pPr>
            <a:endParaRPr lang="en-US"/>
          </a:p>
        </c:txPr>
        <c:crossAx val="133513216"/>
        <c:crosses val="autoZero"/>
        <c:crossBetween val="midCat"/>
      </c:valAx>
      <c:valAx>
        <c:axId val="133513216"/>
        <c:scaling>
          <c:orientation val="minMax"/>
          <c:min val="0"/>
        </c:scaling>
        <c:delete val="0"/>
        <c:axPos val="l"/>
        <c:majorGridlines/>
        <c:minorGridlines/>
        <c:title>
          <c:tx>
            <c:rich>
              <a:bodyPr rot="-5400000" vert="horz"/>
              <a:lstStyle/>
              <a:p>
                <a:pPr>
                  <a:defRPr/>
                </a:pPr>
                <a:r>
                  <a:rPr lang="en-US"/>
                  <a:t>FET Power (W)</a:t>
                </a:r>
              </a:p>
            </c:rich>
          </c:tx>
          <c:layout>
            <c:manualLayout>
              <c:xMode val="edge"/>
              <c:yMode val="edge"/>
              <c:x val="1.2836103229293341E-2"/>
              <c:y val="0.25775146359374557"/>
            </c:manualLayout>
          </c:layout>
          <c:overlay val="0"/>
        </c:title>
        <c:numFmt formatCode="General" sourceLinked="1"/>
        <c:majorTickMark val="out"/>
        <c:minorTickMark val="none"/>
        <c:tickLblPos val="nextTo"/>
        <c:txPr>
          <a:bodyPr/>
          <a:lstStyle/>
          <a:p>
            <a:pPr>
              <a:defRPr b="1"/>
            </a:pPr>
            <a:endParaRPr lang="en-US"/>
          </a:p>
        </c:txPr>
        <c:crossAx val="133486464"/>
        <c:crossesAt val="-1"/>
        <c:crossBetween val="midCat"/>
      </c:valAx>
    </c:plotArea>
    <c:legend>
      <c:legendPos val="r"/>
      <c:layout>
        <c:manualLayout>
          <c:xMode val="edge"/>
          <c:yMode val="edge"/>
          <c:x val="0.58243391004423017"/>
          <c:y val="0.29201739268437199"/>
          <c:w val="0.39515213037394709"/>
          <c:h val="0.10848830734152082"/>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I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Load and FET</a:t>
            </a:r>
            <a:r>
              <a:rPr lang="en-US" baseline="0"/>
              <a:t> current vs Vout</a:t>
            </a:r>
            <a:endParaRPr lang="en-US"/>
          </a:p>
        </c:rich>
      </c:tx>
      <c:overlay val="1"/>
    </c:title>
    <c:autoTitleDeleted val="0"/>
    <c:plotArea>
      <c:layout>
        <c:manualLayout>
          <c:layoutTarget val="inner"/>
          <c:xMode val="edge"/>
          <c:yMode val="edge"/>
          <c:x val="0.20280211116986058"/>
          <c:y val="0.14177960397727438"/>
          <c:w val="0.69967132057676096"/>
          <c:h val="0.7119118368882501"/>
        </c:manualLayout>
      </c:layout>
      <c:scatterChart>
        <c:scatterStyle val="smoothMarker"/>
        <c:varyColors val="0"/>
        <c:ser>
          <c:idx val="0"/>
          <c:order val="0"/>
          <c:tx>
            <c:strRef>
              <c:f>Start_up!$C$7</c:f>
              <c:strCache>
                <c:ptCount val="1"/>
                <c:pt idx="0">
                  <c:v>ILOAD</c:v>
                </c:pt>
              </c:strCache>
            </c:strRef>
          </c:tx>
          <c:marker>
            <c:symbol val="none"/>
          </c:marker>
          <c:xVal>
            <c:numRef>
              <c:f>Start_up!$B$10:$B$111</c:f>
              <c:numCache>
                <c:formatCode>0.00</c:formatCode>
                <c:ptCount val="102"/>
                <c:pt idx="0">
                  <c:v>0</c:v>
                </c:pt>
                <c:pt idx="1">
                  <c:v>0.51923076923076927</c:v>
                </c:pt>
                <c:pt idx="2">
                  <c:v>1.0384615384615385</c:v>
                </c:pt>
                <c:pt idx="3">
                  <c:v>1.5576923076923077</c:v>
                </c:pt>
                <c:pt idx="4">
                  <c:v>2.0769230769230771</c:v>
                </c:pt>
                <c:pt idx="5">
                  <c:v>2.5961538461538463</c:v>
                </c:pt>
                <c:pt idx="6">
                  <c:v>3.1153846153846154</c:v>
                </c:pt>
                <c:pt idx="7">
                  <c:v>3.6346153846153846</c:v>
                </c:pt>
                <c:pt idx="8">
                  <c:v>4.1538461538461542</c:v>
                </c:pt>
                <c:pt idx="9">
                  <c:v>4.6730769230769234</c:v>
                </c:pt>
                <c:pt idx="10">
                  <c:v>5.1923076923076925</c:v>
                </c:pt>
                <c:pt idx="11">
                  <c:v>5.7115384615384617</c:v>
                </c:pt>
                <c:pt idx="12">
                  <c:v>6.2307692307692308</c:v>
                </c:pt>
                <c:pt idx="13">
                  <c:v>6.75</c:v>
                </c:pt>
                <c:pt idx="14">
                  <c:v>7.2692307692307692</c:v>
                </c:pt>
                <c:pt idx="15">
                  <c:v>7.7884615384615374</c:v>
                </c:pt>
                <c:pt idx="16">
                  <c:v>8.3076923076923084</c:v>
                </c:pt>
                <c:pt idx="17">
                  <c:v>8.8269230769230766</c:v>
                </c:pt>
                <c:pt idx="18">
                  <c:v>9.3461538461538467</c:v>
                </c:pt>
                <c:pt idx="19">
                  <c:v>9.865384615384615</c:v>
                </c:pt>
                <c:pt idx="20">
                  <c:v>10.384615384615385</c:v>
                </c:pt>
                <c:pt idx="21">
                  <c:v>10.903846153846153</c:v>
                </c:pt>
                <c:pt idx="22">
                  <c:v>11.423076923076923</c:v>
                </c:pt>
                <c:pt idx="23">
                  <c:v>11.942307692307692</c:v>
                </c:pt>
                <c:pt idx="24">
                  <c:v>12.461538461538462</c:v>
                </c:pt>
                <c:pt idx="25">
                  <c:v>12.980769230769232</c:v>
                </c:pt>
                <c:pt idx="26">
                  <c:v>13.5</c:v>
                </c:pt>
                <c:pt idx="27">
                  <c:v>14.01923076923077</c:v>
                </c:pt>
                <c:pt idx="28">
                  <c:v>14.538461538461538</c:v>
                </c:pt>
                <c:pt idx="29">
                  <c:v>15.057692307692308</c:v>
                </c:pt>
                <c:pt idx="30">
                  <c:v>15.576923076923075</c:v>
                </c:pt>
                <c:pt idx="31">
                  <c:v>16.096153846153847</c:v>
                </c:pt>
                <c:pt idx="32">
                  <c:v>16.615384615384617</c:v>
                </c:pt>
                <c:pt idx="33">
                  <c:v>17.134615384615383</c:v>
                </c:pt>
                <c:pt idx="34">
                  <c:v>17.653846153846153</c:v>
                </c:pt>
                <c:pt idx="35">
                  <c:v>18.173076923076923</c:v>
                </c:pt>
                <c:pt idx="36">
                  <c:v>18.692307692307693</c:v>
                </c:pt>
                <c:pt idx="37">
                  <c:v>19.211538461538463</c:v>
                </c:pt>
                <c:pt idx="38">
                  <c:v>19.73076923076923</c:v>
                </c:pt>
                <c:pt idx="39">
                  <c:v>20.25</c:v>
                </c:pt>
                <c:pt idx="40">
                  <c:v>20.76923076923077</c:v>
                </c:pt>
                <c:pt idx="41">
                  <c:v>21.288461538461537</c:v>
                </c:pt>
                <c:pt idx="42">
                  <c:v>21.807692307692307</c:v>
                </c:pt>
                <c:pt idx="43">
                  <c:v>22.326923076923077</c:v>
                </c:pt>
                <c:pt idx="44">
                  <c:v>22.846153846153847</c:v>
                </c:pt>
                <c:pt idx="45">
                  <c:v>23.365384615384617</c:v>
                </c:pt>
                <c:pt idx="46">
                  <c:v>23.884615384615383</c:v>
                </c:pt>
                <c:pt idx="47">
                  <c:v>24.403846153846153</c:v>
                </c:pt>
                <c:pt idx="48">
                  <c:v>24.923076923076923</c:v>
                </c:pt>
                <c:pt idx="49">
                  <c:v>25.442307692307693</c:v>
                </c:pt>
                <c:pt idx="50">
                  <c:v>25.961538461538463</c:v>
                </c:pt>
                <c:pt idx="51">
                  <c:v>26.48076923076923</c:v>
                </c:pt>
                <c:pt idx="52">
                  <c:v>27</c:v>
                </c:pt>
                <c:pt idx="53">
                  <c:v>27.519230769230766</c:v>
                </c:pt>
                <c:pt idx="54">
                  <c:v>28.03846153846154</c:v>
                </c:pt>
                <c:pt idx="55">
                  <c:v>28.557692307692307</c:v>
                </c:pt>
                <c:pt idx="56">
                  <c:v>29.076923076923077</c:v>
                </c:pt>
                <c:pt idx="57">
                  <c:v>29.59615384615385</c:v>
                </c:pt>
                <c:pt idx="58">
                  <c:v>30.115384615384617</c:v>
                </c:pt>
                <c:pt idx="59">
                  <c:v>30.634615384615383</c:v>
                </c:pt>
                <c:pt idx="60">
                  <c:v>31.15384615384615</c:v>
                </c:pt>
                <c:pt idx="61">
                  <c:v>31.673076923076923</c:v>
                </c:pt>
                <c:pt idx="62">
                  <c:v>32.192307692307693</c:v>
                </c:pt>
                <c:pt idx="63">
                  <c:v>32.71153846153846</c:v>
                </c:pt>
                <c:pt idx="64">
                  <c:v>33.230769230769234</c:v>
                </c:pt>
                <c:pt idx="65">
                  <c:v>33.75</c:v>
                </c:pt>
                <c:pt idx="66">
                  <c:v>34.269230769230766</c:v>
                </c:pt>
                <c:pt idx="67">
                  <c:v>34.78846153846154</c:v>
                </c:pt>
                <c:pt idx="68">
                  <c:v>35.307692307692307</c:v>
                </c:pt>
                <c:pt idx="69">
                  <c:v>35.826923076923073</c:v>
                </c:pt>
                <c:pt idx="70">
                  <c:v>36.346153846153847</c:v>
                </c:pt>
                <c:pt idx="71">
                  <c:v>36.865384615384613</c:v>
                </c:pt>
                <c:pt idx="72">
                  <c:v>37.384615384615387</c:v>
                </c:pt>
                <c:pt idx="73">
                  <c:v>37.903846153846153</c:v>
                </c:pt>
                <c:pt idx="74">
                  <c:v>38.423076923076927</c:v>
                </c:pt>
                <c:pt idx="75">
                  <c:v>38.942307692307693</c:v>
                </c:pt>
                <c:pt idx="76">
                  <c:v>39.46153846153846</c:v>
                </c:pt>
                <c:pt idx="77">
                  <c:v>39.980769230769234</c:v>
                </c:pt>
                <c:pt idx="78">
                  <c:v>40.5</c:v>
                </c:pt>
                <c:pt idx="79">
                  <c:v>41.019230769230766</c:v>
                </c:pt>
                <c:pt idx="80">
                  <c:v>41.53846153846154</c:v>
                </c:pt>
                <c:pt idx="81">
                  <c:v>42.057692307692307</c:v>
                </c:pt>
                <c:pt idx="82">
                  <c:v>42.576923076923073</c:v>
                </c:pt>
                <c:pt idx="83">
                  <c:v>43.096153846153847</c:v>
                </c:pt>
                <c:pt idx="84">
                  <c:v>43.615384615384613</c:v>
                </c:pt>
                <c:pt idx="85">
                  <c:v>44.134615384615387</c:v>
                </c:pt>
                <c:pt idx="86">
                  <c:v>44.653846153846153</c:v>
                </c:pt>
                <c:pt idx="87">
                  <c:v>45.173076923076927</c:v>
                </c:pt>
                <c:pt idx="88">
                  <c:v>45.692307692307693</c:v>
                </c:pt>
                <c:pt idx="89">
                  <c:v>46.21153846153846</c:v>
                </c:pt>
                <c:pt idx="90">
                  <c:v>46.730769230769234</c:v>
                </c:pt>
                <c:pt idx="91">
                  <c:v>47.25</c:v>
                </c:pt>
                <c:pt idx="92">
                  <c:v>47.769230769230766</c:v>
                </c:pt>
                <c:pt idx="93">
                  <c:v>48.28846153846154</c:v>
                </c:pt>
                <c:pt idx="94">
                  <c:v>48.807692307692307</c:v>
                </c:pt>
                <c:pt idx="95">
                  <c:v>49.326923076923073</c:v>
                </c:pt>
                <c:pt idx="96">
                  <c:v>49.846153846153847</c:v>
                </c:pt>
                <c:pt idx="97">
                  <c:v>50.365384615384613</c:v>
                </c:pt>
                <c:pt idx="98">
                  <c:v>50.884615384615387</c:v>
                </c:pt>
                <c:pt idx="99">
                  <c:v>51.403846153846153</c:v>
                </c:pt>
                <c:pt idx="100">
                  <c:v>51.923076923076927</c:v>
                </c:pt>
                <c:pt idx="101">
                  <c:v>52.442307692307693</c:v>
                </c:pt>
              </c:numCache>
            </c:numRef>
          </c:xVal>
          <c:yVal>
            <c:numRef>
              <c:f>Start_up!$C$10:$C$111</c:f>
              <c:numCache>
                <c:formatCode>0.000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8">
                  <c:v>1</c:v>
                </c:pt>
                <c:pt idx="79">
                  <c:v>1</c:v>
                </c:pt>
                <c:pt idx="80">
                  <c:v>1</c:v>
                </c:pt>
                <c:pt idx="81">
                  <c:v>1</c:v>
                </c:pt>
                <c:pt idx="82">
                  <c:v>1</c:v>
                </c:pt>
                <c:pt idx="83">
                  <c:v>1</c:v>
                </c:pt>
                <c:pt idx="84">
                  <c:v>1</c:v>
                </c:pt>
                <c:pt idx="85">
                  <c:v>1</c:v>
                </c:pt>
                <c:pt idx="86">
                  <c:v>1</c:v>
                </c:pt>
                <c:pt idx="87">
                  <c:v>1</c:v>
                </c:pt>
                <c:pt idx="88">
                  <c:v>1</c:v>
                </c:pt>
                <c:pt idx="89">
                  <c:v>1</c:v>
                </c:pt>
                <c:pt idx="90">
                  <c:v>1</c:v>
                </c:pt>
                <c:pt idx="91">
                  <c:v>1</c:v>
                </c:pt>
                <c:pt idx="92">
                  <c:v>1</c:v>
                </c:pt>
                <c:pt idx="93">
                  <c:v>1</c:v>
                </c:pt>
                <c:pt idx="94">
                  <c:v>1</c:v>
                </c:pt>
                <c:pt idx="95">
                  <c:v>1</c:v>
                </c:pt>
                <c:pt idx="96">
                  <c:v>1</c:v>
                </c:pt>
                <c:pt idx="97">
                  <c:v>1</c:v>
                </c:pt>
                <c:pt idx="98">
                  <c:v>1</c:v>
                </c:pt>
                <c:pt idx="99">
                  <c:v>1</c:v>
                </c:pt>
                <c:pt idx="100">
                  <c:v>1</c:v>
                </c:pt>
                <c:pt idx="101">
                  <c:v>1</c:v>
                </c:pt>
              </c:numCache>
            </c:numRef>
          </c:yVal>
          <c:smooth val="1"/>
        </c:ser>
        <c:ser>
          <c:idx val="1"/>
          <c:order val="1"/>
          <c:tx>
            <c:strRef>
              <c:f>Start_up!$G$7</c:f>
              <c:strCache>
                <c:ptCount val="1"/>
                <c:pt idx="0">
                  <c:v>IFET</c:v>
                </c:pt>
              </c:strCache>
            </c:strRef>
          </c:tx>
          <c:marker>
            <c:symbol val="none"/>
          </c:marker>
          <c:xVal>
            <c:numRef>
              <c:f>Start_up!$B$10:$B$111</c:f>
              <c:numCache>
                <c:formatCode>0.00</c:formatCode>
                <c:ptCount val="102"/>
                <c:pt idx="0">
                  <c:v>0</c:v>
                </c:pt>
                <c:pt idx="1">
                  <c:v>0.51923076923076927</c:v>
                </c:pt>
                <c:pt idx="2">
                  <c:v>1.0384615384615385</c:v>
                </c:pt>
                <c:pt idx="3">
                  <c:v>1.5576923076923077</c:v>
                </c:pt>
                <c:pt idx="4">
                  <c:v>2.0769230769230771</c:v>
                </c:pt>
                <c:pt idx="5">
                  <c:v>2.5961538461538463</c:v>
                </c:pt>
                <c:pt idx="6">
                  <c:v>3.1153846153846154</c:v>
                </c:pt>
                <c:pt idx="7">
                  <c:v>3.6346153846153846</c:v>
                </c:pt>
                <c:pt idx="8">
                  <c:v>4.1538461538461542</c:v>
                </c:pt>
                <c:pt idx="9">
                  <c:v>4.6730769230769234</c:v>
                </c:pt>
                <c:pt idx="10">
                  <c:v>5.1923076923076925</c:v>
                </c:pt>
                <c:pt idx="11">
                  <c:v>5.7115384615384617</c:v>
                </c:pt>
                <c:pt idx="12">
                  <c:v>6.2307692307692308</c:v>
                </c:pt>
                <c:pt idx="13">
                  <c:v>6.75</c:v>
                </c:pt>
                <c:pt idx="14">
                  <c:v>7.2692307692307692</c:v>
                </c:pt>
                <c:pt idx="15">
                  <c:v>7.7884615384615374</c:v>
                </c:pt>
                <c:pt idx="16">
                  <c:v>8.3076923076923084</c:v>
                </c:pt>
                <c:pt idx="17">
                  <c:v>8.8269230769230766</c:v>
                </c:pt>
                <c:pt idx="18">
                  <c:v>9.3461538461538467</c:v>
                </c:pt>
                <c:pt idx="19">
                  <c:v>9.865384615384615</c:v>
                </c:pt>
                <c:pt idx="20">
                  <c:v>10.384615384615385</c:v>
                </c:pt>
                <c:pt idx="21">
                  <c:v>10.903846153846153</c:v>
                </c:pt>
                <c:pt idx="22">
                  <c:v>11.423076923076923</c:v>
                </c:pt>
                <c:pt idx="23">
                  <c:v>11.942307692307692</c:v>
                </c:pt>
                <c:pt idx="24">
                  <c:v>12.461538461538462</c:v>
                </c:pt>
                <c:pt idx="25">
                  <c:v>12.980769230769232</c:v>
                </c:pt>
                <c:pt idx="26">
                  <c:v>13.5</c:v>
                </c:pt>
                <c:pt idx="27">
                  <c:v>14.01923076923077</c:v>
                </c:pt>
                <c:pt idx="28">
                  <c:v>14.538461538461538</c:v>
                </c:pt>
                <c:pt idx="29">
                  <c:v>15.057692307692308</c:v>
                </c:pt>
                <c:pt idx="30">
                  <c:v>15.576923076923075</c:v>
                </c:pt>
                <c:pt idx="31">
                  <c:v>16.096153846153847</c:v>
                </c:pt>
                <c:pt idx="32">
                  <c:v>16.615384615384617</c:v>
                </c:pt>
                <c:pt idx="33">
                  <c:v>17.134615384615383</c:v>
                </c:pt>
                <c:pt idx="34">
                  <c:v>17.653846153846153</c:v>
                </c:pt>
                <c:pt idx="35">
                  <c:v>18.173076923076923</c:v>
                </c:pt>
                <c:pt idx="36">
                  <c:v>18.692307692307693</c:v>
                </c:pt>
                <c:pt idx="37">
                  <c:v>19.211538461538463</c:v>
                </c:pt>
                <c:pt idx="38">
                  <c:v>19.73076923076923</c:v>
                </c:pt>
                <c:pt idx="39">
                  <c:v>20.25</c:v>
                </c:pt>
                <c:pt idx="40">
                  <c:v>20.76923076923077</c:v>
                </c:pt>
                <c:pt idx="41">
                  <c:v>21.288461538461537</c:v>
                </c:pt>
                <c:pt idx="42">
                  <c:v>21.807692307692307</c:v>
                </c:pt>
                <c:pt idx="43">
                  <c:v>22.326923076923077</c:v>
                </c:pt>
                <c:pt idx="44">
                  <c:v>22.846153846153847</c:v>
                </c:pt>
                <c:pt idx="45">
                  <c:v>23.365384615384617</c:v>
                </c:pt>
                <c:pt idx="46">
                  <c:v>23.884615384615383</c:v>
                </c:pt>
                <c:pt idx="47">
                  <c:v>24.403846153846153</c:v>
                </c:pt>
                <c:pt idx="48">
                  <c:v>24.923076923076923</c:v>
                </c:pt>
                <c:pt idx="49">
                  <c:v>25.442307692307693</c:v>
                </c:pt>
                <c:pt idx="50">
                  <c:v>25.961538461538463</c:v>
                </c:pt>
                <c:pt idx="51">
                  <c:v>26.48076923076923</c:v>
                </c:pt>
                <c:pt idx="52">
                  <c:v>27</c:v>
                </c:pt>
                <c:pt idx="53">
                  <c:v>27.519230769230766</c:v>
                </c:pt>
                <c:pt idx="54">
                  <c:v>28.03846153846154</c:v>
                </c:pt>
                <c:pt idx="55">
                  <c:v>28.557692307692307</c:v>
                </c:pt>
                <c:pt idx="56">
                  <c:v>29.076923076923077</c:v>
                </c:pt>
                <c:pt idx="57">
                  <c:v>29.59615384615385</c:v>
                </c:pt>
                <c:pt idx="58">
                  <c:v>30.115384615384617</c:v>
                </c:pt>
                <c:pt idx="59">
                  <c:v>30.634615384615383</c:v>
                </c:pt>
                <c:pt idx="60">
                  <c:v>31.15384615384615</c:v>
                </c:pt>
                <c:pt idx="61">
                  <c:v>31.673076923076923</c:v>
                </c:pt>
                <c:pt idx="62">
                  <c:v>32.192307692307693</c:v>
                </c:pt>
                <c:pt idx="63">
                  <c:v>32.71153846153846</c:v>
                </c:pt>
                <c:pt idx="64">
                  <c:v>33.230769230769234</c:v>
                </c:pt>
                <c:pt idx="65">
                  <c:v>33.75</c:v>
                </c:pt>
                <c:pt idx="66">
                  <c:v>34.269230769230766</c:v>
                </c:pt>
                <c:pt idx="67">
                  <c:v>34.78846153846154</c:v>
                </c:pt>
                <c:pt idx="68">
                  <c:v>35.307692307692307</c:v>
                </c:pt>
                <c:pt idx="69">
                  <c:v>35.826923076923073</c:v>
                </c:pt>
                <c:pt idx="70">
                  <c:v>36.346153846153847</c:v>
                </c:pt>
                <c:pt idx="71">
                  <c:v>36.865384615384613</c:v>
                </c:pt>
                <c:pt idx="72">
                  <c:v>37.384615384615387</c:v>
                </c:pt>
                <c:pt idx="73">
                  <c:v>37.903846153846153</c:v>
                </c:pt>
                <c:pt idx="74">
                  <c:v>38.423076923076927</c:v>
                </c:pt>
                <c:pt idx="75">
                  <c:v>38.942307692307693</c:v>
                </c:pt>
                <c:pt idx="76">
                  <c:v>39.46153846153846</c:v>
                </c:pt>
                <c:pt idx="77">
                  <c:v>39.980769230769234</c:v>
                </c:pt>
                <c:pt idx="78">
                  <c:v>40.5</c:v>
                </c:pt>
                <c:pt idx="79">
                  <c:v>41.019230769230766</c:v>
                </c:pt>
                <c:pt idx="80">
                  <c:v>41.53846153846154</c:v>
                </c:pt>
                <c:pt idx="81">
                  <c:v>42.057692307692307</c:v>
                </c:pt>
                <c:pt idx="82">
                  <c:v>42.576923076923073</c:v>
                </c:pt>
                <c:pt idx="83">
                  <c:v>43.096153846153847</c:v>
                </c:pt>
                <c:pt idx="84">
                  <c:v>43.615384615384613</c:v>
                </c:pt>
                <c:pt idx="85">
                  <c:v>44.134615384615387</c:v>
                </c:pt>
                <c:pt idx="86">
                  <c:v>44.653846153846153</c:v>
                </c:pt>
                <c:pt idx="87">
                  <c:v>45.173076923076927</c:v>
                </c:pt>
                <c:pt idx="88">
                  <c:v>45.692307692307693</c:v>
                </c:pt>
                <c:pt idx="89">
                  <c:v>46.21153846153846</c:v>
                </c:pt>
                <c:pt idx="90">
                  <c:v>46.730769230769234</c:v>
                </c:pt>
                <c:pt idx="91">
                  <c:v>47.25</c:v>
                </c:pt>
                <c:pt idx="92">
                  <c:v>47.769230769230766</c:v>
                </c:pt>
                <c:pt idx="93">
                  <c:v>48.28846153846154</c:v>
                </c:pt>
                <c:pt idx="94">
                  <c:v>48.807692307692307</c:v>
                </c:pt>
                <c:pt idx="95">
                  <c:v>49.326923076923073</c:v>
                </c:pt>
                <c:pt idx="96">
                  <c:v>49.846153846153847</c:v>
                </c:pt>
                <c:pt idx="97">
                  <c:v>50.365384615384613</c:v>
                </c:pt>
                <c:pt idx="98">
                  <c:v>50.884615384615387</c:v>
                </c:pt>
                <c:pt idx="99">
                  <c:v>51.403846153846153</c:v>
                </c:pt>
                <c:pt idx="100">
                  <c:v>51.923076923076927</c:v>
                </c:pt>
                <c:pt idx="101">
                  <c:v>52.442307692307693</c:v>
                </c:pt>
              </c:numCache>
            </c:numRef>
          </c:xVal>
          <c:yVal>
            <c:numRef>
              <c:f>Start_up!$G$10:$G$112</c:f>
              <c:numCache>
                <c:formatCode>General</c:formatCode>
                <c:ptCount val="103"/>
                <c:pt idx="0">
                  <c:v>1.76</c:v>
                </c:pt>
                <c:pt idx="1">
                  <c:v>1.76</c:v>
                </c:pt>
                <c:pt idx="2">
                  <c:v>1.76</c:v>
                </c:pt>
                <c:pt idx="3">
                  <c:v>1.76</c:v>
                </c:pt>
                <c:pt idx="4">
                  <c:v>1.76</c:v>
                </c:pt>
                <c:pt idx="5">
                  <c:v>1.76</c:v>
                </c:pt>
                <c:pt idx="6">
                  <c:v>1.76</c:v>
                </c:pt>
                <c:pt idx="7">
                  <c:v>1.76</c:v>
                </c:pt>
                <c:pt idx="8">
                  <c:v>1.76</c:v>
                </c:pt>
                <c:pt idx="9">
                  <c:v>1.76</c:v>
                </c:pt>
                <c:pt idx="10">
                  <c:v>1.76</c:v>
                </c:pt>
                <c:pt idx="11">
                  <c:v>1.76</c:v>
                </c:pt>
                <c:pt idx="12">
                  <c:v>1.76</c:v>
                </c:pt>
                <c:pt idx="13">
                  <c:v>1.76</c:v>
                </c:pt>
                <c:pt idx="14">
                  <c:v>1.76</c:v>
                </c:pt>
                <c:pt idx="15">
                  <c:v>1.76</c:v>
                </c:pt>
                <c:pt idx="16">
                  <c:v>1.76</c:v>
                </c:pt>
                <c:pt idx="17">
                  <c:v>1.76</c:v>
                </c:pt>
                <c:pt idx="18">
                  <c:v>1.76</c:v>
                </c:pt>
                <c:pt idx="19">
                  <c:v>1.76</c:v>
                </c:pt>
                <c:pt idx="20">
                  <c:v>1.76</c:v>
                </c:pt>
                <c:pt idx="21">
                  <c:v>1.76</c:v>
                </c:pt>
                <c:pt idx="22">
                  <c:v>1.76</c:v>
                </c:pt>
                <c:pt idx="23">
                  <c:v>1.76</c:v>
                </c:pt>
                <c:pt idx="24">
                  <c:v>2.76</c:v>
                </c:pt>
                <c:pt idx="25">
                  <c:v>2.76</c:v>
                </c:pt>
                <c:pt idx="26">
                  <c:v>2.76</c:v>
                </c:pt>
                <c:pt idx="27">
                  <c:v>2.76</c:v>
                </c:pt>
                <c:pt idx="28">
                  <c:v>2.76</c:v>
                </c:pt>
                <c:pt idx="29">
                  <c:v>2.76</c:v>
                </c:pt>
                <c:pt idx="30">
                  <c:v>2.76</c:v>
                </c:pt>
                <c:pt idx="31">
                  <c:v>2.76</c:v>
                </c:pt>
                <c:pt idx="32">
                  <c:v>2.76</c:v>
                </c:pt>
                <c:pt idx="33">
                  <c:v>2.76</c:v>
                </c:pt>
                <c:pt idx="34">
                  <c:v>2.76</c:v>
                </c:pt>
                <c:pt idx="35">
                  <c:v>2.76</c:v>
                </c:pt>
                <c:pt idx="36">
                  <c:v>2.76</c:v>
                </c:pt>
                <c:pt idx="37">
                  <c:v>2.76</c:v>
                </c:pt>
                <c:pt idx="38">
                  <c:v>2.76</c:v>
                </c:pt>
                <c:pt idx="39">
                  <c:v>2.76</c:v>
                </c:pt>
                <c:pt idx="40">
                  <c:v>2.76</c:v>
                </c:pt>
                <c:pt idx="41">
                  <c:v>2.76</c:v>
                </c:pt>
                <c:pt idx="42">
                  <c:v>2.76</c:v>
                </c:pt>
                <c:pt idx="43">
                  <c:v>2.76</c:v>
                </c:pt>
                <c:pt idx="44">
                  <c:v>2.76</c:v>
                </c:pt>
                <c:pt idx="45">
                  <c:v>2.76</c:v>
                </c:pt>
                <c:pt idx="46">
                  <c:v>2.76</c:v>
                </c:pt>
                <c:pt idx="47">
                  <c:v>2.76</c:v>
                </c:pt>
                <c:pt idx="48">
                  <c:v>2.76</c:v>
                </c:pt>
                <c:pt idx="49">
                  <c:v>2.76</c:v>
                </c:pt>
                <c:pt idx="50">
                  <c:v>2.76</c:v>
                </c:pt>
                <c:pt idx="51">
                  <c:v>2.76</c:v>
                </c:pt>
                <c:pt idx="52">
                  <c:v>2.76</c:v>
                </c:pt>
                <c:pt idx="53">
                  <c:v>2.76</c:v>
                </c:pt>
                <c:pt idx="54">
                  <c:v>2.76</c:v>
                </c:pt>
                <c:pt idx="55">
                  <c:v>2.76</c:v>
                </c:pt>
                <c:pt idx="56">
                  <c:v>2.76</c:v>
                </c:pt>
                <c:pt idx="57">
                  <c:v>2.76</c:v>
                </c:pt>
                <c:pt idx="58">
                  <c:v>2.76</c:v>
                </c:pt>
                <c:pt idx="59">
                  <c:v>2.76</c:v>
                </c:pt>
                <c:pt idx="60">
                  <c:v>2.76</c:v>
                </c:pt>
                <c:pt idx="61">
                  <c:v>2.76</c:v>
                </c:pt>
                <c:pt idx="62">
                  <c:v>2.76</c:v>
                </c:pt>
                <c:pt idx="63">
                  <c:v>2.76</c:v>
                </c:pt>
                <c:pt idx="64">
                  <c:v>2.76</c:v>
                </c:pt>
                <c:pt idx="65">
                  <c:v>2.76</c:v>
                </c:pt>
                <c:pt idx="66">
                  <c:v>2.76</c:v>
                </c:pt>
                <c:pt idx="67">
                  <c:v>2.76</c:v>
                </c:pt>
                <c:pt idx="68">
                  <c:v>2.76</c:v>
                </c:pt>
                <c:pt idx="69">
                  <c:v>2.76</c:v>
                </c:pt>
                <c:pt idx="70">
                  <c:v>2.76</c:v>
                </c:pt>
                <c:pt idx="71">
                  <c:v>2.76</c:v>
                </c:pt>
                <c:pt idx="72">
                  <c:v>2.76</c:v>
                </c:pt>
                <c:pt idx="73">
                  <c:v>2.76</c:v>
                </c:pt>
                <c:pt idx="74">
                  <c:v>2.76</c:v>
                </c:pt>
                <c:pt idx="75">
                  <c:v>2.76</c:v>
                </c:pt>
                <c:pt idx="76">
                  <c:v>2.76</c:v>
                </c:pt>
                <c:pt idx="77">
                  <c:v>2.76</c:v>
                </c:pt>
                <c:pt idx="78">
                  <c:v>2.76</c:v>
                </c:pt>
                <c:pt idx="79">
                  <c:v>2.76</c:v>
                </c:pt>
                <c:pt idx="80">
                  <c:v>2.76</c:v>
                </c:pt>
                <c:pt idx="81">
                  <c:v>2.76</c:v>
                </c:pt>
                <c:pt idx="82">
                  <c:v>2.76</c:v>
                </c:pt>
                <c:pt idx="83">
                  <c:v>2.76</c:v>
                </c:pt>
                <c:pt idx="84">
                  <c:v>2.76</c:v>
                </c:pt>
                <c:pt idx="85">
                  <c:v>2.76</c:v>
                </c:pt>
                <c:pt idx="86">
                  <c:v>2.76</c:v>
                </c:pt>
                <c:pt idx="87">
                  <c:v>2.76</c:v>
                </c:pt>
                <c:pt idx="88">
                  <c:v>2.76</c:v>
                </c:pt>
                <c:pt idx="89">
                  <c:v>2.76</c:v>
                </c:pt>
                <c:pt idx="90">
                  <c:v>2.76</c:v>
                </c:pt>
                <c:pt idx="91">
                  <c:v>2.76</c:v>
                </c:pt>
                <c:pt idx="92">
                  <c:v>2.76</c:v>
                </c:pt>
                <c:pt idx="93">
                  <c:v>2.76</c:v>
                </c:pt>
                <c:pt idx="94">
                  <c:v>2.76</c:v>
                </c:pt>
                <c:pt idx="95">
                  <c:v>2.76</c:v>
                </c:pt>
                <c:pt idx="96">
                  <c:v>2.76</c:v>
                </c:pt>
                <c:pt idx="97">
                  <c:v>2.76</c:v>
                </c:pt>
                <c:pt idx="98">
                  <c:v>2.76</c:v>
                </c:pt>
                <c:pt idx="99">
                  <c:v>2.76</c:v>
                </c:pt>
                <c:pt idx="100">
                  <c:v>2.76</c:v>
                </c:pt>
                <c:pt idx="101">
                  <c:v>2.76</c:v>
                </c:pt>
                <c:pt idx="102">
                  <c:v>2.76</c:v>
                </c:pt>
              </c:numCache>
            </c:numRef>
          </c:yVal>
          <c:smooth val="1"/>
        </c:ser>
        <c:dLbls>
          <c:showLegendKey val="0"/>
          <c:showVal val="0"/>
          <c:showCatName val="0"/>
          <c:showSerName val="0"/>
          <c:showPercent val="0"/>
          <c:showBubbleSize val="0"/>
        </c:dLbls>
        <c:axId val="133148672"/>
        <c:axId val="133150592"/>
      </c:scatterChart>
      <c:valAx>
        <c:axId val="133148672"/>
        <c:scaling>
          <c:orientation val="minMax"/>
        </c:scaling>
        <c:delete val="0"/>
        <c:axPos val="b"/>
        <c:title>
          <c:tx>
            <c:rich>
              <a:bodyPr/>
              <a:lstStyle/>
              <a:p>
                <a:pPr>
                  <a:defRPr/>
                </a:pPr>
                <a:r>
                  <a:rPr lang="en-US"/>
                  <a:t>Output</a:t>
                </a:r>
                <a:r>
                  <a:rPr lang="en-US" baseline="0"/>
                  <a:t> Voltage (V)</a:t>
                </a:r>
                <a:endParaRPr lang="en-US"/>
              </a:p>
            </c:rich>
          </c:tx>
          <c:overlay val="0"/>
        </c:title>
        <c:numFmt formatCode="0.00" sourceLinked="1"/>
        <c:majorTickMark val="out"/>
        <c:minorTickMark val="none"/>
        <c:tickLblPos val="nextTo"/>
        <c:crossAx val="133150592"/>
        <c:crosses val="autoZero"/>
        <c:crossBetween val="midCat"/>
      </c:valAx>
      <c:valAx>
        <c:axId val="133150592"/>
        <c:scaling>
          <c:orientation val="minMax"/>
          <c:min val="0"/>
        </c:scaling>
        <c:delete val="0"/>
        <c:axPos val="l"/>
        <c:majorGridlines/>
        <c:title>
          <c:tx>
            <c:rich>
              <a:bodyPr rot="-5400000" vert="horz"/>
              <a:lstStyle/>
              <a:p>
                <a:pPr>
                  <a:defRPr/>
                </a:pPr>
                <a:r>
                  <a:rPr lang="en-US"/>
                  <a:t>Current (A)</a:t>
                </a:r>
              </a:p>
            </c:rich>
          </c:tx>
          <c:overlay val="0"/>
        </c:title>
        <c:numFmt formatCode="0.000" sourceLinked="1"/>
        <c:majorTickMark val="out"/>
        <c:minorTickMark val="none"/>
        <c:tickLblPos val="nextTo"/>
        <c:crossAx val="133148672"/>
        <c:crosses val="autoZero"/>
        <c:crossBetween val="midCat"/>
      </c:valAx>
    </c:plotArea>
    <c:legend>
      <c:legendPos val="r"/>
      <c:layout>
        <c:manualLayout>
          <c:xMode val="edge"/>
          <c:yMode val="edge"/>
          <c:x val="0.34624252358789726"/>
          <c:y val="0.24479126489117176"/>
          <c:w val="0.21462230092985587"/>
          <c:h val="0.16792443955258282"/>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3.emf"/><Relationship Id="rId7" Type="http://schemas.openxmlformats.org/officeDocument/2006/relationships/chart" Target="../charts/chart3.xml"/><Relationship Id="rId2" Type="http://schemas.openxmlformats.org/officeDocument/2006/relationships/image" Target="../media/image2.png"/><Relationship Id="rId1" Type="http://schemas.openxmlformats.org/officeDocument/2006/relationships/hyperlink" Target="http://www.ti.com" TargetMode="External"/><Relationship Id="rId6" Type="http://schemas.openxmlformats.org/officeDocument/2006/relationships/chart" Target="../charts/chart2.xml"/><Relationship Id="rId5" Type="http://schemas.openxmlformats.org/officeDocument/2006/relationships/chart" Target="../charts/chart1.xml"/><Relationship Id="rId4" Type="http://schemas.openxmlformats.org/officeDocument/2006/relationships/image" Target="../media/image4.png"/><Relationship Id="rId9"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95250</xdr:rowOff>
    </xdr:from>
    <xdr:to>
      <xdr:col>15</xdr:col>
      <xdr:colOff>581025</xdr:colOff>
      <xdr:row>5</xdr:row>
      <xdr:rowOff>28575</xdr:rowOff>
    </xdr:to>
    <xdr:sp macro="" textlink="">
      <xdr:nvSpPr>
        <xdr:cNvPr id="2" name="Rectangle 1"/>
        <xdr:cNvSpPr>
          <a:spLocks noChangeArrowheads="1"/>
        </xdr:cNvSpPr>
      </xdr:nvSpPr>
      <xdr:spPr bwMode="auto">
        <a:xfrm>
          <a:off x="0" y="266700"/>
          <a:ext cx="9725025" cy="933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0</xdr:col>
      <xdr:colOff>114300</xdr:colOff>
      <xdr:row>2</xdr:row>
      <xdr:rowOff>0</xdr:rowOff>
    </xdr:from>
    <xdr:to>
      <xdr:col>4</xdr:col>
      <xdr:colOff>0</xdr:colOff>
      <xdr:row>4</xdr:row>
      <xdr:rowOff>104775</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333375"/>
          <a:ext cx="232410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26669</xdr:colOff>
      <xdr:row>1</xdr:row>
      <xdr:rowOff>104775</xdr:rowOff>
    </xdr:from>
    <xdr:to>
      <xdr:col>7</xdr:col>
      <xdr:colOff>19050</xdr:colOff>
      <xdr:row>7</xdr:row>
      <xdr:rowOff>33617</xdr:rowOff>
    </xdr:to>
    <xdr:sp macro="" textlink="">
      <xdr:nvSpPr>
        <xdr:cNvPr id="1025" name="Text Box 1"/>
        <xdr:cNvSpPr txBox="1">
          <a:spLocks noChangeArrowheads="1"/>
        </xdr:cNvSpPr>
      </xdr:nvSpPr>
      <xdr:spPr bwMode="auto">
        <a:xfrm>
          <a:off x="26669" y="877981"/>
          <a:ext cx="6973646" cy="91496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en-US" sz="1200" b="1" i="0" u="sng" strike="noStrike" baseline="0">
              <a:solidFill>
                <a:srgbClr val="FF0000"/>
              </a:solidFill>
              <a:latin typeface="Arial"/>
              <a:cs typeface="Arial"/>
            </a:rPr>
            <a:t>Note</a:t>
          </a:r>
          <a:r>
            <a:rPr lang="en-US" sz="1200" b="1" i="0" u="none" strike="noStrike" baseline="0">
              <a:solidFill>
                <a:srgbClr val="FF0000"/>
              </a:solidFill>
              <a:latin typeface="Arial"/>
              <a:cs typeface="Arial"/>
            </a:rPr>
            <a:t>:</a:t>
          </a:r>
          <a:r>
            <a:rPr lang="en-US" sz="1200" b="0" i="0" u="none" strike="noStrike" baseline="0">
              <a:solidFill>
                <a:srgbClr val="FF0000"/>
              </a:solidFill>
              <a:latin typeface="Arial"/>
              <a:cs typeface="Arial"/>
            </a:rPr>
            <a:t> The components calculated in this worksheet are reasonable starting values for a design using the TPS249x and TPS248x series of Hot-swap Controller. As such, they are not optimized for any particular performance attribute. Tolerances of the components are not included in the calculations. See the Instructions tab for additional information.</a:t>
          </a:r>
        </a:p>
        <a:p>
          <a:pPr algn="l" rtl="0">
            <a:defRPr sz="1000"/>
          </a:pPr>
          <a:r>
            <a:rPr lang="en-US" sz="1200" b="1" i="0" u="none" strike="noStrike" baseline="0">
              <a:solidFill>
                <a:sysClr val="windowText" lastClr="000000"/>
              </a:solidFill>
              <a:latin typeface="Arial"/>
              <a:cs typeface="Arial"/>
            </a:rPr>
            <a:t>Consult the TPS249x datasheet for more detail.</a:t>
          </a:r>
        </a:p>
      </xdr:txBody>
    </xdr:sp>
    <xdr:clientData/>
  </xdr:twoCellAnchor>
  <xdr:twoCellAnchor>
    <xdr:from>
      <xdr:col>39</xdr:col>
      <xdr:colOff>0</xdr:colOff>
      <xdr:row>41</xdr:row>
      <xdr:rowOff>0</xdr:rowOff>
    </xdr:from>
    <xdr:to>
      <xdr:col>39</xdr:col>
      <xdr:colOff>0</xdr:colOff>
      <xdr:row>49</xdr:row>
      <xdr:rowOff>0</xdr:rowOff>
    </xdr:to>
    <xdr:sp macro="" textlink="">
      <xdr:nvSpPr>
        <xdr:cNvPr id="1056" name="Text Box 32"/>
        <xdr:cNvSpPr txBox="1">
          <a:spLocks noChangeArrowheads="1"/>
        </xdr:cNvSpPr>
      </xdr:nvSpPr>
      <xdr:spPr bwMode="auto">
        <a:xfrm>
          <a:off x="16821150" y="4267200"/>
          <a:ext cx="2276475" cy="8477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Max R</a:t>
          </a:r>
          <a:r>
            <a:rPr lang="en-US" sz="1000" b="0" i="0" u="none" strike="noStrike" baseline="-25000">
              <a:solidFill>
                <a:srgbClr val="000000"/>
              </a:solidFill>
              <a:latin typeface="Arial"/>
              <a:cs typeface="Arial"/>
            </a:rPr>
            <a:t>S</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45 mV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(Max Load Current x 1.01)</a:t>
          </a:r>
        </a:p>
        <a:p>
          <a:pPr algn="l" rtl="0">
            <a:defRPr sz="1000"/>
          </a:pPr>
          <a:endParaRPr lang="en-US" sz="10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The 1.01 factor provides 1% margin from the max. normal load current.</a:t>
          </a:r>
        </a:p>
      </xdr:txBody>
    </xdr:sp>
    <xdr:clientData/>
  </xdr:twoCellAnchor>
  <xdr:twoCellAnchor editAs="oneCell">
    <xdr:from>
      <xdr:col>1</xdr:col>
      <xdr:colOff>50987</xdr:colOff>
      <xdr:row>0</xdr:row>
      <xdr:rowOff>171450</xdr:rowOff>
    </xdr:from>
    <xdr:to>
      <xdr:col>1</xdr:col>
      <xdr:colOff>1713717</xdr:colOff>
      <xdr:row>0</xdr:row>
      <xdr:rowOff>609600</xdr:rowOff>
    </xdr:to>
    <xdr:pic>
      <xdr:nvPicPr>
        <xdr:cNvPr id="10" name="Picture 9">
          <a:hlinkClick xmlns:r="http://schemas.openxmlformats.org/officeDocument/2006/relationships" r:id="rId1"/>
        </xdr:cNvPr>
        <xdr:cNvPicPr/>
      </xdr:nvPicPr>
      <xdr:blipFill>
        <a:blip xmlns:r="http://schemas.openxmlformats.org/officeDocument/2006/relationships" r:embed="rId2" cstate="print"/>
        <a:srcRect r="26499"/>
        <a:stretch>
          <a:fillRect/>
        </a:stretch>
      </xdr:blipFill>
      <xdr:spPr bwMode="auto">
        <a:xfrm>
          <a:off x="84605" y="171450"/>
          <a:ext cx="1662730" cy="438150"/>
        </a:xfrm>
        <a:prstGeom prst="rect">
          <a:avLst/>
        </a:prstGeom>
        <a:noFill/>
        <a:ln w="9525">
          <a:noFill/>
          <a:miter lim="800000"/>
          <a:headEnd/>
          <a:tailEnd/>
        </a:ln>
      </xdr:spPr>
    </xdr:pic>
    <xdr:clientData/>
  </xdr:twoCellAnchor>
  <xdr:twoCellAnchor editAs="oneCell">
    <xdr:from>
      <xdr:col>5</xdr:col>
      <xdr:colOff>95251</xdr:colOff>
      <xdr:row>113</xdr:row>
      <xdr:rowOff>95251</xdr:rowOff>
    </xdr:from>
    <xdr:to>
      <xdr:col>10</xdr:col>
      <xdr:colOff>632842</xdr:colOff>
      <xdr:row>113</xdr:row>
      <xdr:rowOff>97409</xdr:rowOff>
    </xdr:to>
    <xdr:pic>
      <xdr:nvPicPr>
        <xdr:cNvPr id="3" name="Picture 216"/>
        <xdr:cNvPicPr>
          <a:picLocks noChangeAspect="1" noChangeArrowheads="1"/>
        </xdr:cNvPicPr>
      </xdr:nvPicPr>
      <xdr:blipFill>
        <a:blip xmlns:r="http://schemas.openxmlformats.org/officeDocument/2006/relationships" r:embed="rId3" cstate="print"/>
        <a:srcRect/>
        <a:stretch>
          <a:fillRect/>
        </a:stretch>
      </xdr:blipFill>
      <xdr:spPr bwMode="auto">
        <a:xfrm>
          <a:off x="5467351" y="15116176"/>
          <a:ext cx="4019549" cy="653471"/>
        </a:xfrm>
        <a:prstGeom prst="rect">
          <a:avLst/>
        </a:prstGeom>
        <a:noFill/>
      </xdr:spPr>
    </xdr:pic>
    <xdr:clientData/>
  </xdr:twoCellAnchor>
  <xdr:twoCellAnchor>
    <xdr:from>
      <xdr:col>16</xdr:col>
      <xdr:colOff>714375</xdr:colOff>
      <xdr:row>0</xdr:row>
      <xdr:rowOff>114871</xdr:rowOff>
    </xdr:from>
    <xdr:to>
      <xdr:col>16</xdr:col>
      <xdr:colOff>2247900</xdr:colOff>
      <xdr:row>0</xdr:row>
      <xdr:rowOff>516906</xdr:rowOff>
    </xdr:to>
    <xdr:pic>
      <xdr:nvPicPr>
        <xdr:cNvPr id="11" name="Picture 84"/>
        <xdr:cNvPicPr>
          <a:picLocks noChangeAspect="1" noChangeArrowheads="1"/>
        </xdr:cNvPicPr>
      </xdr:nvPicPr>
      <xdr:blipFill>
        <a:blip xmlns:r="http://schemas.openxmlformats.org/officeDocument/2006/relationships" r:embed="rId4" cstate="print"/>
        <a:srcRect/>
        <a:stretch>
          <a:fillRect/>
        </a:stretch>
      </xdr:blipFill>
      <xdr:spPr bwMode="auto">
        <a:xfrm>
          <a:off x="10982325" y="114871"/>
          <a:ext cx="1533525" cy="402035"/>
        </a:xfrm>
        <a:prstGeom prst="rect">
          <a:avLst/>
        </a:prstGeom>
        <a:noFill/>
        <a:ln w="1">
          <a:noFill/>
          <a:miter lim="800000"/>
          <a:headEnd/>
          <a:tailEnd type="none" w="med" len="med"/>
        </a:ln>
        <a:effectLst/>
      </xdr:spPr>
    </xdr:pic>
    <xdr:clientData/>
  </xdr:twoCellAnchor>
  <xdr:twoCellAnchor>
    <xdr:from>
      <xdr:col>7</xdr:col>
      <xdr:colOff>274321</xdr:colOff>
      <xdr:row>31</xdr:row>
      <xdr:rowOff>76201</xdr:rowOff>
    </xdr:from>
    <xdr:to>
      <xdr:col>38</xdr:col>
      <xdr:colOff>304801</xdr:colOff>
      <xdr:row>48</xdr:row>
      <xdr:rowOff>106681</xdr:rowOff>
    </xdr:to>
    <xdr:graphicFrame macro="">
      <xdr:nvGraphicFramePr>
        <xdr:cNvPr id="19" name="Chart 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8</xdr:col>
      <xdr:colOff>53340</xdr:colOff>
      <xdr:row>25</xdr:row>
      <xdr:rowOff>175260</xdr:rowOff>
    </xdr:from>
    <xdr:ext cx="184731" cy="264560"/>
    <xdr:sp macro="" textlink="">
      <xdr:nvSpPr>
        <xdr:cNvPr id="4" name="TextBox 3"/>
        <xdr:cNvSpPr txBox="1"/>
      </xdr:nvSpPr>
      <xdr:spPr>
        <a:xfrm>
          <a:off x="7726680" y="5196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220084</xdr:colOff>
      <xdr:row>49</xdr:row>
      <xdr:rowOff>94131</xdr:rowOff>
    </xdr:from>
    <xdr:to>
      <xdr:col>38</xdr:col>
      <xdr:colOff>215153</xdr:colOff>
      <xdr:row>63</xdr:row>
      <xdr:rowOff>0</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11</xdr:col>
      <xdr:colOff>434340</xdr:colOff>
      <xdr:row>37</xdr:row>
      <xdr:rowOff>91440</xdr:rowOff>
    </xdr:from>
    <xdr:ext cx="184731" cy="264560"/>
    <xdr:sp macro="" textlink="">
      <xdr:nvSpPr>
        <xdr:cNvPr id="5" name="TextBox 4"/>
        <xdr:cNvSpPr txBox="1"/>
      </xdr:nvSpPr>
      <xdr:spPr>
        <a:xfrm>
          <a:off x="10309860" y="77419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236405</xdr:colOff>
      <xdr:row>63</xdr:row>
      <xdr:rowOff>57275</xdr:rowOff>
    </xdr:from>
    <xdr:to>
      <xdr:col>38</xdr:col>
      <xdr:colOff>326519</xdr:colOff>
      <xdr:row>72</xdr:row>
      <xdr:rowOff>347133</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oneCellAnchor>
    <xdr:from>
      <xdr:col>12</xdr:col>
      <xdr:colOff>662940</xdr:colOff>
      <xdr:row>51</xdr:row>
      <xdr:rowOff>30480</xdr:rowOff>
    </xdr:from>
    <xdr:ext cx="184731" cy="264560"/>
    <xdr:sp macro="" textlink="">
      <xdr:nvSpPr>
        <xdr:cNvPr id="2" name="TextBox 1"/>
        <xdr:cNvSpPr txBox="1"/>
      </xdr:nvSpPr>
      <xdr:spPr>
        <a:xfrm>
          <a:off x="11193780" y="98602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8</xdr:col>
      <xdr:colOff>67683</xdr:colOff>
      <xdr:row>19</xdr:row>
      <xdr:rowOff>152400</xdr:rowOff>
    </xdr:from>
    <xdr:to>
      <xdr:col>11</xdr:col>
      <xdr:colOff>499533</xdr:colOff>
      <xdr:row>30</xdr:row>
      <xdr:rowOff>35437</xdr:rowOff>
    </xdr:to>
    <xdr:grpSp>
      <xdr:nvGrpSpPr>
        <xdr:cNvPr id="20" name="Group 19"/>
        <xdr:cNvGrpSpPr/>
      </xdr:nvGrpSpPr>
      <xdr:grpSpPr>
        <a:xfrm>
          <a:off x="8216850" y="4343400"/>
          <a:ext cx="2569683" cy="1978537"/>
          <a:chOff x="8025536" y="4434091"/>
          <a:chExt cx="2861885" cy="2548942"/>
        </a:xfrm>
      </xdr:grpSpPr>
      <xdr:grpSp>
        <xdr:nvGrpSpPr>
          <xdr:cNvPr id="21" name="Group 20"/>
          <xdr:cNvGrpSpPr/>
        </xdr:nvGrpSpPr>
        <xdr:grpSpPr>
          <a:xfrm>
            <a:off x="8025536" y="4434091"/>
            <a:ext cx="2861885" cy="2548942"/>
            <a:chOff x="7532443" y="4392378"/>
            <a:chExt cx="2857500" cy="2548942"/>
          </a:xfrm>
        </xdr:grpSpPr>
        <xdr:pic>
          <xdr:nvPicPr>
            <xdr:cNvPr id="23" name="Picture 22"/>
            <xdr:cNvPicPr>
              <a:picLocks noChangeAspect="1"/>
            </xdr:cNvPicPr>
          </xdr:nvPicPr>
          <xdr:blipFill>
            <a:blip xmlns:r="http://schemas.openxmlformats.org/officeDocument/2006/relationships" r:embed="rId8"/>
            <a:stretch>
              <a:fillRect/>
            </a:stretch>
          </xdr:blipFill>
          <xdr:spPr>
            <a:xfrm>
              <a:off x="7532443" y="4392378"/>
              <a:ext cx="2857500" cy="2548942"/>
            </a:xfrm>
            <a:prstGeom prst="rect">
              <a:avLst/>
            </a:prstGeom>
          </xdr:spPr>
        </xdr:pic>
        <xdr:sp macro="" textlink="">
          <xdr:nvSpPr>
            <xdr:cNvPr id="24" name="TextBox 23"/>
            <xdr:cNvSpPr txBox="1"/>
          </xdr:nvSpPr>
          <xdr:spPr>
            <a:xfrm>
              <a:off x="8430621" y="5127689"/>
              <a:ext cx="593913" cy="29081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a:latin typeface="Arial" panose="020B0604020202020204" pitchFamily="34" charset="0"/>
                  <a:cs typeface="Arial" panose="020B0604020202020204" pitchFamily="34" charset="0"/>
                </a:rPr>
                <a:t>R</a:t>
              </a:r>
              <a:r>
                <a:rPr lang="en-US" sz="1200" b="0" baseline="-25000">
                  <a:latin typeface="Arial" panose="020B0604020202020204" pitchFamily="34" charset="0"/>
                  <a:cs typeface="Arial" panose="020B0604020202020204" pitchFamily="34" charset="0"/>
                </a:rPr>
                <a:t>CL1</a:t>
              </a:r>
            </a:p>
          </xdr:txBody>
        </xdr:sp>
        <xdr:sp macro="" textlink="">
          <xdr:nvSpPr>
            <xdr:cNvPr id="25" name="TextBox 24"/>
            <xdr:cNvSpPr txBox="1"/>
          </xdr:nvSpPr>
          <xdr:spPr>
            <a:xfrm>
              <a:off x="9397253" y="5038165"/>
              <a:ext cx="593913" cy="37768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a:latin typeface="Arial" panose="020B0604020202020204" pitchFamily="34" charset="0"/>
                  <a:cs typeface="Arial" panose="020B0604020202020204" pitchFamily="34" charset="0"/>
                </a:rPr>
                <a:t>R</a:t>
              </a:r>
              <a:r>
                <a:rPr lang="en-US" sz="1200" b="0" baseline="-25000">
                  <a:latin typeface="Arial" panose="020B0604020202020204" pitchFamily="34" charset="0"/>
                  <a:cs typeface="Arial" panose="020B0604020202020204" pitchFamily="34" charset="0"/>
                </a:rPr>
                <a:t>CL2</a:t>
              </a:r>
            </a:p>
          </xdr:txBody>
        </xdr:sp>
      </xdr:grpSp>
      <xdr:sp macro="" textlink="">
        <xdr:nvSpPr>
          <xdr:cNvPr id="22" name="Rectangle 21"/>
          <xdr:cNvSpPr/>
        </xdr:nvSpPr>
        <xdr:spPr>
          <a:xfrm>
            <a:off x="10510630" y="6493565"/>
            <a:ext cx="99392" cy="281609"/>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oneCellAnchor>
    <xdr:from>
      <xdr:col>9</xdr:col>
      <xdr:colOff>232829</xdr:colOff>
      <xdr:row>27</xdr:row>
      <xdr:rowOff>93973</xdr:rowOff>
    </xdr:from>
    <xdr:ext cx="1303020" cy="405432"/>
    <xdr:sp macro="" textlink="">
      <xdr:nvSpPr>
        <xdr:cNvPr id="8" name="TextBox 7"/>
        <xdr:cNvSpPr txBox="1"/>
      </xdr:nvSpPr>
      <xdr:spPr>
        <a:xfrm>
          <a:off x="8928096" y="5944440"/>
          <a:ext cx="1303020" cy="40543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2000" b="1"/>
            <a:t>TPS249x</a:t>
          </a:r>
        </a:p>
      </xdr:txBody>
    </xdr:sp>
    <xdr:clientData/>
  </xdr:oneCellAnchor>
  <xdr:oneCellAnchor>
    <xdr:from>
      <xdr:col>8</xdr:col>
      <xdr:colOff>570231</xdr:colOff>
      <xdr:row>25</xdr:row>
      <xdr:rowOff>144355</xdr:rowOff>
    </xdr:from>
    <xdr:ext cx="533400" cy="236221"/>
    <xdr:sp macro="" textlink="">
      <xdr:nvSpPr>
        <xdr:cNvPr id="12" name="TextBox 11"/>
        <xdr:cNvSpPr txBox="1"/>
      </xdr:nvSpPr>
      <xdr:spPr>
        <a:xfrm>
          <a:off x="8158481" y="5478355"/>
          <a:ext cx="533400" cy="23622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t>VCC</a:t>
          </a:r>
        </a:p>
      </xdr:txBody>
    </xdr:sp>
    <xdr:clientData/>
  </xdr:oneCellAnchor>
  <xdr:oneCellAnchor>
    <xdr:from>
      <xdr:col>9</xdr:col>
      <xdr:colOff>571500</xdr:colOff>
      <xdr:row>25</xdr:row>
      <xdr:rowOff>145202</xdr:rowOff>
    </xdr:from>
    <xdr:ext cx="640080" cy="236221"/>
    <xdr:sp macro="" textlink="">
      <xdr:nvSpPr>
        <xdr:cNvPr id="27" name="TextBox 26"/>
        <xdr:cNvSpPr txBox="1"/>
      </xdr:nvSpPr>
      <xdr:spPr>
        <a:xfrm>
          <a:off x="9017000" y="5479202"/>
          <a:ext cx="640080" cy="23622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t>SENSE</a:t>
          </a:r>
        </a:p>
      </xdr:txBody>
    </xdr:sp>
    <xdr:clientData/>
  </xdr:oneCellAnchor>
  <xdr:twoCellAnchor editAs="oneCell">
    <xdr:from>
      <xdr:col>1</xdr:col>
      <xdr:colOff>53341</xdr:colOff>
      <xdr:row>84</xdr:row>
      <xdr:rowOff>122184</xdr:rowOff>
    </xdr:from>
    <xdr:to>
      <xdr:col>4</xdr:col>
      <xdr:colOff>10585</xdr:colOff>
      <xdr:row>99</xdr:row>
      <xdr:rowOff>7895</xdr:rowOff>
    </xdr:to>
    <xdr:pic>
      <xdr:nvPicPr>
        <xdr:cNvPr id="15" name="Picture 14"/>
        <xdr:cNvPicPr>
          <a:picLocks noChangeAspect="1"/>
        </xdr:cNvPicPr>
      </xdr:nvPicPr>
      <xdr:blipFill>
        <a:blip xmlns:r="http://schemas.openxmlformats.org/officeDocument/2006/relationships" r:embed="rId9"/>
        <a:stretch>
          <a:fillRect/>
        </a:stretch>
      </xdr:blipFill>
      <xdr:spPr>
        <a:xfrm>
          <a:off x="83821" y="20917164"/>
          <a:ext cx="4762500" cy="2727971"/>
        </a:xfrm>
        <a:prstGeom prst="rect">
          <a:avLst/>
        </a:prstGeom>
      </xdr:spPr>
    </xdr:pic>
    <xdr:clientData/>
  </xdr:twoCellAnchor>
  <xdr:oneCellAnchor>
    <xdr:from>
      <xdr:col>2</xdr:col>
      <xdr:colOff>419100</xdr:colOff>
      <xdr:row>84</xdr:row>
      <xdr:rowOff>60960</xdr:rowOff>
    </xdr:from>
    <xdr:ext cx="480060" cy="280205"/>
    <xdr:sp macro="" textlink="">
      <xdr:nvSpPr>
        <xdr:cNvPr id="26" name="TextBox 25"/>
        <xdr:cNvSpPr txBox="1"/>
      </xdr:nvSpPr>
      <xdr:spPr>
        <a:xfrm>
          <a:off x="2506980" y="20855940"/>
          <a:ext cx="480060" cy="28020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a:t>Q</a:t>
          </a:r>
          <a:r>
            <a:rPr lang="en-US" sz="1200" baseline="-25000"/>
            <a:t>1</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21</xdr:col>
      <xdr:colOff>563880</xdr:colOff>
      <xdr:row>26</xdr:row>
      <xdr:rowOff>87630</xdr:rowOff>
    </xdr:from>
    <xdr:to>
      <xdr:col>28</xdr:col>
      <xdr:colOff>388620</xdr:colOff>
      <xdr:row>46</xdr:row>
      <xdr:rowOff>137160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_7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1.2333333333333334</v>
          </cell>
        </row>
        <row r="47">
          <cell r="C47">
            <v>14.44821271299568</v>
          </cell>
        </row>
        <row r="52">
          <cell r="C52">
            <v>61.344890223835883</v>
          </cell>
        </row>
        <row r="61">
          <cell r="C61">
            <v>1650</v>
          </cell>
        </row>
        <row r="67">
          <cell r="C67">
            <v>2.2000000000000001E-7</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0.74</v>
          </cell>
        </row>
        <row r="47">
          <cell r="C47">
            <v>13.954879379662346</v>
          </cell>
        </row>
        <row r="52">
          <cell r="C52">
            <v>62.580553546791855</v>
          </cell>
        </row>
        <row r="61">
          <cell r="C61">
            <v>1650</v>
          </cell>
        </row>
        <row r="67">
          <cell r="C67">
            <v>2.2000000000000001E-7</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ti.com/lit/pdf/slva673"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www.ti.com/hotswa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7"/>
  <sheetViews>
    <sheetView topLeftCell="A14" workbookViewId="0">
      <selection activeCell="B34" sqref="B34:M96"/>
    </sheetView>
  </sheetViews>
  <sheetFormatPr defaultRowHeight="12.75" x14ac:dyDescent="0.2"/>
  <sheetData>
    <row r="1" spans="1:16" ht="13.5" thickTop="1" x14ac:dyDescent="0.2">
      <c r="A1" s="94"/>
      <c r="B1" s="95"/>
      <c r="C1" s="95"/>
      <c r="D1" s="95"/>
      <c r="E1" s="95"/>
      <c r="F1" s="95"/>
      <c r="G1" s="95"/>
      <c r="H1" s="95"/>
      <c r="I1" s="95"/>
      <c r="J1" s="95"/>
      <c r="K1" s="95"/>
      <c r="L1" s="95"/>
      <c r="M1" s="95"/>
      <c r="N1" s="95"/>
      <c r="O1" s="95"/>
      <c r="P1" s="96"/>
    </row>
    <row r="2" spans="1:16" x14ac:dyDescent="0.2">
      <c r="A2" s="97"/>
      <c r="B2" s="98"/>
      <c r="C2" s="98"/>
      <c r="D2" s="98"/>
      <c r="E2" s="98"/>
      <c r="F2" s="98"/>
      <c r="G2" s="98"/>
      <c r="H2" s="98"/>
      <c r="I2" s="98"/>
      <c r="J2" s="98"/>
      <c r="K2" s="98"/>
      <c r="L2" s="98"/>
      <c r="M2" s="98"/>
      <c r="N2" s="98"/>
      <c r="O2" s="98"/>
      <c r="P2" s="99"/>
    </row>
    <row r="3" spans="1:16" ht="30" x14ac:dyDescent="0.4">
      <c r="A3" s="97"/>
      <c r="B3" s="98"/>
      <c r="C3" s="98"/>
      <c r="D3" s="100"/>
      <c r="E3" s="98"/>
      <c r="F3" s="98"/>
      <c r="G3" s="98"/>
      <c r="H3" s="98"/>
      <c r="I3" s="98"/>
      <c r="J3" s="98"/>
      <c r="K3" s="98"/>
      <c r="L3" s="101"/>
      <c r="M3" s="98"/>
      <c r="N3" s="98"/>
      <c r="O3" s="98"/>
      <c r="P3" s="99"/>
    </row>
    <row r="4" spans="1:16" ht="23.25" x14ac:dyDescent="0.35">
      <c r="A4" s="97"/>
      <c r="B4" s="98"/>
      <c r="C4" s="98"/>
      <c r="D4" s="102"/>
      <c r="E4" s="98"/>
      <c r="F4" s="98"/>
      <c r="G4" s="98"/>
      <c r="H4" s="98"/>
      <c r="I4" s="98"/>
      <c r="J4" s="98"/>
      <c r="K4" s="98"/>
      <c r="L4" s="98"/>
      <c r="M4" s="98"/>
      <c r="N4" s="98"/>
      <c r="O4" s="98"/>
      <c r="P4" s="99"/>
    </row>
    <row r="5" spans="1:16" x14ac:dyDescent="0.2">
      <c r="A5" s="97"/>
      <c r="B5" s="98"/>
      <c r="C5" s="98"/>
      <c r="D5" s="98"/>
      <c r="E5" s="98"/>
      <c r="F5" s="98"/>
      <c r="G5" s="98"/>
      <c r="H5" s="98"/>
      <c r="I5" s="98"/>
      <c r="J5" s="98"/>
      <c r="K5" s="98"/>
      <c r="L5" s="98"/>
      <c r="M5" s="98"/>
      <c r="N5" s="98"/>
      <c r="O5" s="98"/>
      <c r="P5" s="99"/>
    </row>
    <row r="6" spans="1:16" x14ac:dyDescent="0.2">
      <c r="A6" s="97"/>
      <c r="B6" s="98"/>
      <c r="C6" s="98"/>
      <c r="D6" s="98"/>
      <c r="E6" s="98"/>
      <c r="F6" s="98"/>
      <c r="G6" s="98"/>
      <c r="H6" s="98"/>
      <c r="I6" s="98"/>
      <c r="J6" s="98"/>
      <c r="K6" s="98"/>
      <c r="L6" s="98"/>
      <c r="M6" s="98"/>
      <c r="N6" s="98"/>
      <c r="O6" s="98"/>
      <c r="P6" s="99"/>
    </row>
    <row r="7" spans="1:16" ht="15.75" x14ac:dyDescent="0.25">
      <c r="A7" s="97"/>
      <c r="B7" s="98"/>
      <c r="C7" s="98"/>
      <c r="D7" s="98"/>
      <c r="E7" s="98"/>
      <c r="F7" s="98"/>
      <c r="G7" s="98"/>
      <c r="H7" s="98"/>
      <c r="I7" s="98"/>
      <c r="J7" s="98"/>
      <c r="K7" s="98"/>
      <c r="L7" s="98"/>
      <c r="M7" s="101" t="s">
        <v>388</v>
      </c>
      <c r="N7" s="98"/>
      <c r="O7" s="98"/>
      <c r="P7" s="99"/>
    </row>
    <row r="8" spans="1:16" ht="30" x14ac:dyDescent="0.4">
      <c r="A8" s="97"/>
      <c r="B8" s="100" t="s">
        <v>358</v>
      </c>
      <c r="C8" s="98"/>
      <c r="D8" s="98"/>
      <c r="E8" s="98"/>
      <c r="F8" s="98"/>
      <c r="G8" s="98"/>
      <c r="H8" s="98"/>
      <c r="I8" s="98"/>
      <c r="J8" s="98"/>
      <c r="K8" s="98"/>
      <c r="L8" s="98"/>
      <c r="M8" s="98"/>
      <c r="N8" s="98"/>
      <c r="O8" s="98"/>
      <c r="P8" s="99"/>
    </row>
    <row r="9" spans="1:16" x14ac:dyDescent="0.2">
      <c r="A9" s="97"/>
      <c r="B9" s="98"/>
      <c r="C9" s="98"/>
      <c r="D9" s="98"/>
      <c r="E9" s="98"/>
      <c r="F9" s="98"/>
      <c r="G9" s="98"/>
      <c r="H9" s="98"/>
      <c r="I9" s="98"/>
      <c r="J9" s="98"/>
      <c r="K9" s="98"/>
      <c r="L9" s="98"/>
      <c r="M9" s="98"/>
      <c r="N9" s="98"/>
      <c r="O9" s="98"/>
      <c r="P9" s="99"/>
    </row>
    <row r="10" spans="1:16" ht="20.25" x14ac:dyDescent="0.3">
      <c r="A10" s="97"/>
      <c r="B10" s="103" t="s">
        <v>325</v>
      </c>
      <c r="C10" s="104"/>
      <c r="D10" s="104"/>
      <c r="E10" s="104"/>
      <c r="F10" s="98"/>
      <c r="G10" s="98"/>
      <c r="H10" s="98"/>
      <c r="I10" s="98"/>
      <c r="J10" s="98"/>
      <c r="K10" s="98"/>
      <c r="L10" s="98"/>
      <c r="M10" s="98"/>
      <c r="N10" s="98"/>
      <c r="O10" s="98"/>
      <c r="P10" s="99"/>
    </row>
    <row r="11" spans="1:16" ht="14.25" x14ac:dyDescent="0.2">
      <c r="A11" s="97"/>
      <c r="B11" s="105" t="s">
        <v>326</v>
      </c>
      <c r="C11" s="106"/>
      <c r="D11" s="106"/>
      <c r="E11" s="106"/>
      <c r="F11" s="98"/>
      <c r="G11" s="98"/>
      <c r="H11" s="98"/>
      <c r="I11" s="98"/>
      <c r="J11" s="98"/>
      <c r="K11" s="98"/>
      <c r="L11" s="98"/>
      <c r="M11" s="98"/>
      <c r="N11" s="98"/>
      <c r="O11" s="98"/>
      <c r="P11" s="99"/>
    </row>
    <row r="12" spans="1:16" ht="14.25" x14ac:dyDescent="0.2">
      <c r="A12" s="97"/>
      <c r="B12" s="105" t="s">
        <v>327</v>
      </c>
      <c r="C12" s="106"/>
      <c r="D12" s="106"/>
      <c r="E12" s="106"/>
      <c r="F12" s="98"/>
      <c r="G12" s="98"/>
      <c r="H12" s="98"/>
      <c r="I12" s="98"/>
      <c r="J12" s="98"/>
      <c r="K12" s="98"/>
      <c r="L12" s="98"/>
      <c r="M12" s="98"/>
      <c r="N12" s="98"/>
      <c r="O12" s="98"/>
      <c r="P12" s="99"/>
    </row>
    <row r="13" spans="1:16" ht="14.25" x14ac:dyDescent="0.2">
      <c r="A13" s="97"/>
      <c r="B13" s="105"/>
      <c r="C13" s="106"/>
      <c r="D13" s="106"/>
      <c r="E13" s="106"/>
      <c r="F13" s="98"/>
      <c r="G13" s="98"/>
      <c r="H13" s="98"/>
      <c r="I13" s="98"/>
      <c r="J13" s="98"/>
      <c r="K13" s="98"/>
      <c r="L13" s="98"/>
      <c r="M13" s="98"/>
      <c r="N13" s="98"/>
      <c r="O13" s="98"/>
      <c r="P13" s="99"/>
    </row>
    <row r="14" spans="1:16" x14ac:dyDescent="0.2">
      <c r="A14" s="97"/>
      <c r="B14" s="286" t="s">
        <v>355</v>
      </c>
      <c r="C14" s="286"/>
      <c r="D14" s="286"/>
      <c r="E14" s="104"/>
      <c r="F14" s="98"/>
      <c r="G14" s="98"/>
      <c r="H14" s="98"/>
      <c r="I14" s="98"/>
      <c r="J14" s="98"/>
      <c r="K14" s="98"/>
      <c r="L14" s="98"/>
      <c r="M14" s="98"/>
      <c r="N14" s="98"/>
      <c r="O14" s="98"/>
      <c r="P14" s="99"/>
    </row>
    <row r="15" spans="1:16" x14ac:dyDescent="0.2">
      <c r="A15" s="97"/>
      <c r="B15" s="276"/>
      <c r="C15" s="276"/>
      <c r="D15" s="276"/>
      <c r="E15" s="276"/>
      <c r="F15" s="276"/>
      <c r="G15" s="276"/>
      <c r="H15" s="276"/>
      <c r="I15" s="276"/>
      <c r="J15" s="98"/>
      <c r="K15" s="98"/>
      <c r="L15" s="98"/>
      <c r="M15" s="98"/>
      <c r="N15" s="98"/>
      <c r="O15" s="98"/>
      <c r="P15" s="99"/>
    </row>
    <row r="16" spans="1:16" x14ac:dyDescent="0.2">
      <c r="A16" s="97"/>
      <c r="B16" s="104"/>
      <c r="C16" s="104"/>
      <c r="D16" s="104"/>
      <c r="E16" s="104"/>
      <c r="F16" s="98"/>
      <c r="G16" s="98"/>
      <c r="H16" s="98"/>
      <c r="I16" s="98"/>
      <c r="J16" s="98"/>
      <c r="K16" s="98"/>
      <c r="L16" s="98"/>
      <c r="M16" s="98"/>
      <c r="N16" s="98"/>
      <c r="O16" s="98"/>
      <c r="P16" s="99"/>
    </row>
    <row r="17" spans="1:16" x14ac:dyDescent="0.2">
      <c r="A17" s="97"/>
      <c r="B17" s="107" t="s">
        <v>328</v>
      </c>
      <c r="C17" s="104"/>
      <c r="D17" s="104"/>
      <c r="E17" s="104"/>
      <c r="F17" s="98"/>
      <c r="G17" s="98"/>
      <c r="H17" s="98"/>
      <c r="I17" s="98"/>
      <c r="J17" s="98"/>
      <c r="K17" s="98"/>
      <c r="L17" s="98"/>
      <c r="M17" s="98"/>
      <c r="N17" s="98"/>
      <c r="O17" s="98"/>
      <c r="P17" s="99"/>
    </row>
    <row r="18" spans="1:16" x14ac:dyDescent="0.2">
      <c r="A18" s="97"/>
      <c r="B18" s="108" t="s">
        <v>329</v>
      </c>
      <c r="C18" s="104"/>
      <c r="D18" s="104"/>
      <c r="E18" s="104"/>
      <c r="F18" s="98"/>
      <c r="G18" s="98"/>
      <c r="H18" s="98"/>
      <c r="I18" s="98"/>
      <c r="J18" s="98"/>
      <c r="K18" s="98"/>
      <c r="L18" s="98"/>
      <c r="M18" s="98"/>
      <c r="N18" s="98"/>
      <c r="O18" s="98"/>
      <c r="P18" s="99"/>
    </row>
    <row r="19" spans="1:16" x14ac:dyDescent="0.2">
      <c r="A19" s="97"/>
      <c r="B19" s="108" t="s">
        <v>330</v>
      </c>
      <c r="C19" s="104"/>
      <c r="D19" s="104"/>
      <c r="E19" s="104"/>
      <c r="F19" s="98"/>
      <c r="G19" s="98"/>
      <c r="H19" s="98"/>
      <c r="I19" s="98"/>
      <c r="J19" s="98"/>
      <c r="K19" s="98"/>
      <c r="L19" s="98"/>
      <c r="M19" s="98"/>
      <c r="N19" s="98"/>
      <c r="O19" s="98"/>
      <c r="P19" s="99"/>
    </row>
    <row r="20" spans="1:16" x14ac:dyDescent="0.2">
      <c r="A20" s="97"/>
      <c r="B20" s="108" t="s">
        <v>331</v>
      </c>
      <c r="C20" s="104"/>
      <c r="D20" s="104"/>
      <c r="E20" s="104"/>
      <c r="F20" s="98"/>
      <c r="G20" s="98"/>
      <c r="H20" s="98"/>
      <c r="I20" s="98"/>
      <c r="J20" s="98"/>
      <c r="K20" s="98"/>
      <c r="L20" s="98"/>
      <c r="M20" s="98"/>
      <c r="N20" s="98"/>
      <c r="O20" s="98"/>
      <c r="P20" s="99"/>
    </row>
    <row r="21" spans="1:16" x14ac:dyDescent="0.2">
      <c r="A21" s="97"/>
      <c r="B21" s="108" t="s">
        <v>332</v>
      </c>
      <c r="C21" s="104"/>
      <c r="D21" s="104"/>
      <c r="E21" s="104"/>
      <c r="F21" s="98"/>
      <c r="G21" s="98"/>
      <c r="H21" s="98"/>
      <c r="I21" s="98"/>
      <c r="J21" s="98"/>
      <c r="K21" s="98"/>
      <c r="L21" s="98"/>
      <c r="M21" s="98"/>
      <c r="N21" s="98"/>
      <c r="O21" s="98"/>
      <c r="P21" s="99"/>
    </row>
    <row r="22" spans="1:16" x14ac:dyDescent="0.2">
      <c r="A22" s="97"/>
      <c r="B22" s="108" t="s">
        <v>333</v>
      </c>
      <c r="C22" s="104"/>
      <c r="D22" s="104"/>
      <c r="E22" s="104"/>
      <c r="F22" s="98"/>
      <c r="G22" s="98"/>
      <c r="H22" s="98"/>
      <c r="I22" s="98"/>
      <c r="J22" s="98"/>
      <c r="K22" s="98"/>
      <c r="L22" s="98"/>
      <c r="M22" s="98"/>
      <c r="N22" s="98"/>
      <c r="O22" s="98"/>
      <c r="P22" s="99"/>
    </row>
    <row r="23" spans="1:16" x14ac:dyDescent="0.2">
      <c r="A23" s="97"/>
      <c r="B23" s="108" t="s">
        <v>334</v>
      </c>
      <c r="C23" s="104"/>
      <c r="D23" s="104"/>
      <c r="E23" s="104"/>
      <c r="F23" s="98"/>
      <c r="G23" s="98"/>
      <c r="H23" s="98"/>
      <c r="I23" s="98"/>
      <c r="J23" s="98"/>
      <c r="K23" s="98"/>
      <c r="L23" s="98"/>
      <c r="M23" s="98"/>
      <c r="N23" s="98"/>
      <c r="O23" s="98"/>
      <c r="P23" s="99"/>
    </row>
    <row r="24" spans="1:16" x14ac:dyDescent="0.2">
      <c r="A24" s="97"/>
      <c r="B24" s="108" t="s">
        <v>335</v>
      </c>
      <c r="C24" s="104"/>
      <c r="D24" s="104"/>
      <c r="E24" s="104"/>
      <c r="F24" s="98"/>
      <c r="G24" s="98"/>
      <c r="H24" s="98"/>
      <c r="I24" s="98"/>
      <c r="J24" s="98"/>
      <c r="K24" s="98"/>
      <c r="L24" s="98"/>
      <c r="M24" s="98"/>
      <c r="N24" s="98"/>
      <c r="O24" s="98"/>
      <c r="P24" s="99"/>
    </row>
    <row r="25" spans="1:16" x14ac:dyDescent="0.2">
      <c r="A25" s="97"/>
      <c r="B25" s="108"/>
      <c r="C25" s="104"/>
      <c r="D25" s="104"/>
      <c r="E25" s="104"/>
      <c r="F25" s="98"/>
      <c r="G25" s="98"/>
      <c r="H25" s="98"/>
      <c r="I25" s="98"/>
      <c r="J25" s="98"/>
      <c r="K25" s="98"/>
      <c r="L25" s="98"/>
      <c r="M25" s="98"/>
      <c r="N25" s="98"/>
      <c r="O25" s="98"/>
      <c r="P25" s="99"/>
    </row>
    <row r="26" spans="1:16" ht="20.25" x14ac:dyDescent="0.3">
      <c r="A26" s="97"/>
      <c r="B26" s="103" t="s">
        <v>336</v>
      </c>
      <c r="C26" s="98"/>
      <c r="D26" s="98"/>
      <c r="E26" s="98"/>
      <c r="F26" s="98"/>
      <c r="G26" s="98"/>
      <c r="H26" s="98"/>
      <c r="I26" s="98"/>
      <c r="J26" s="98"/>
      <c r="K26" s="98"/>
      <c r="L26" s="98"/>
      <c r="M26" s="98"/>
      <c r="N26" s="98"/>
      <c r="O26" s="98"/>
      <c r="P26" s="99"/>
    </row>
    <row r="27" spans="1:16" x14ac:dyDescent="0.2">
      <c r="A27" s="97"/>
      <c r="B27" s="112" t="s">
        <v>337</v>
      </c>
      <c r="C27" s="98"/>
      <c r="D27" s="98"/>
      <c r="E27" s="98"/>
      <c r="F27" s="98"/>
      <c r="G27" s="98"/>
      <c r="H27" s="98"/>
      <c r="I27" s="98"/>
      <c r="J27" s="98"/>
      <c r="K27" s="98"/>
      <c r="L27" s="98"/>
      <c r="M27" s="98"/>
      <c r="N27" s="98"/>
      <c r="O27" s="98"/>
      <c r="P27" s="99"/>
    </row>
    <row r="28" spans="1:16" x14ac:dyDescent="0.2">
      <c r="A28" s="97"/>
      <c r="B28" s="98" t="s">
        <v>338</v>
      </c>
      <c r="C28" s="98"/>
      <c r="D28" s="98"/>
      <c r="E28" s="98"/>
      <c r="F28" s="98"/>
      <c r="G28" s="98"/>
      <c r="H28" s="98"/>
      <c r="I28" s="98"/>
      <c r="J28" s="98"/>
      <c r="K28" s="98"/>
      <c r="L28" s="98"/>
      <c r="M28" s="98"/>
      <c r="N28" s="98"/>
      <c r="O28" s="98"/>
      <c r="P28" s="99"/>
    </row>
    <row r="29" spans="1:16" x14ac:dyDescent="0.2">
      <c r="A29" s="97"/>
      <c r="B29" s="98"/>
      <c r="C29" s="98"/>
      <c r="D29" s="98"/>
      <c r="E29" s="98"/>
      <c r="F29" s="98"/>
      <c r="G29" s="98"/>
      <c r="H29" s="98"/>
      <c r="I29" s="98"/>
      <c r="J29" s="98"/>
      <c r="K29" s="98"/>
      <c r="L29" s="98"/>
      <c r="M29" s="98"/>
      <c r="N29" s="98"/>
      <c r="O29" s="98"/>
      <c r="P29" s="99"/>
    </row>
    <row r="30" spans="1:16" x14ac:dyDescent="0.2">
      <c r="A30" s="97"/>
      <c r="B30" s="112" t="s">
        <v>339</v>
      </c>
      <c r="C30" s="98"/>
      <c r="D30" s="98"/>
      <c r="E30" s="98"/>
      <c r="F30" s="98"/>
      <c r="G30" s="98"/>
      <c r="H30" s="98"/>
      <c r="I30" s="98"/>
      <c r="J30" s="98"/>
      <c r="K30" s="98"/>
      <c r="L30" s="98"/>
      <c r="M30" s="98"/>
      <c r="N30" s="98"/>
      <c r="O30" s="98"/>
      <c r="P30" s="99"/>
    </row>
    <row r="31" spans="1:16" x14ac:dyDescent="0.2">
      <c r="A31" s="97"/>
      <c r="B31" s="98"/>
      <c r="C31" s="98"/>
      <c r="D31" s="98"/>
      <c r="E31" s="98"/>
      <c r="F31" s="98"/>
      <c r="G31" s="98"/>
      <c r="H31" s="98"/>
      <c r="I31" s="98"/>
      <c r="J31" s="98"/>
      <c r="K31" s="98"/>
      <c r="L31" s="98"/>
      <c r="M31" s="98"/>
      <c r="N31" s="98"/>
      <c r="O31" s="98"/>
      <c r="P31" s="99"/>
    </row>
    <row r="32" spans="1:16" x14ac:dyDescent="0.2">
      <c r="A32" s="97"/>
      <c r="B32" s="98" t="s">
        <v>340</v>
      </c>
      <c r="C32" s="98"/>
      <c r="D32" s="98"/>
      <c r="E32" s="98"/>
      <c r="F32" s="98"/>
      <c r="G32" s="98"/>
      <c r="H32" s="98"/>
      <c r="I32" s="98"/>
      <c r="J32" s="98"/>
      <c r="K32" s="98"/>
      <c r="L32" s="98"/>
      <c r="M32" s="98"/>
      <c r="N32" s="98"/>
      <c r="O32" s="98"/>
      <c r="P32" s="99"/>
    </row>
    <row r="33" spans="1:16" ht="13.5" thickBot="1" x14ac:dyDescent="0.25">
      <c r="A33" s="97"/>
      <c r="B33" s="112"/>
      <c r="C33" s="98"/>
      <c r="D33" s="98"/>
      <c r="E33" s="98"/>
      <c r="F33" s="98"/>
      <c r="G33" s="98"/>
      <c r="H33" s="98"/>
      <c r="I33" s="98"/>
      <c r="J33" s="98"/>
      <c r="K33" s="98"/>
      <c r="L33" s="98"/>
      <c r="M33" s="98"/>
      <c r="N33" s="98"/>
      <c r="O33" s="98"/>
      <c r="P33" s="99"/>
    </row>
    <row r="34" spans="1:16" x14ac:dyDescent="0.2">
      <c r="A34" s="97"/>
      <c r="B34" s="277" t="s">
        <v>354</v>
      </c>
      <c r="C34" s="278"/>
      <c r="D34" s="278"/>
      <c r="E34" s="278"/>
      <c r="F34" s="278"/>
      <c r="G34" s="278"/>
      <c r="H34" s="278"/>
      <c r="I34" s="278"/>
      <c r="J34" s="278"/>
      <c r="K34" s="278"/>
      <c r="L34" s="278"/>
      <c r="M34" s="279"/>
      <c r="N34" s="98"/>
      <c r="O34" s="98"/>
      <c r="P34" s="99"/>
    </row>
    <row r="35" spans="1:16" x14ac:dyDescent="0.2">
      <c r="A35" s="97"/>
      <c r="B35" s="280"/>
      <c r="C35" s="281"/>
      <c r="D35" s="281"/>
      <c r="E35" s="281"/>
      <c r="F35" s="281"/>
      <c r="G35" s="281"/>
      <c r="H35" s="281"/>
      <c r="I35" s="281"/>
      <c r="J35" s="281"/>
      <c r="K35" s="281"/>
      <c r="L35" s="281"/>
      <c r="M35" s="282"/>
      <c r="N35" s="98"/>
      <c r="O35" s="98"/>
      <c r="P35" s="99"/>
    </row>
    <row r="36" spans="1:16" x14ac:dyDescent="0.2">
      <c r="A36" s="97"/>
      <c r="B36" s="280"/>
      <c r="C36" s="281"/>
      <c r="D36" s="281"/>
      <c r="E36" s="281"/>
      <c r="F36" s="281"/>
      <c r="G36" s="281"/>
      <c r="H36" s="281"/>
      <c r="I36" s="281"/>
      <c r="J36" s="281"/>
      <c r="K36" s="281"/>
      <c r="L36" s="281"/>
      <c r="M36" s="282"/>
      <c r="N36" s="98"/>
      <c r="O36" s="98"/>
      <c r="P36" s="99"/>
    </row>
    <row r="37" spans="1:16" x14ac:dyDescent="0.2">
      <c r="A37" s="97"/>
      <c r="B37" s="280"/>
      <c r="C37" s="281"/>
      <c r="D37" s="281"/>
      <c r="E37" s="281"/>
      <c r="F37" s="281"/>
      <c r="G37" s="281"/>
      <c r="H37" s="281"/>
      <c r="I37" s="281"/>
      <c r="J37" s="281"/>
      <c r="K37" s="281"/>
      <c r="L37" s="281"/>
      <c r="M37" s="282"/>
      <c r="N37" s="98"/>
      <c r="O37" s="98"/>
      <c r="P37" s="99"/>
    </row>
    <row r="38" spans="1:16" x14ac:dyDescent="0.2">
      <c r="A38" s="97"/>
      <c r="B38" s="280"/>
      <c r="C38" s="281"/>
      <c r="D38" s="281"/>
      <c r="E38" s="281"/>
      <c r="F38" s="281"/>
      <c r="G38" s="281"/>
      <c r="H38" s="281"/>
      <c r="I38" s="281"/>
      <c r="J38" s="281"/>
      <c r="K38" s="281"/>
      <c r="L38" s="281"/>
      <c r="M38" s="282"/>
      <c r="N38" s="98"/>
      <c r="O38" s="98"/>
      <c r="P38" s="99"/>
    </row>
    <row r="39" spans="1:16" x14ac:dyDescent="0.2">
      <c r="A39" s="97"/>
      <c r="B39" s="280"/>
      <c r="C39" s="281"/>
      <c r="D39" s="281"/>
      <c r="E39" s="281"/>
      <c r="F39" s="281"/>
      <c r="G39" s="281"/>
      <c r="H39" s="281"/>
      <c r="I39" s="281"/>
      <c r="J39" s="281"/>
      <c r="K39" s="281"/>
      <c r="L39" s="281"/>
      <c r="M39" s="282"/>
      <c r="N39" s="98"/>
      <c r="O39" s="98"/>
      <c r="P39" s="99"/>
    </row>
    <row r="40" spans="1:16" x14ac:dyDescent="0.2">
      <c r="A40" s="97"/>
      <c r="B40" s="280"/>
      <c r="C40" s="281"/>
      <c r="D40" s="281"/>
      <c r="E40" s="281"/>
      <c r="F40" s="281"/>
      <c r="G40" s="281"/>
      <c r="H40" s="281"/>
      <c r="I40" s="281"/>
      <c r="J40" s="281"/>
      <c r="K40" s="281"/>
      <c r="L40" s="281"/>
      <c r="M40" s="282"/>
      <c r="N40" s="98"/>
      <c r="O40" s="98"/>
      <c r="P40" s="99"/>
    </row>
    <row r="41" spans="1:16" x14ac:dyDescent="0.2">
      <c r="A41" s="97"/>
      <c r="B41" s="280"/>
      <c r="C41" s="281"/>
      <c r="D41" s="281"/>
      <c r="E41" s="281"/>
      <c r="F41" s="281"/>
      <c r="G41" s="281"/>
      <c r="H41" s="281"/>
      <c r="I41" s="281"/>
      <c r="J41" s="281"/>
      <c r="K41" s="281"/>
      <c r="L41" s="281"/>
      <c r="M41" s="282"/>
      <c r="N41" s="98"/>
      <c r="O41" s="98"/>
      <c r="P41" s="99"/>
    </row>
    <row r="42" spans="1:16" x14ac:dyDescent="0.2">
      <c r="A42" s="97"/>
      <c r="B42" s="280"/>
      <c r="C42" s="281"/>
      <c r="D42" s="281"/>
      <c r="E42" s="281"/>
      <c r="F42" s="281"/>
      <c r="G42" s="281"/>
      <c r="H42" s="281"/>
      <c r="I42" s="281"/>
      <c r="J42" s="281"/>
      <c r="K42" s="281"/>
      <c r="L42" s="281"/>
      <c r="M42" s="282"/>
      <c r="N42" s="98"/>
      <c r="O42" s="98"/>
      <c r="P42" s="99"/>
    </row>
    <row r="43" spans="1:16" x14ac:dyDescent="0.2">
      <c r="A43" s="97"/>
      <c r="B43" s="280"/>
      <c r="C43" s="281"/>
      <c r="D43" s="281"/>
      <c r="E43" s="281"/>
      <c r="F43" s="281"/>
      <c r="G43" s="281"/>
      <c r="H43" s="281"/>
      <c r="I43" s="281"/>
      <c r="J43" s="281"/>
      <c r="K43" s="281"/>
      <c r="L43" s="281"/>
      <c r="M43" s="282"/>
      <c r="N43" s="98"/>
      <c r="O43" s="98"/>
      <c r="P43" s="99"/>
    </row>
    <row r="44" spans="1:16" x14ac:dyDescent="0.2">
      <c r="A44" s="97"/>
      <c r="B44" s="280"/>
      <c r="C44" s="281"/>
      <c r="D44" s="281"/>
      <c r="E44" s="281"/>
      <c r="F44" s="281"/>
      <c r="G44" s="281"/>
      <c r="H44" s="281"/>
      <c r="I44" s="281"/>
      <c r="J44" s="281"/>
      <c r="K44" s="281"/>
      <c r="L44" s="281"/>
      <c r="M44" s="282"/>
      <c r="N44" s="98"/>
      <c r="O44" s="98"/>
      <c r="P44" s="99"/>
    </row>
    <row r="45" spans="1:16" x14ac:dyDescent="0.2">
      <c r="A45" s="97"/>
      <c r="B45" s="280"/>
      <c r="C45" s="281"/>
      <c r="D45" s="281"/>
      <c r="E45" s="281"/>
      <c r="F45" s="281"/>
      <c r="G45" s="281"/>
      <c r="H45" s="281"/>
      <c r="I45" s="281"/>
      <c r="J45" s="281"/>
      <c r="K45" s="281"/>
      <c r="L45" s="281"/>
      <c r="M45" s="282"/>
      <c r="N45" s="98"/>
      <c r="O45" s="98"/>
      <c r="P45" s="99"/>
    </row>
    <row r="46" spans="1:16" x14ac:dyDescent="0.2">
      <c r="A46" s="97"/>
      <c r="B46" s="280"/>
      <c r="C46" s="281"/>
      <c r="D46" s="281"/>
      <c r="E46" s="281"/>
      <c r="F46" s="281"/>
      <c r="G46" s="281"/>
      <c r="H46" s="281"/>
      <c r="I46" s="281"/>
      <c r="J46" s="281"/>
      <c r="K46" s="281"/>
      <c r="L46" s="281"/>
      <c r="M46" s="282"/>
      <c r="N46" s="98"/>
      <c r="O46" s="98"/>
      <c r="P46" s="99"/>
    </row>
    <row r="47" spans="1:16" x14ac:dyDescent="0.2">
      <c r="A47" s="97"/>
      <c r="B47" s="280"/>
      <c r="C47" s="281"/>
      <c r="D47" s="281"/>
      <c r="E47" s="281"/>
      <c r="F47" s="281"/>
      <c r="G47" s="281"/>
      <c r="H47" s="281"/>
      <c r="I47" s="281"/>
      <c r="J47" s="281"/>
      <c r="K47" s="281"/>
      <c r="L47" s="281"/>
      <c r="M47" s="282"/>
      <c r="N47" s="98"/>
      <c r="O47" s="98"/>
      <c r="P47" s="99"/>
    </row>
    <row r="48" spans="1:16" x14ac:dyDescent="0.2">
      <c r="A48" s="97"/>
      <c r="B48" s="280"/>
      <c r="C48" s="281"/>
      <c r="D48" s="281"/>
      <c r="E48" s="281"/>
      <c r="F48" s="281"/>
      <c r="G48" s="281"/>
      <c r="H48" s="281"/>
      <c r="I48" s="281"/>
      <c r="J48" s="281"/>
      <c r="K48" s="281"/>
      <c r="L48" s="281"/>
      <c r="M48" s="282"/>
      <c r="N48" s="98"/>
      <c r="O48" s="98"/>
      <c r="P48" s="99"/>
    </row>
    <row r="49" spans="1:16" x14ac:dyDescent="0.2">
      <c r="A49" s="97"/>
      <c r="B49" s="280"/>
      <c r="C49" s="281"/>
      <c r="D49" s="281"/>
      <c r="E49" s="281"/>
      <c r="F49" s="281"/>
      <c r="G49" s="281"/>
      <c r="H49" s="281"/>
      <c r="I49" s="281"/>
      <c r="J49" s="281"/>
      <c r="K49" s="281"/>
      <c r="L49" s="281"/>
      <c r="M49" s="282"/>
      <c r="N49" s="98"/>
      <c r="O49" s="98"/>
      <c r="P49" s="99"/>
    </row>
    <row r="50" spans="1:16" x14ac:dyDescent="0.2">
      <c r="A50" s="97"/>
      <c r="B50" s="280"/>
      <c r="C50" s="281"/>
      <c r="D50" s="281"/>
      <c r="E50" s="281"/>
      <c r="F50" s="281"/>
      <c r="G50" s="281"/>
      <c r="H50" s="281"/>
      <c r="I50" s="281"/>
      <c r="J50" s="281"/>
      <c r="K50" s="281"/>
      <c r="L50" s="281"/>
      <c r="M50" s="282"/>
      <c r="N50" s="98"/>
      <c r="O50" s="98"/>
      <c r="P50" s="99"/>
    </row>
    <row r="51" spans="1:16" x14ac:dyDescent="0.2">
      <c r="A51" s="97"/>
      <c r="B51" s="280"/>
      <c r="C51" s="281"/>
      <c r="D51" s="281"/>
      <c r="E51" s="281"/>
      <c r="F51" s="281"/>
      <c r="G51" s="281"/>
      <c r="H51" s="281"/>
      <c r="I51" s="281"/>
      <c r="J51" s="281"/>
      <c r="K51" s="281"/>
      <c r="L51" s="281"/>
      <c r="M51" s="282"/>
      <c r="N51" s="98"/>
      <c r="O51" s="98"/>
      <c r="P51" s="99"/>
    </row>
    <row r="52" spans="1:16" x14ac:dyDescent="0.2">
      <c r="A52" s="97"/>
      <c r="B52" s="280"/>
      <c r="C52" s="281"/>
      <c r="D52" s="281"/>
      <c r="E52" s="281"/>
      <c r="F52" s="281"/>
      <c r="G52" s="281"/>
      <c r="H52" s="281"/>
      <c r="I52" s="281"/>
      <c r="J52" s="281"/>
      <c r="K52" s="281"/>
      <c r="L52" s="281"/>
      <c r="M52" s="282"/>
      <c r="N52" s="98"/>
      <c r="O52" s="98"/>
      <c r="P52" s="99"/>
    </row>
    <row r="53" spans="1:16" x14ac:dyDescent="0.2">
      <c r="A53" s="97"/>
      <c r="B53" s="280"/>
      <c r="C53" s="281"/>
      <c r="D53" s="281"/>
      <c r="E53" s="281"/>
      <c r="F53" s="281"/>
      <c r="G53" s="281"/>
      <c r="H53" s="281"/>
      <c r="I53" s="281"/>
      <c r="J53" s="281"/>
      <c r="K53" s="281"/>
      <c r="L53" s="281"/>
      <c r="M53" s="282"/>
      <c r="N53" s="98"/>
      <c r="O53" s="98"/>
      <c r="P53" s="99"/>
    </row>
    <row r="54" spans="1:16" x14ac:dyDescent="0.2">
      <c r="A54" s="97"/>
      <c r="B54" s="280"/>
      <c r="C54" s="281"/>
      <c r="D54" s="281"/>
      <c r="E54" s="281"/>
      <c r="F54" s="281"/>
      <c r="G54" s="281"/>
      <c r="H54" s="281"/>
      <c r="I54" s="281"/>
      <c r="J54" s="281"/>
      <c r="K54" s="281"/>
      <c r="L54" s="281"/>
      <c r="M54" s="282"/>
      <c r="N54" s="98"/>
      <c r="O54" s="98"/>
      <c r="P54" s="99"/>
    </row>
    <row r="55" spans="1:16" x14ac:dyDescent="0.2">
      <c r="A55" s="97"/>
      <c r="B55" s="280"/>
      <c r="C55" s="281"/>
      <c r="D55" s="281"/>
      <c r="E55" s="281"/>
      <c r="F55" s="281"/>
      <c r="G55" s="281"/>
      <c r="H55" s="281"/>
      <c r="I55" s="281"/>
      <c r="J55" s="281"/>
      <c r="K55" s="281"/>
      <c r="L55" s="281"/>
      <c r="M55" s="282"/>
      <c r="N55" s="98"/>
      <c r="O55" s="98"/>
      <c r="P55" s="99"/>
    </row>
    <row r="56" spans="1:16" x14ac:dyDescent="0.2">
      <c r="A56" s="97"/>
      <c r="B56" s="280"/>
      <c r="C56" s="281"/>
      <c r="D56" s="281"/>
      <c r="E56" s="281"/>
      <c r="F56" s="281"/>
      <c r="G56" s="281"/>
      <c r="H56" s="281"/>
      <c r="I56" s="281"/>
      <c r="J56" s="281"/>
      <c r="K56" s="281"/>
      <c r="L56" s="281"/>
      <c r="M56" s="282"/>
      <c r="N56" s="98"/>
      <c r="O56" s="98"/>
      <c r="P56" s="99"/>
    </row>
    <row r="57" spans="1:16" x14ac:dyDescent="0.2">
      <c r="A57" s="97"/>
      <c r="B57" s="280"/>
      <c r="C57" s="281"/>
      <c r="D57" s="281"/>
      <c r="E57" s="281"/>
      <c r="F57" s="281"/>
      <c r="G57" s="281"/>
      <c r="H57" s="281"/>
      <c r="I57" s="281"/>
      <c r="J57" s="281"/>
      <c r="K57" s="281"/>
      <c r="L57" s="281"/>
      <c r="M57" s="282"/>
      <c r="N57" s="98"/>
      <c r="O57" s="98"/>
      <c r="P57" s="99"/>
    </row>
    <row r="58" spans="1:16" x14ac:dyDescent="0.2">
      <c r="A58" s="97"/>
      <c r="B58" s="280"/>
      <c r="C58" s="281"/>
      <c r="D58" s="281"/>
      <c r="E58" s="281"/>
      <c r="F58" s="281"/>
      <c r="G58" s="281"/>
      <c r="H58" s="281"/>
      <c r="I58" s="281"/>
      <c r="J58" s="281"/>
      <c r="K58" s="281"/>
      <c r="L58" s="281"/>
      <c r="M58" s="282"/>
      <c r="N58" s="98"/>
      <c r="O58" s="98"/>
      <c r="P58" s="99"/>
    </row>
    <row r="59" spans="1:16" x14ac:dyDescent="0.2">
      <c r="A59" s="97"/>
      <c r="B59" s="280"/>
      <c r="C59" s="281"/>
      <c r="D59" s="281"/>
      <c r="E59" s="281"/>
      <c r="F59" s="281"/>
      <c r="G59" s="281"/>
      <c r="H59" s="281"/>
      <c r="I59" s="281"/>
      <c r="J59" s="281"/>
      <c r="K59" s="281"/>
      <c r="L59" s="281"/>
      <c r="M59" s="282"/>
      <c r="N59" s="98"/>
      <c r="O59" s="98"/>
      <c r="P59" s="99"/>
    </row>
    <row r="60" spans="1:16" x14ac:dyDescent="0.2">
      <c r="A60" s="97"/>
      <c r="B60" s="280"/>
      <c r="C60" s="281"/>
      <c r="D60" s="281"/>
      <c r="E60" s="281"/>
      <c r="F60" s="281"/>
      <c r="G60" s="281"/>
      <c r="H60" s="281"/>
      <c r="I60" s="281"/>
      <c r="J60" s="281"/>
      <c r="K60" s="281"/>
      <c r="L60" s="281"/>
      <c r="M60" s="282"/>
      <c r="N60" s="98"/>
      <c r="O60" s="98"/>
      <c r="P60" s="99"/>
    </row>
    <row r="61" spans="1:16" x14ac:dyDescent="0.2">
      <c r="A61" s="97"/>
      <c r="B61" s="280"/>
      <c r="C61" s="281"/>
      <c r="D61" s="281"/>
      <c r="E61" s="281"/>
      <c r="F61" s="281"/>
      <c r="G61" s="281"/>
      <c r="H61" s="281"/>
      <c r="I61" s="281"/>
      <c r="J61" s="281"/>
      <c r="K61" s="281"/>
      <c r="L61" s="281"/>
      <c r="M61" s="282"/>
      <c r="N61" s="98"/>
      <c r="O61" s="98"/>
      <c r="P61" s="99"/>
    </row>
    <row r="62" spans="1:16" x14ac:dyDescent="0.2">
      <c r="A62" s="97"/>
      <c r="B62" s="280"/>
      <c r="C62" s="281"/>
      <c r="D62" s="281"/>
      <c r="E62" s="281"/>
      <c r="F62" s="281"/>
      <c r="G62" s="281"/>
      <c r="H62" s="281"/>
      <c r="I62" s="281"/>
      <c r="J62" s="281"/>
      <c r="K62" s="281"/>
      <c r="L62" s="281"/>
      <c r="M62" s="282"/>
      <c r="N62" s="98"/>
      <c r="O62" s="98"/>
      <c r="P62" s="99"/>
    </row>
    <row r="63" spans="1:16" x14ac:dyDescent="0.2">
      <c r="A63" s="97"/>
      <c r="B63" s="280"/>
      <c r="C63" s="281"/>
      <c r="D63" s="281"/>
      <c r="E63" s="281"/>
      <c r="F63" s="281"/>
      <c r="G63" s="281"/>
      <c r="H63" s="281"/>
      <c r="I63" s="281"/>
      <c r="J63" s="281"/>
      <c r="K63" s="281"/>
      <c r="L63" s="281"/>
      <c r="M63" s="282"/>
      <c r="N63" s="98"/>
      <c r="O63" s="98"/>
      <c r="P63" s="99"/>
    </row>
    <row r="64" spans="1:16" x14ac:dyDescent="0.2">
      <c r="A64" s="97"/>
      <c r="B64" s="280"/>
      <c r="C64" s="281"/>
      <c r="D64" s="281"/>
      <c r="E64" s="281"/>
      <c r="F64" s="281"/>
      <c r="G64" s="281"/>
      <c r="H64" s="281"/>
      <c r="I64" s="281"/>
      <c r="J64" s="281"/>
      <c r="K64" s="281"/>
      <c r="L64" s="281"/>
      <c r="M64" s="282"/>
      <c r="N64" s="98"/>
      <c r="O64" s="98"/>
      <c r="P64" s="99"/>
    </row>
    <row r="65" spans="1:16" x14ac:dyDescent="0.2">
      <c r="A65" s="97"/>
      <c r="B65" s="280"/>
      <c r="C65" s="281"/>
      <c r="D65" s="281"/>
      <c r="E65" s="281"/>
      <c r="F65" s="281"/>
      <c r="G65" s="281"/>
      <c r="H65" s="281"/>
      <c r="I65" s="281"/>
      <c r="J65" s="281"/>
      <c r="K65" s="281"/>
      <c r="L65" s="281"/>
      <c r="M65" s="282"/>
      <c r="N65" s="98"/>
      <c r="O65" s="98"/>
      <c r="P65" s="99"/>
    </row>
    <row r="66" spans="1:16" x14ac:dyDescent="0.2">
      <c r="A66" s="97"/>
      <c r="B66" s="280"/>
      <c r="C66" s="281"/>
      <c r="D66" s="281"/>
      <c r="E66" s="281"/>
      <c r="F66" s="281"/>
      <c r="G66" s="281"/>
      <c r="H66" s="281"/>
      <c r="I66" s="281"/>
      <c r="J66" s="281"/>
      <c r="K66" s="281"/>
      <c r="L66" s="281"/>
      <c r="M66" s="282"/>
      <c r="N66" s="98"/>
      <c r="O66" s="98"/>
      <c r="P66" s="99"/>
    </row>
    <row r="67" spans="1:16" x14ac:dyDescent="0.2">
      <c r="A67" s="97"/>
      <c r="B67" s="280"/>
      <c r="C67" s="281"/>
      <c r="D67" s="281"/>
      <c r="E67" s="281"/>
      <c r="F67" s="281"/>
      <c r="G67" s="281"/>
      <c r="H67" s="281"/>
      <c r="I67" s="281"/>
      <c r="J67" s="281"/>
      <c r="K67" s="281"/>
      <c r="L67" s="281"/>
      <c r="M67" s="282"/>
      <c r="N67" s="98"/>
      <c r="O67" s="98"/>
      <c r="P67" s="99"/>
    </row>
    <row r="68" spans="1:16" x14ac:dyDescent="0.2">
      <c r="A68" s="97"/>
      <c r="B68" s="280"/>
      <c r="C68" s="281"/>
      <c r="D68" s="281"/>
      <c r="E68" s="281"/>
      <c r="F68" s="281"/>
      <c r="G68" s="281"/>
      <c r="H68" s="281"/>
      <c r="I68" s="281"/>
      <c r="J68" s="281"/>
      <c r="K68" s="281"/>
      <c r="L68" s="281"/>
      <c r="M68" s="282"/>
      <c r="N68" s="98"/>
      <c r="O68" s="98"/>
      <c r="P68" s="99"/>
    </row>
    <row r="69" spans="1:16" x14ac:dyDescent="0.2">
      <c r="A69" s="97"/>
      <c r="B69" s="280"/>
      <c r="C69" s="281"/>
      <c r="D69" s="281"/>
      <c r="E69" s="281"/>
      <c r="F69" s="281"/>
      <c r="G69" s="281"/>
      <c r="H69" s="281"/>
      <c r="I69" s="281"/>
      <c r="J69" s="281"/>
      <c r="K69" s="281"/>
      <c r="L69" s="281"/>
      <c r="M69" s="282"/>
      <c r="N69" s="98"/>
      <c r="O69" s="98"/>
      <c r="P69" s="99"/>
    </row>
    <row r="70" spans="1:16" x14ac:dyDescent="0.2">
      <c r="A70" s="97"/>
      <c r="B70" s="280"/>
      <c r="C70" s="281"/>
      <c r="D70" s="281"/>
      <c r="E70" s="281"/>
      <c r="F70" s="281"/>
      <c r="G70" s="281"/>
      <c r="H70" s="281"/>
      <c r="I70" s="281"/>
      <c r="J70" s="281"/>
      <c r="K70" s="281"/>
      <c r="L70" s="281"/>
      <c r="M70" s="282"/>
      <c r="N70" s="98"/>
      <c r="O70" s="98"/>
      <c r="P70" s="99"/>
    </row>
    <row r="71" spans="1:16" x14ac:dyDescent="0.2">
      <c r="A71" s="97"/>
      <c r="B71" s="280"/>
      <c r="C71" s="281"/>
      <c r="D71" s="281"/>
      <c r="E71" s="281"/>
      <c r="F71" s="281"/>
      <c r="G71" s="281"/>
      <c r="H71" s="281"/>
      <c r="I71" s="281"/>
      <c r="J71" s="281"/>
      <c r="K71" s="281"/>
      <c r="L71" s="281"/>
      <c r="M71" s="282"/>
      <c r="N71" s="98"/>
      <c r="O71" s="98"/>
      <c r="P71" s="99"/>
    </row>
    <row r="72" spans="1:16" x14ac:dyDescent="0.2">
      <c r="A72" s="97"/>
      <c r="B72" s="280"/>
      <c r="C72" s="281"/>
      <c r="D72" s="281"/>
      <c r="E72" s="281"/>
      <c r="F72" s="281"/>
      <c r="G72" s="281"/>
      <c r="H72" s="281"/>
      <c r="I72" s="281"/>
      <c r="J72" s="281"/>
      <c r="K72" s="281"/>
      <c r="L72" s="281"/>
      <c r="M72" s="282"/>
      <c r="N72" s="98"/>
      <c r="O72" s="98"/>
      <c r="P72" s="99"/>
    </row>
    <row r="73" spans="1:16" x14ac:dyDescent="0.2">
      <c r="A73" s="97"/>
      <c r="B73" s="280"/>
      <c r="C73" s="281"/>
      <c r="D73" s="281"/>
      <c r="E73" s="281"/>
      <c r="F73" s="281"/>
      <c r="G73" s="281"/>
      <c r="H73" s="281"/>
      <c r="I73" s="281"/>
      <c r="J73" s="281"/>
      <c r="K73" s="281"/>
      <c r="L73" s="281"/>
      <c r="M73" s="282"/>
      <c r="N73" s="98"/>
      <c r="O73" s="98"/>
      <c r="P73" s="99"/>
    </row>
    <row r="74" spans="1:16" x14ac:dyDescent="0.2">
      <c r="A74" s="97"/>
      <c r="B74" s="280"/>
      <c r="C74" s="281"/>
      <c r="D74" s="281"/>
      <c r="E74" s="281"/>
      <c r="F74" s="281"/>
      <c r="G74" s="281"/>
      <c r="H74" s="281"/>
      <c r="I74" s="281"/>
      <c r="J74" s="281"/>
      <c r="K74" s="281"/>
      <c r="L74" s="281"/>
      <c r="M74" s="282"/>
      <c r="N74" s="98"/>
      <c r="O74" s="98"/>
      <c r="P74" s="99"/>
    </row>
    <row r="75" spans="1:16" x14ac:dyDescent="0.2">
      <c r="A75" s="97"/>
      <c r="B75" s="280"/>
      <c r="C75" s="281"/>
      <c r="D75" s="281"/>
      <c r="E75" s="281"/>
      <c r="F75" s="281"/>
      <c r="G75" s="281"/>
      <c r="H75" s="281"/>
      <c r="I75" s="281"/>
      <c r="J75" s="281"/>
      <c r="K75" s="281"/>
      <c r="L75" s="281"/>
      <c r="M75" s="282"/>
      <c r="N75" s="98"/>
      <c r="O75" s="98"/>
      <c r="P75" s="99"/>
    </row>
    <row r="76" spans="1:16" x14ac:dyDescent="0.2">
      <c r="A76" s="97"/>
      <c r="B76" s="280"/>
      <c r="C76" s="281"/>
      <c r="D76" s="281"/>
      <c r="E76" s="281"/>
      <c r="F76" s="281"/>
      <c r="G76" s="281"/>
      <c r="H76" s="281"/>
      <c r="I76" s="281"/>
      <c r="J76" s="281"/>
      <c r="K76" s="281"/>
      <c r="L76" s="281"/>
      <c r="M76" s="282"/>
      <c r="N76" s="98"/>
      <c r="O76" s="98"/>
      <c r="P76" s="99"/>
    </row>
    <row r="77" spans="1:16" x14ac:dyDescent="0.2">
      <c r="A77" s="97"/>
      <c r="B77" s="280"/>
      <c r="C77" s="281"/>
      <c r="D77" s="281"/>
      <c r="E77" s="281"/>
      <c r="F77" s="281"/>
      <c r="G77" s="281"/>
      <c r="H77" s="281"/>
      <c r="I77" s="281"/>
      <c r="J77" s="281"/>
      <c r="K77" s="281"/>
      <c r="L77" s="281"/>
      <c r="M77" s="282"/>
      <c r="N77" s="98"/>
      <c r="O77" s="98"/>
      <c r="P77" s="99"/>
    </row>
    <row r="78" spans="1:16" x14ac:dyDescent="0.2">
      <c r="A78" s="97"/>
      <c r="B78" s="280"/>
      <c r="C78" s="281"/>
      <c r="D78" s="281"/>
      <c r="E78" s="281"/>
      <c r="F78" s="281"/>
      <c r="G78" s="281"/>
      <c r="H78" s="281"/>
      <c r="I78" s="281"/>
      <c r="J78" s="281"/>
      <c r="K78" s="281"/>
      <c r="L78" s="281"/>
      <c r="M78" s="282"/>
      <c r="N78" s="98"/>
      <c r="O78" s="98"/>
      <c r="P78" s="99"/>
    </row>
    <row r="79" spans="1:16" x14ac:dyDescent="0.2">
      <c r="A79" s="97"/>
      <c r="B79" s="280"/>
      <c r="C79" s="281"/>
      <c r="D79" s="281"/>
      <c r="E79" s="281"/>
      <c r="F79" s="281"/>
      <c r="G79" s="281"/>
      <c r="H79" s="281"/>
      <c r="I79" s="281"/>
      <c r="J79" s="281"/>
      <c r="K79" s="281"/>
      <c r="L79" s="281"/>
      <c r="M79" s="282"/>
      <c r="N79" s="98"/>
      <c r="O79" s="98"/>
      <c r="P79" s="99"/>
    </row>
    <row r="80" spans="1:16" x14ac:dyDescent="0.2">
      <c r="A80" s="97"/>
      <c r="B80" s="280"/>
      <c r="C80" s="281"/>
      <c r="D80" s="281"/>
      <c r="E80" s="281"/>
      <c r="F80" s="281"/>
      <c r="G80" s="281"/>
      <c r="H80" s="281"/>
      <c r="I80" s="281"/>
      <c r="J80" s="281"/>
      <c r="K80" s="281"/>
      <c r="L80" s="281"/>
      <c r="M80" s="282"/>
      <c r="N80" s="98"/>
      <c r="O80" s="98"/>
      <c r="P80" s="99"/>
    </row>
    <row r="81" spans="1:16" x14ac:dyDescent="0.2">
      <c r="A81" s="97"/>
      <c r="B81" s="280"/>
      <c r="C81" s="281"/>
      <c r="D81" s="281"/>
      <c r="E81" s="281"/>
      <c r="F81" s="281"/>
      <c r="G81" s="281"/>
      <c r="H81" s="281"/>
      <c r="I81" s="281"/>
      <c r="J81" s="281"/>
      <c r="K81" s="281"/>
      <c r="L81" s="281"/>
      <c r="M81" s="282"/>
      <c r="N81" s="98"/>
      <c r="O81" s="98"/>
      <c r="P81" s="99"/>
    </row>
    <row r="82" spans="1:16" x14ac:dyDescent="0.2">
      <c r="A82" s="97"/>
      <c r="B82" s="280"/>
      <c r="C82" s="281"/>
      <c r="D82" s="281"/>
      <c r="E82" s="281"/>
      <c r="F82" s="281"/>
      <c r="G82" s="281"/>
      <c r="H82" s="281"/>
      <c r="I82" s="281"/>
      <c r="J82" s="281"/>
      <c r="K82" s="281"/>
      <c r="L82" s="281"/>
      <c r="M82" s="282"/>
      <c r="N82" s="98"/>
      <c r="O82" s="98"/>
      <c r="P82" s="99"/>
    </row>
    <row r="83" spans="1:16" x14ac:dyDescent="0.2">
      <c r="A83" s="97"/>
      <c r="B83" s="280"/>
      <c r="C83" s="281"/>
      <c r="D83" s="281"/>
      <c r="E83" s="281"/>
      <c r="F83" s="281"/>
      <c r="G83" s="281"/>
      <c r="H83" s="281"/>
      <c r="I83" s="281"/>
      <c r="J83" s="281"/>
      <c r="K83" s="281"/>
      <c r="L83" s="281"/>
      <c r="M83" s="282"/>
      <c r="N83" s="98"/>
      <c r="O83" s="98"/>
      <c r="P83" s="99"/>
    </row>
    <row r="84" spans="1:16" x14ac:dyDescent="0.2">
      <c r="A84" s="97"/>
      <c r="B84" s="280"/>
      <c r="C84" s="281"/>
      <c r="D84" s="281"/>
      <c r="E84" s="281"/>
      <c r="F84" s="281"/>
      <c r="G84" s="281"/>
      <c r="H84" s="281"/>
      <c r="I84" s="281"/>
      <c r="J84" s="281"/>
      <c r="K84" s="281"/>
      <c r="L84" s="281"/>
      <c r="M84" s="282"/>
      <c r="N84" s="98"/>
      <c r="O84" s="98"/>
      <c r="P84" s="99"/>
    </row>
    <row r="85" spans="1:16" x14ac:dyDescent="0.2">
      <c r="A85" s="97"/>
      <c r="B85" s="280"/>
      <c r="C85" s="281"/>
      <c r="D85" s="281"/>
      <c r="E85" s="281"/>
      <c r="F85" s="281"/>
      <c r="G85" s="281"/>
      <c r="H85" s="281"/>
      <c r="I85" s="281"/>
      <c r="J85" s="281"/>
      <c r="K85" s="281"/>
      <c r="L85" s="281"/>
      <c r="M85" s="282"/>
      <c r="N85" s="98"/>
      <c r="O85" s="98"/>
      <c r="P85" s="99"/>
    </row>
    <row r="86" spans="1:16" x14ac:dyDescent="0.2">
      <c r="A86" s="97"/>
      <c r="B86" s="280"/>
      <c r="C86" s="281"/>
      <c r="D86" s="281"/>
      <c r="E86" s="281"/>
      <c r="F86" s="281"/>
      <c r="G86" s="281"/>
      <c r="H86" s="281"/>
      <c r="I86" s="281"/>
      <c r="J86" s="281"/>
      <c r="K86" s="281"/>
      <c r="L86" s="281"/>
      <c r="M86" s="282"/>
      <c r="N86" s="98"/>
      <c r="O86" s="98"/>
      <c r="P86" s="99"/>
    </row>
    <row r="87" spans="1:16" x14ac:dyDescent="0.2">
      <c r="A87" s="97"/>
      <c r="B87" s="280"/>
      <c r="C87" s="281"/>
      <c r="D87" s="281"/>
      <c r="E87" s="281"/>
      <c r="F87" s="281"/>
      <c r="G87" s="281"/>
      <c r="H87" s="281"/>
      <c r="I87" s="281"/>
      <c r="J87" s="281"/>
      <c r="K87" s="281"/>
      <c r="L87" s="281"/>
      <c r="M87" s="282"/>
      <c r="N87" s="98"/>
      <c r="O87" s="98"/>
      <c r="P87" s="99"/>
    </row>
    <row r="88" spans="1:16" x14ac:dyDescent="0.2">
      <c r="A88" s="97"/>
      <c r="B88" s="280"/>
      <c r="C88" s="281"/>
      <c r="D88" s="281"/>
      <c r="E88" s="281"/>
      <c r="F88" s="281"/>
      <c r="G88" s="281"/>
      <c r="H88" s="281"/>
      <c r="I88" s="281"/>
      <c r="J88" s="281"/>
      <c r="K88" s="281"/>
      <c r="L88" s="281"/>
      <c r="M88" s="282"/>
      <c r="N88" s="98"/>
      <c r="O88" s="98"/>
      <c r="P88" s="99"/>
    </row>
    <row r="89" spans="1:16" x14ac:dyDescent="0.2">
      <c r="A89" s="97"/>
      <c r="B89" s="280"/>
      <c r="C89" s="281"/>
      <c r="D89" s="281"/>
      <c r="E89" s="281"/>
      <c r="F89" s="281"/>
      <c r="G89" s="281"/>
      <c r="H89" s="281"/>
      <c r="I89" s="281"/>
      <c r="J89" s="281"/>
      <c r="K89" s="281"/>
      <c r="L89" s="281"/>
      <c r="M89" s="282"/>
      <c r="N89" s="98"/>
      <c r="O89" s="98"/>
      <c r="P89" s="99"/>
    </row>
    <row r="90" spans="1:16" x14ac:dyDescent="0.2">
      <c r="A90" s="97"/>
      <c r="B90" s="280"/>
      <c r="C90" s="281"/>
      <c r="D90" s="281"/>
      <c r="E90" s="281"/>
      <c r="F90" s="281"/>
      <c r="G90" s="281"/>
      <c r="H90" s="281"/>
      <c r="I90" s="281"/>
      <c r="J90" s="281"/>
      <c r="K90" s="281"/>
      <c r="L90" s="281"/>
      <c r="M90" s="282"/>
      <c r="N90" s="98"/>
      <c r="O90" s="98"/>
      <c r="P90" s="99"/>
    </row>
    <row r="91" spans="1:16" x14ac:dyDescent="0.2">
      <c r="A91" s="97"/>
      <c r="B91" s="280"/>
      <c r="C91" s="281"/>
      <c r="D91" s="281"/>
      <c r="E91" s="281"/>
      <c r="F91" s="281"/>
      <c r="G91" s="281"/>
      <c r="H91" s="281"/>
      <c r="I91" s="281"/>
      <c r="J91" s="281"/>
      <c r="K91" s="281"/>
      <c r="L91" s="281"/>
      <c r="M91" s="282"/>
      <c r="N91" s="98"/>
      <c r="O91" s="98"/>
      <c r="P91" s="99"/>
    </row>
    <row r="92" spans="1:16" x14ac:dyDescent="0.2">
      <c r="A92" s="97"/>
      <c r="B92" s="280"/>
      <c r="C92" s="281"/>
      <c r="D92" s="281"/>
      <c r="E92" s="281"/>
      <c r="F92" s="281"/>
      <c r="G92" s="281"/>
      <c r="H92" s="281"/>
      <c r="I92" s="281"/>
      <c r="J92" s="281"/>
      <c r="K92" s="281"/>
      <c r="L92" s="281"/>
      <c r="M92" s="282"/>
      <c r="N92" s="98"/>
      <c r="O92" s="98"/>
      <c r="P92" s="99"/>
    </row>
    <row r="93" spans="1:16" x14ac:dyDescent="0.2">
      <c r="A93" s="97"/>
      <c r="B93" s="280"/>
      <c r="C93" s="281"/>
      <c r="D93" s="281"/>
      <c r="E93" s="281"/>
      <c r="F93" s="281"/>
      <c r="G93" s="281"/>
      <c r="H93" s="281"/>
      <c r="I93" s="281"/>
      <c r="J93" s="281"/>
      <c r="K93" s="281"/>
      <c r="L93" s="281"/>
      <c r="M93" s="282"/>
      <c r="N93" s="98"/>
      <c r="O93" s="98"/>
      <c r="P93" s="99"/>
    </row>
    <row r="94" spans="1:16" x14ac:dyDescent="0.2">
      <c r="A94" s="97"/>
      <c r="B94" s="280"/>
      <c r="C94" s="281"/>
      <c r="D94" s="281"/>
      <c r="E94" s="281"/>
      <c r="F94" s="281"/>
      <c r="G94" s="281"/>
      <c r="H94" s="281"/>
      <c r="I94" s="281"/>
      <c r="J94" s="281"/>
      <c r="K94" s="281"/>
      <c r="L94" s="281"/>
      <c r="M94" s="282"/>
      <c r="N94" s="98"/>
      <c r="O94" s="98"/>
      <c r="P94" s="99"/>
    </row>
    <row r="95" spans="1:16" x14ac:dyDescent="0.2">
      <c r="A95" s="97"/>
      <c r="B95" s="280"/>
      <c r="C95" s="281"/>
      <c r="D95" s="281"/>
      <c r="E95" s="281"/>
      <c r="F95" s="281"/>
      <c r="G95" s="281"/>
      <c r="H95" s="281"/>
      <c r="I95" s="281"/>
      <c r="J95" s="281"/>
      <c r="K95" s="281"/>
      <c r="L95" s="281"/>
      <c r="M95" s="282"/>
      <c r="N95" s="98"/>
      <c r="O95" s="98"/>
      <c r="P95" s="99"/>
    </row>
    <row r="96" spans="1:16" ht="13.5" thickBot="1" x14ac:dyDescent="0.25">
      <c r="A96" s="109"/>
      <c r="B96" s="283"/>
      <c r="C96" s="284"/>
      <c r="D96" s="284"/>
      <c r="E96" s="284"/>
      <c r="F96" s="284"/>
      <c r="G96" s="284"/>
      <c r="H96" s="284"/>
      <c r="I96" s="284"/>
      <c r="J96" s="284"/>
      <c r="K96" s="284"/>
      <c r="L96" s="284"/>
      <c r="M96" s="285"/>
      <c r="N96" s="110"/>
      <c r="O96" s="110"/>
      <c r="P96" s="111"/>
    </row>
    <row r="97" spans="1:16" ht="13.5" thickTop="1" x14ac:dyDescent="0.2">
      <c r="A97" s="93"/>
      <c r="B97" s="93"/>
      <c r="C97" s="93"/>
      <c r="D97" s="93"/>
      <c r="E97" s="93"/>
      <c r="F97" s="93"/>
      <c r="G97" s="93"/>
      <c r="H97" s="93"/>
      <c r="I97" s="93"/>
      <c r="J97" s="93"/>
      <c r="K97" s="93"/>
      <c r="L97" s="93"/>
      <c r="M97" s="93"/>
      <c r="N97" s="93"/>
      <c r="O97" s="93"/>
      <c r="P97" s="93"/>
    </row>
  </sheetData>
  <mergeCells count="3">
    <mergeCell ref="B15:I15"/>
    <mergeCell ref="B34:M96"/>
    <mergeCell ref="B14:D14"/>
  </mergeCells>
  <hyperlinks>
    <hyperlink ref="B14"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O179"/>
  <sheetViews>
    <sheetView tabSelected="1" topLeftCell="A6" zoomScale="90" zoomScaleNormal="90" zoomScaleSheetLayoutView="100" workbookViewId="0">
      <selection activeCell="F19" sqref="F17:F19"/>
    </sheetView>
  </sheetViews>
  <sheetFormatPr defaultColWidth="8.85546875" defaultRowHeight="12.75" x14ac:dyDescent="0.2"/>
  <cols>
    <col min="1" max="1" width="0.42578125" style="159" customWidth="1"/>
    <col min="2" max="2" width="30" style="159" customWidth="1"/>
    <col min="3" max="3" width="23.7109375" style="159" customWidth="1"/>
    <col min="4" max="4" width="16.5703125" style="159" customWidth="1"/>
    <col min="5" max="5" width="20.85546875" style="159" customWidth="1"/>
    <col min="6" max="6" width="15.7109375" style="159" customWidth="1"/>
    <col min="7" max="7" width="5.5703125" style="263" customWidth="1"/>
    <col min="8" max="8" width="9.5703125" style="159" customWidth="1"/>
    <col min="9" max="9" width="12.85546875" style="159" customWidth="1"/>
    <col min="10" max="10" width="8.85546875" style="159"/>
    <col min="11" max="11" width="10.28515625" style="159" customWidth="1"/>
    <col min="12" max="12" width="8.85546875" style="159" customWidth="1"/>
    <col min="13" max="13" width="9.85546875" style="159" customWidth="1"/>
    <col min="14" max="19" width="0" style="159" hidden="1" customWidth="1"/>
    <col min="20" max="20" width="2.7109375" style="159" hidden="1" customWidth="1"/>
    <col min="21" max="21" width="3" style="159" hidden="1" customWidth="1"/>
    <col min="22" max="22" width="1.140625" style="159" hidden="1" customWidth="1"/>
    <col min="23" max="23" width="3.7109375" style="159" hidden="1" customWidth="1"/>
    <col min="24" max="38" width="0" style="159" hidden="1" customWidth="1"/>
    <col min="39" max="39" width="11.7109375" style="159" customWidth="1"/>
    <col min="40" max="40" width="6.7109375" style="159" hidden="1" customWidth="1"/>
    <col min="41" max="41" width="9.28515625" style="159" hidden="1" customWidth="1"/>
    <col min="42" max="42" width="12.28515625" style="159" customWidth="1"/>
    <col min="43" max="43" width="12" style="159" customWidth="1"/>
    <col min="44" max="44" width="13.42578125" style="159" customWidth="1"/>
    <col min="45" max="45" width="14.5703125" style="159" customWidth="1"/>
    <col min="46" max="46" width="14.7109375" style="159" customWidth="1"/>
    <col min="47" max="47" width="11.28515625" style="159" customWidth="1"/>
    <col min="48" max="48" width="13" style="159" customWidth="1"/>
    <col min="49" max="49" width="13.42578125" style="159" customWidth="1"/>
    <col min="50" max="50" width="14.7109375" style="159" customWidth="1"/>
    <col min="51" max="51" width="14.140625" style="159" customWidth="1"/>
    <col min="52" max="52" width="12.85546875" style="159" customWidth="1"/>
    <col min="53" max="53" width="12.5703125" style="159" customWidth="1"/>
    <col min="54" max="54" width="9.85546875" style="159" customWidth="1"/>
    <col min="55" max="55" width="12.7109375" style="159" customWidth="1"/>
    <col min="56" max="56" width="13.7109375" style="159" customWidth="1"/>
    <col min="57" max="57" width="13.85546875" style="159" customWidth="1"/>
    <col min="58" max="59" width="14.42578125" style="159" customWidth="1"/>
    <col min="60" max="60" width="15.42578125" style="159" customWidth="1"/>
    <col min="61" max="61" width="15.28515625" style="159" customWidth="1"/>
    <col min="62" max="62" width="15.7109375" style="159" customWidth="1"/>
    <col min="63" max="63" width="12.5703125" style="159" customWidth="1"/>
    <col min="64" max="64" width="16.85546875" style="159" customWidth="1"/>
    <col min="65" max="65" width="15.42578125" style="159" customWidth="1"/>
    <col min="66" max="66" width="14.5703125" style="159" customWidth="1"/>
    <col min="67" max="67" width="10" style="159" customWidth="1"/>
    <col min="68" max="68" width="6.140625" style="159" customWidth="1"/>
    <col min="69" max="69" width="7.140625" style="159" customWidth="1"/>
    <col min="70" max="70" width="8.28515625" style="159" customWidth="1"/>
    <col min="71" max="71" width="4.7109375" style="159" customWidth="1"/>
    <col min="72" max="16384" width="8.85546875" style="159"/>
  </cols>
  <sheetData>
    <row r="1" spans="1:39" s="46" customFormat="1" ht="60.75" customHeight="1" x14ac:dyDescent="0.2">
      <c r="A1" s="288" t="s">
        <v>357</v>
      </c>
      <c r="B1" s="289"/>
      <c r="C1" s="289"/>
      <c r="D1" s="289"/>
      <c r="E1" s="289"/>
      <c r="F1" s="289"/>
      <c r="G1" s="289"/>
      <c r="H1" s="289"/>
      <c r="I1" s="289"/>
      <c r="J1" s="289"/>
      <c r="K1" s="289"/>
      <c r="L1" s="289"/>
      <c r="M1" s="289"/>
      <c r="N1" s="23"/>
      <c r="O1" s="23"/>
      <c r="P1" s="23"/>
      <c r="Q1" s="23"/>
      <c r="R1" s="21"/>
      <c r="S1" s="22"/>
      <c r="T1" s="20"/>
      <c r="U1" s="20"/>
      <c r="V1" s="20"/>
      <c r="W1" s="20"/>
      <c r="X1" s="20"/>
      <c r="Y1" s="20"/>
      <c r="Z1" s="20"/>
      <c r="AA1" s="20"/>
      <c r="AB1" s="20"/>
      <c r="AC1" s="20"/>
      <c r="AD1" s="20"/>
      <c r="AE1" s="20"/>
      <c r="AF1" s="20"/>
      <c r="AG1" s="20"/>
      <c r="AH1" s="20"/>
      <c r="AI1" s="20"/>
      <c r="AJ1" s="20"/>
      <c r="AK1" s="20"/>
      <c r="AL1" s="20"/>
      <c r="AM1" s="20"/>
    </row>
    <row r="2" spans="1:39" ht="15.75" x14ac:dyDescent="0.2">
      <c r="A2" s="15"/>
      <c r="B2" s="19" t="s">
        <v>61</v>
      </c>
      <c r="C2" s="15"/>
      <c r="D2" s="15"/>
      <c r="E2" s="15"/>
      <c r="F2" s="158"/>
      <c r="G2" s="158"/>
      <c r="H2" s="15"/>
      <c r="I2" s="15"/>
      <c r="J2" s="15"/>
      <c r="K2" s="15"/>
      <c r="L2" s="287"/>
      <c r="M2" s="287"/>
      <c r="N2" s="15"/>
      <c r="O2" s="15"/>
      <c r="P2" s="15"/>
      <c r="Q2" s="15"/>
      <c r="R2" s="15"/>
      <c r="S2" s="15"/>
      <c r="T2" s="15"/>
      <c r="U2" s="15"/>
      <c r="V2" s="15"/>
      <c r="W2" s="15"/>
      <c r="X2" s="15"/>
      <c r="Y2" s="15"/>
      <c r="Z2" s="15"/>
      <c r="AA2" s="15"/>
      <c r="AB2" s="15"/>
      <c r="AC2" s="15"/>
      <c r="AD2" s="15"/>
      <c r="AE2" s="15"/>
      <c r="AF2" s="15"/>
      <c r="AG2" s="15"/>
      <c r="AH2" s="15"/>
      <c r="AI2" s="15"/>
      <c r="AJ2" s="15"/>
      <c r="AK2" s="15"/>
      <c r="AL2" s="15"/>
      <c r="AM2" s="15"/>
    </row>
    <row r="3" spans="1:39" x14ac:dyDescent="0.2">
      <c r="A3" s="15"/>
      <c r="B3" s="15"/>
      <c r="C3" s="15"/>
      <c r="D3" s="15"/>
      <c r="E3" s="15"/>
      <c r="F3" s="15"/>
      <c r="G3" s="158"/>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row>
    <row r="4" spans="1:39" x14ac:dyDescent="0.2">
      <c r="A4" s="15"/>
      <c r="B4" s="15"/>
      <c r="C4" s="15"/>
      <c r="D4" s="15"/>
      <c r="E4" s="15"/>
      <c r="F4" s="15"/>
      <c r="G4" s="158"/>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row>
    <row r="5" spans="1:39" x14ac:dyDescent="0.2">
      <c r="A5" s="15"/>
      <c r="B5" s="15"/>
      <c r="C5" s="15"/>
      <c r="D5" s="15"/>
      <c r="E5" s="15"/>
      <c r="F5" s="15"/>
      <c r="G5" s="158"/>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row>
    <row r="6" spans="1:39" x14ac:dyDescent="0.2">
      <c r="A6" s="15"/>
      <c r="B6" s="15"/>
      <c r="C6" s="15"/>
      <c r="D6" s="15"/>
      <c r="E6" s="15"/>
      <c r="F6" s="15"/>
      <c r="G6" s="158"/>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row>
    <row r="7" spans="1:39" x14ac:dyDescent="0.2">
      <c r="A7" s="15"/>
      <c r="B7" s="15"/>
      <c r="C7" s="15"/>
      <c r="D7" s="15"/>
      <c r="E7" s="15"/>
      <c r="F7" s="15"/>
      <c r="G7" s="158"/>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row>
    <row r="8" spans="1:39" x14ac:dyDescent="0.2">
      <c r="A8" s="15"/>
      <c r="B8" s="15"/>
      <c r="C8" s="15"/>
      <c r="D8" s="15"/>
      <c r="E8" s="15"/>
      <c r="F8" s="15"/>
      <c r="G8" s="158"/>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row>
    <row r="9" spans="1:39" ht="15" customHeight="1" x14ac:dyDescent="0.2">
      <c r="A9" s="15"/>
      <c r="B9" s="160"/>
      <c r="C9" s="90"/>
      <c r="D9" s="161" t="s">
        <v>265</v>
      </c>
      <c r="E9" s="45"/>
      <c r="F9" s="15"/>
      <c r="G9" s="158"/>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row>
    <row r="10" spans="1:39" ht="15" customHeight="1" x14ac:dyDescent="0.2">
      <c r="A10" s="15"/>
      <c r="B10" s="162"/>
      <c r="C10" s="163"/>
      <c r="D10" s="15" t="s">
        <v>60</v>
      </c>
      <c r="E10" s="164"/>
      <c r="F10" s="15"/>
      <c r="G10" s="158"/>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row>
    <row r="11" spans="1:39" ht="22.9" customHeight="1" x14ac:dyDescent="0.2">
      <c r="A11" s="15"/>
      <c r="B11" s="162"/>
      <c r="C11" s="165"/>
      <c r="D11" s="290" t="s">
        <v>323</v>
      </c>
      <c r="E11" s="291"/>
      <c r="F11" s="15"/>
      <c r="G11" s="158"/>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row>
    <row r="12" spans="1:39" ht="21.6" customHeight="1" x14ac:dyDescent="0.2">
      <c r="A12" s="15"/>
      <c r="B12" s="162"/>
      <c r="C12" s="166"/>
      <c r="D12" s="290"/>
      <c r="E12" s="291"/>
      <c r="F12" s="15"/>
      <c r="G12" s="158"/>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row>
    <row r="13" spans="1:39" ht="15" customHeight="1" thickBot="1" x14ac:dyDescent="0.25">
      <c r="A13" s="15"/>
      <c r="B13" s="15"/>
      <c r="C13" s="15"/>
      <c r="D13" s="15"/>
      <c r="E13" s="15"/>
      <c r="F13" s="15"/>
      <c r="G13" s="158"/>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row>
    <row r="14" spans="1:39" ht="15" customHeight="1" x14ac:dyDescent="0.25">
      <c r="A14" s="15"/>
      <c r="B14" s="167" t="s">
        <v>100</v>
      </c>
      <c r="C14" s="168"/>
      <c r="D14" s="168"/>
      <c r="E14" s="169" t="s">
        <v>65</v>
      </c>
      <c r="F14" s="81">
        <v>9</v>
      </c>
      <c r="G14" s="170" t="s">
        <v>50</v>
      </c>
      <c r="H14" s="168"/>
      <c r="I14" s="168"/>
      <c r="J14" s="168"/>
      <c r="K14" s="168"/>
      <c r="L14" s="168"/>
      <c r="M14" s="168"/>
      <c r="N14" s="168"/>
      <c r="O14" s="168"/>
      <c r="P14" s="168"/>
      <c r="Q14" s="168"/>
      <c r="R14" s="168"/>
      <c r="S14" s="168"/>
      <c r="T14" s="168"/>
      <c r="U14" s="168"/>
      <c r="V14" s="168"/>
      <c r="W14" s="168"/>
      <c r="X14" s="168"/>
      <c r="Y14" s="168"/>
      <c r="Z14" s="168"/>
      <c r="AA14" s="168"/>
      <c r="AB14" s="168"/>
      <c r="AC14" s="168"/>
      <c r="AD14" s="168"/>
      <c r="AE14" s="168"/>
      <c r="AF14" s="168"/>
      <c r="AG14" s="168"/>
      <c r="AH14" s="168"/>
      <c r="AI14" s="168"/>
      <c r="AJ14" s="168"/>
      <c r="AK14" s="168"/>
      <c r="AL14" s="168"/>
      <c r="AM14" s="171"/>
    </row>
    <row r="15" spans="1:39" ht="15" customHeight="1" x14ac:dyDescent="0.25">
      <c r="A15" s="15"/>
      <c r="B15" s="172"/>
      <c r="C15" s="157"/>
      <c r="D15" s="157"/>
      <c r="E15" s="173" t="s">
        <v>70</v>
      </c>
      <c r="F15" s="82">
        <v>28</v>
      </c>
      <c r="G15" s="174" t="s">
        <v>50</v>
      </c>
      <c r="H15" s="157"/>
      <c r="I15" s="157"/>
      <c r="J15" s="157"/>
      <c r="K15" s="157"/>
      <c r="L15" s="157"/>
      <c r="M15" s="157"/>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7"/>
      <c r="AM15" s="175"/>
    </row>
    <row r="16" spans="1:39" ht="15" customHeight="1" x14ac:dyDescent="0.2">
      <c r="A16" s="15"/>
      <c r="B16" s="176"/>
      <c r="C16" s="157"/>
      <c r="D16" s="157"/>
      <c r="E16" s="173" t="s">
        <v>66</v>
      </c>
      <c r="F16" s="82">
        <v>54</v>
      </c>
      <c r="G16" s="174" t="s">
        <v>50</v>
      </c>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7"/>
      <c r="AL16" s="157"/>
      <c r="AM16" s="175"/>
    </row>
    <row r="17" spans="1:40" ht="15" customHeight="1" x14ac:dyDescent="0.2">
      <c r="A17" s="15"/>
      <c r="B17" s="176"/>
      <c r="C17" s="157"/>
      <c r="D17" s="157"/>
      <c r="E17" s="173" t="s">
        <v>72</v>
      </c>
      <c r="F17" s="82">
        <v>21</v>
      </c>
      <c r="G17" s="174" t="s">
        <v>17</v>
      </c>
      <c r="H17" s="157"/>
      <c r="I17" s="157"/>
      <c r="J17" s="157"/>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7"/>
      <c r="AL17" s="157"/>
      <c r="AM17" s="175"/>
    </row>
    <row r="18" spans="1:40" ht="15" customHeight="1" x14ac:dyDescent="0.2">
      <c r="A18" s="15"/>
      <c r="B18" s="176"/>
      <c r="C18" s="157"/>
      <c r="D18" s="157"/>
      <c r="E18" s="173" t="s">
        <v>170</v>
      </c>
      <c r="F18" s="82">
        <v>2000</v>
      </c>
      <c r="G18" s="177" t="s">
        <v>47</v>
      </c>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75"/>
    </row>
    <row r="19" spans="1:40" ht="15" customHeight="1" thickBot="1" x14ac:dyDescent="0.25">
      <c r="A19" s="15"/>
      <c r="B19" s="178"/>
      <c r="C19" s="179"/>
      <c r="D19" s="179"/>
      <c r="E19" s="180" t="s">
        <v>71</v>
      </c>
      <c r="F19" s="83">
        <v>71</v>
      </c>
      <c r="G19" s="181" t="s">
        <v>76</v>
      </c>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82"/>
    </row>
    <row r="20" spans="1:40" ht="15" customHeight="1" x14ac:dyDescent="0.25">
      <c r="A20" s="15"/>
      <c r="B20" s="167" t="s">
        <v>169</v>
      </c>
      <c r="C20" s="183"/>
      <c r="D20" s="157"/>
      <c r="E20" s="173" t="s">
        <v>359</v>
      </c>
      <c r="F20" s="184">
        <f>Equations!F20</f>
        <v>2.1216407355021216</v>
      </c>
      <c r="G20" s="174" t="s">
        <v>49</v>
      </c>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75"/>
      <c r="AN20" s="185" t="s">
        <v>227</v>
      </c>
    </row>
    <row r="21" spans="1:40" ht="15" customHeight="1" x14ac:dyDescent="0.2">
      <c r="A21" s="15"/>
      <c r="B21" s="176"/>
      <c r="C21" s="157"/>
      <c r="D21" s="157"/>
      <c r="E21" s="173" t="s">
        <v>148</v>
      </c>
      <c r="F21" s="85" t="s">
        <v>144</v>
      </c>
      <c r="G21" s="174"/>
      <c r="H21" s="157"/>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7"/>
      <c r="AK21" s="157"/>
      <c r="AL21" s="157"/>
      <c r="AM21" s="175"/>
      <c r="AN21" s="185" t="s">
        <v>146</v>
      </c>
    </row>
    <row r="22" spans="1:40" ht="15" customHeight="1" x14ac:dyDescent="0.2">
      <c r="A22" s="15"/>
      <c r="B22" s="176"/>
      <c r="C22" s="157"/>
      <c r="D22" s="157"/>
      <c r="E22" s="173" t="s">
        <v>62</v>
      </c>
      <c r="F22" s="86">
        <v>2</v>
      </c>
      <c r="G22" s="174" t="s">
        <v>49</v>
      </c>
      <c r="H22" s="186"/>
      <c r="I22" s="157"/>
      <c r="J22" s="157"/>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7"/>
      <c r="AK22" s="157"/>
      <c r="AL22" s="157"/>
      <c r="AM22" s="175"/>
      <c r="AN22" s="185" t="s">
        <v>144</v>
      </c>
    </row>
    <row r="23" spans="1:40" ht="15" customHeight="1" x14ac:dyDescent="0.2">
      <c r="A23" s="15"/>
      <c r="B23" s="176"/>
      <c r="C23" s="157"/>
      <c r="D23" s="157"/>
      <c r="E23" s="173" t="s">
        <v>150</v>
      </c>
      <c r="F23" s="42" t="str">
        <f>Equations!F21</f>
        <v>NA</v>
      </c>
      <c r="G23" s="187" t="s">
        <v>51</v>
      </c>
      <c r="H23" s="188"/>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175"/>
    </row>
    <row r="24" spans="1:40" ht="15" customHeight="1" x14ac:dyDescent="0.2">
      <c r="A24" s="15"/>
      <c r="B24" s="176"/>
      <c r="C24" s="157"/>
      <c r="D24" s="157"/>
      <c r="E24" s="173" t="s">
        <v>151</v>
      </c>
      <c r="F24" s="41" t="str">
        <f>Equations!F22</f>
        <v>NA</v>
      </c>
      <c r="G24" s="187" t="s">
        <v>51</v>
      </c>
      <c r="H24" s="188"/>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75"/>
    </row>
    <row r="25" spans="1:40" ht="15" customHeight="1" x14ac:dyDescent="0.2">
      <c r="A25" s="15"/>
      <c r="B25" s="176"/>
      <c r="C25" s="157"/>
      <c r="D25" s="157"/>
      <c r="E25" s="173" t="s">
        <v>152</v>
      </c>
      <c r="F25" s="85">
        <v>10</v>
      </c>
      <c r="G25" s="187" t="s">
        <v>51</v>
      </c>
      <c r="H25" s="188"/>
      <c r="I25" s="157"/>
      <c r="J25" s="186"/>
      <c r="K25" s="157"/>
      <c r="L25" s="157"/>
      <c r="M25" s="157"/>
      <c r="N25" s="157"/>
      <c r="O25" s="157"/>
      <c r="P25" s="157"/>
      <c r="Q25" s="157"/>
      <c r="R25" s="157"/>
      <c r="S25" s="157"/>
      <c r="T25" s="157"/>
      <c r="U25" s="157"/>
      <c r="V25" s="157"/>
      <c r="W25" s="157"/>
      <c r="X25" s="157"/>
      <c r="Y25" s="157"/>
      <c r="Z25" s="157"/>
      <c r="AA25" s="157"/>
      <c r="AB25" s="157"/>
      <c r="AC25" s="157"/>
      <c r="AD25" s="157"/>
      <c r="AE25" s="157"/>
      <c r="AF25" s="157"/>
      <c r="AG25" s="157"/>
      <c r="AH25" s="157"/>
      <c r="AI25" s="157"/>
      <c r="AJ25" s="157"/>
      <c r="AK25" s="157"/>
      <c r="AL25" s="157"/>
      <c r="AM25" s="175"/>
      <c r="AN25" s="159" t="b">
        <f>AND(F21="No")</f>
        <v>1</v>
      </c>
    </row>
    <row r="26" spans="1:40" ht="15" customHeight="1" x14ac:dyDescent="0.2">
      <c r="A26" s="15"/>
      <c r="B26" s="176"/>
      <c r="C26" s="157"/>
      <c r="D26" s="157"/>
      <c r="E26" s="173" t="s">
        <v>153</v>
      </c>
      <c r="F26" s="85">
        <v>2</v>
      </c>
      <c r="G26" s="187" t="s">
        <v>51</v>
      </c>
      <c r="H26" s="188"/>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7"/>
      <c r="AM26" s="175"/>
    </row>
    <row r="27" spans="1:40" ht="15" customHeight="1" x14ac:dyDescent="0.2">
      <c r="A27" s="15"/>
      <c r="B27" s="176"/>
      <c r="C27" s="157"/>
      <c r="D27" s="157"/>
      <c r="E27" s="173" t="s">
        <v>177</v>
      </c>
      <c r="F27" s="41">
        <f>RsEFF</f>
        <v>2</v>
      </c>
      <c r="G27" s="174" t="s">
        <v>49</v>
      </c>
      <c r="H27" s="188"/>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157"/>
      <c r="AM27" s="175"/>
    </row>
    <row r="28" spans="1:40" ht="15" customHeight="1" x14ac:dyDescent="0.2">
      <c r="A28" s="15"/>
      <c r="B28" s="176"/>
      <c r="C28" s="157"/>
      <c r="D28" s="189"/>
      <c r="E28" s="190" t="s">
        <v>57</v>
      </c>
      <c r="F28" s="191">
        <f>CLMIN</f>
        <v>22.5</v>
      </c>
      <c r="G28" s="174" t="s">
        <v>17</v>
      </c>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75"/>
    </row>
    <row r="29" spans="1:40" ht="15" customHeight="1" x14ac:dyDescent="0.2">
      <c r="A29" s="15"/>
      <c r="B29" s="176"/>
      <c r="C29" s="157"/>
      <c r="D29" s="192"/>
      <c r="E29" s="193" t="s">
        <v>58</v>
      </c>
      <c r="F29" s="191">
        <f>CLNOM</f>
        <v>25</v>
      </c>
      <c r="G29" s="174" t="s">
        <v>17</v>
      </c>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7"/>
      <c r="AL29" s="157"/>
      <c r="AM29" s="175"/>
    </row>
    <row r="30" spans="1:40" ht="15" customHeight="1" x14ac:dyDescent="0.2">
      <c r="A30" s="15"/>
      <c r="B30" s="176"/>
      <c r="C30" s="157"/>
      <c r="D30" s="194"/>
      <c r="E30" s="195" t="s">
        <v>59</v>
      </c>
      <c r="F30" s="191">
        <f>CLMAX</f>
        <v>27.5</v>
      </c>
      <c r="G30" s="174" t="s">
        <v>17</v>
      </c>
      <c r="H30" s="157"/>
      <c r="I30" s="196"/>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c r="AM30" s="175"/>
      <c r="AN30" s="185" t="s">
        <v>171</v>
      </c>
    </row>
    <row r="31" spans="1:40" ht="15" customHeight="1" thickBot="1" x14ac:dyDescent="0.25">
      <c r="A31" s="15"/>
      <c r="B31" s="176"/>
      <c r="C31" s="157"/>
      <c r="D31" s="157"/>
      <c r="E31" s="173" t="s">
        <v>67</v>
      </c>
      <c r="F31" s="197">
        <f>Equations!F27/1000</f>
        <v>1.5125</v>
      </c>
      <c r="G31" s="174" t="s">
        <v>51</v>
      </c>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7"/>
      <c r="AM31" s="175"/>
      <c r="AN31" s="185" t="s">
        <v>172</v>
      </c>
    </row>
    <row r="32" spans="1:40" ht="15" x14ac:dyDescent="0.25">
      <c r="A32" s="15"/>
      <c r="B32" s="167" t="s">
        <v>73</v>
      </c>
      <c r="C32" s="168"/>
      <c r="D32" s="168"/>
      <c r="E32" s="198" t="s">
        <v>342</v>
      </c>
      <c r="F32" s="84" t="s">
        <v>390</v>
      </c>
      <c r="G32" s="199"/>
      <c r="H32" s="168"/>
      <c r="I32" s="168"/>
      <c r="J32" s="168"/>
      <c r="K32" s="168"/>
      <c r="L32" s="168"/>
      <c r="M32" s="168"/>
      <c r="N32" s="168"/>
      <c r="O32" s="168"/>
      <c r="P32" s="168"/>
      <c r="Q32" s="168"/>
      <c r="R32" s="168"/>
      <c r="S32" s="168"/>
      <c r="T32" s="168"/>
      <c r="U32" s="168"/>
      <c r="V32" s="168"/>
      <c r="W32" s="168"/>
      <c r="X32" s="168"/>
      <c r="Y32" s="168"/>
      <c r="Z32" s="168"/>
      <c r="AA32" s="168"/>
      <c r="AB32" s="168"/>
      <c r="AC32" s="168"/>
      <c r="AD32" s="168"/>
      <c r="AE32" s="168"/>
      <c r="AF32" s="168"/>
      <c r="AG32" s="168"/>
      <c r="AH32" s="168"/>
      <c r="AI32" s="168"/>
      <c r="AJ32" s="168"/>
      <c r="AK32" s="168"/>
      <c r="AL32" s="168"/>
      <c r="AM32" s="171"/>
    </row>
    <row r="33" spans="1:41" ht="15.75" x14ac:dyDescent="0.3">
      <c r="A33" s="15"/>
      <c r="B33" s="176"/>
      <c r="C33" s="157"/>
      <c r="D33" s="157"/>
      <c r="E33" s="200" t="s">
        <v>174</v>
      </c>
      <c r="F33" s="113">
        <v>60</v>
      </c>
      <c r="G33" s="174" t="s">
        <v>77</v>
      </c>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7"/>
      <c r="AL33" s="157"/>
      <c r="AM33" s="175"/>
      <c r="AN33" s="159">
        <f>((((TJMAX-TAMB)/ThetaJA)/(CLMAX^2))*1000)*NUMFETS^2</f>
        <v>6.9641873278236908</v>
      </c>
      <c r="AO33" s="159">
        <f>((TJMAX-TAMB)/ThetaJA)</f>
        <v>1.3166666666666667</v>
      </c>
    </row>
    <row r="34" spans="1:41" x14ac:dyDescent="0.2">
      <c r="A34" s="15"/>
      <c r="B34" s="176"/>
      <c r="C34" s="157"/>
      <c r="D34" s="157"/>
      <c r="E34" s="200" t="s">
        <v>74</v>
      </c>
      <c r="F34" s="86">
        <v>2</v>
      </c>
      <c r="G34" s="174" t="s">
        <v>75</v>
      </c>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57"/>
      <c r="AL34" s="157"/>
      <c r="AM34" s="175"/>
      <c r="AN34" s="201" t="s">
        <v>175</v>
      </c>
    </row>
    <row r="35" spans="1:41" ht="15.75" x14ac:dyDescent="0.3">
      <c r="A35" s="15"/>
      <c r="B35" s="176"/>
      <c r="C35" s="157"/>
      <c r="D35" s="157"/>
      <c r="E35" s="200" t="s">
        <v>179</v>
      </c>
      <c r="F35" s="86">
        <v>2.1</v>
      </c>
      <c r="G35" s="174" t="s">
        <v>49</v>
      </c>
      <c r="H35" s="157"/>
      <c r="I35" s="157"/>
      <c r="J35" s="157"/>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75"/>
      <c r="AN35" s="185">
        <f>F35</f>
        <v>2.1</v>
      </c>
    </row>
    <row r="36" spans="1:41" ht="14.25" x14ac:dyDescent="0.2">
      <c r="A36" s="15"/>
      <c r="B36" s="176"/>
      <c r="C36" s="157"/>
      <c r="D36" s="157"/>
      <c r="E36" s="200" t="s">
        <v>78</v>
      </c>
      <c r="F36" s="86">
        <v>150</v>
      </c>
      <c r="G36" s="174" t="s">
        <v>136</v>
      </c>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75"/>
      <c r="AN36" s="185">
        <f t="shared" ref="AN36:AN41" si="0">F36</f>
        <v>150</v>
      </c>
    </row>
    <row r="37" spans="1:41" ht="15.75" x14ac:dyDescent="0.3">
      <c r="A37" s="15"/>
      <c r="B37" s="292" t="s">
        <v>341</v>
      </c>
      <c r="C37" s="157"/>
      <c r="D37" s="157"/>
      <c r="E37" s="200" t="s">
        <v>274</v>
      </c>
      <c r="F37" s="87">
        <v>100</v>
      </c>
      <c r="G37" s="174" t="s">
        <v>17</v>
      </c>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75"/>
      <c r="AN37" s="185">
        <f t="shared" si="0"/>
        <v>100</v>
      </c>
    </row>
    <row r="38" spans="1:41" ht="15.75" x14ac:dyDescent="0.3">
      <c r="A38" s="15"/>
      <c r="B38" s="292"/>
      <c r="C38" s="157"/>
      <c r="D38" s="157"/>
      <c r="E38" s="200" t="s">
        <v>275</v>
      </c>
      <c r="F38" s="87">
        <v>10</v>
      </c>
      <c r="G38" s="174" t="s">
        <v>17</v>
      </c>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7"/>
      <c r="AL38" s="157"/>
      <c r="AM38" s="175"/>
      <c r="AN38" s="185">
        <f t="shared" si="0"/>
        <v>10</v>
      </c>
    </row>
    <row r="39" spans="1:41" ht="15.75" x14ac:dyDescent="0.3">
      <c r="A39" s="15"/>
      <c r="B39" s="292"/>
      <c r="C39" s="157"/>
      <c r="D39" s="157"/>
      <c r="E39" s="200" t="s">
        <v>276</v>
      </c>
      <c r="F39" s="87">
        <v>2</v>
      </c>
      <c r="G39" s="174" t="s">
        <v>17</v>
      </c>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75"/>
      <c r="AN39" s="185">
        <f t="shared" si="0"/>
        <v>2</v>
      </c>
    </row>
    <row r="40" spans="1:41" ht="15.75" x14ac:dyDescent="0.3">
      <c r="A40" s="15"/>
      <c r="B40" s="292"/>
      <c r="C40" s="157"/>
      <c r="D40" s="157"/>
      <c r="E40" s="200" t="s">
        <v>277</v>
      </c>
      <c r="F40" s="87">
        <v>0.9</v>
      </c>
      <c r="G40" s="174" t="s">
        <v>17</v>
      </c>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175"/>
      <c r="AN40" s="185">
        <f t="shared" si="0"/>
        <v>0.9</v>
      </c>
    </row>
    <row r="41" spans="1:41" ht="15.75" x14ac:dyDescent="0.3">
      <c r="A41" s="15"/>
      <c r="B41" s="292"/>
      <c r="C41" s="157"/>
      <c r="D41" s="157"/>
      <c r="E41" s="200" t="s">
        <v>278</v>
      </c>
      <c r="F41" s="87">
        <v>0.8</v>
      </c>
      <c r="G41" s="174" t="s">
        <v>17</v>
      </c>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75"/>
      <c r="AN41" s="185">
        <f t="shared" si="0"/>
        <v>0.8</v>
      </c>
    </row>
    <row r="42" spans="1:41" ht="15" customHeight="1" x14ac:dyDescent="0.2">
      <c r="A42" s="15"/>
      <c r="B42" s="292"/>
      <c r="C42" s="157"/>
      <c r="D42" s="157"/>
      <c r="E42" s="200" t="s">
        <v>222</v>
      </c>
      <c r="F42" s="74">
        <f>(IOUTMAX/NUMFETS)^2*RDSON/1000</f>
        <v>0.23152500000000001</v>
      </c>
      <c r="G42" s="174" t="s">
        <v>51</v>
      </c>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75"/>
    </row>
    <row r="43" spans="1:41" ht="15" customHeight="1" x14ac:dyDescent="0.3">
      <c r="A43" s="15"/>
      <c r="B43" s="292"/>
      <c r="C43" s="157"/>
      <c r="D43" s="157"/>
      <c r="E43" s="200" t="s">
        <v>178</v>
      </c>
      <c r="F43" s="74">
        <f>TAMB+(FETPDISS*ThetaJA)</f>
        <v>84.891500000000008</v>
      </c>
      <c r="G43" s="174" t="s">
        <v>76</v>
      </c>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75"/>
    </row>
    <row r="44" spans="1:41" ht="15" customHeight="1" x14ac:dyDescent="0.25">
      <c r="A44" s="15"/>
      <c r="B44" s="172"/>
      <c r="C44" s="157"/>
      <c r="D44" s="157"/>
      <c r="E44" s="173" t="s">
        <v>389</v>
      </c>
      <c r="F44" s="74">
        <f>Equations!F38</f>
        <v>135</v>
      </c>
      <c r="G44" s="174" t="s">
        <v>51</v>
      </c>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75"/>
    </row>
    <row r="45" spans="1:41" ht="15" customHeight="1" x14ac:dyDescent="0.25">
      <c r="A45" s="15"/>
      <c r="B45" s="172"/>
      <c r="C45" s="157"/>
      <c r="D45" s="157"/>
      <c r="E45" s="173" t="s">
        <v>182</v>
      </c>
      <c r="F45" s="87">
        <v>250</v>
      </c>
      <c r="G45" s="174" t="s">
        <v>51</v>
      </c>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75"/>
    </row>
    <row r="46" spans="1:41" ht="15" customHeight="1" x14ac:dyDescent="0.25">
      <c r="A46" s="15"/>
      <c r="B46" s="172"/>
      <c r="C46" s="157"/>
      <c r="D46" s="157"/>
      <c r="E46" s="173" t="s">
        <v>363</v>
      </c>
      <c r="F46" s="87">
        <v>30</v>
      </c>
      <c r="G46" s="202" t="s">
        <v>48</v>
      </c>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75"/>
    </row>
    <row r="47" spans="1:41" ht="15" customHeight="1" x14ac:dyDescent="0.25">
      <c r="A47" s="15"/>
      <c r="B47" s="172"/>
      <c r="C47" s="157"/>
      <c r="D47" s="157"/>
      <c r="E47" s="173" t="s">
        <v>364</v>
      </c>
      <c r="F47" s="58">
        <f>Equations!F43</f>
        <v>10</v>
      </c>
      <c r="G47" s="202" t="s">
        <v>48</v>
      </c>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75"/>
    </row>
    <row r="48" spans="1:41" ht="15" customHeight="1" x14ac:dyDescent="0.25">
      <c r="A48" s="15"/>
      <c r="B48" s="172"/>
      <c r="C48" s="157"/>
      <c r="D48" s="157"/>
      <c r="E48" s="173" t="s">
        <v>387</v>
      </c>
      <c r="F48" s="86">
        <v>10</v>
      </c>
      <c r="G48" s="202" t="s">
        <v>48</v>
      </c>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75"/>
    </row>
    <row r="49" spans="1:40" ht="15" customHeight="1" thickBot="1" x14ac:dyDescent="0.25">
      <c r="A49" s="15"/>
      <c r="B49" s="176"/>
      <c r="C49" s="157"/>
      <c r="D49" s="157"/>
      <c r="E49" s="173" t="s">
        <v>185</v>
      </c>
      <c r="F49" s="58">
        <f>Equations!F47</f>
        <v>250</v>
      </c>
      <c r="G49" s="174" t="s">
        <v>51</v>
      </c>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75"/>
    </row>
    <row r="50" spans="1:40" ht="15" x14ac:dyDescent="0.25">
      <c r="A50" s="15"/>
      <c r="B50" s="167" t="s">
        <v>84</v>
      </c>
      <c r="C50" s="168"/>
      <c r="D50" s="168"/>
      <c r="E50" s="198" t="s">
        <v>139</v>
      </c>
      <c r="F50" s="88">
        <v>12</v>
      </c>
      <c r="G50" s="199" t="s">
        <v>50</v>
      </c>
      <c r="H50" s="168"/>
      <c r="I50" s="168"/>
      <c r="J50" s="168"/>
      <c r="K50" s="168"/>
      <c r="L50" s="168"/>
      <c r="M50" s="168"/>
      <c r="N50" s="168"/>
      <c r="O50" s="168"/>
      <c r="P50" s="168"/>
      <c r="Q50" s="168"/>
      <c r="R50" s="168"/>
      <c r="S50" s="168"/>
      <c r="T50" s="168"/>
      <c r="U50" s="168"/>
      <c r="V50" s="168"/>
      <c r="W50" s="168"/>
      <c r="X50" s="168"/>
      <c r="Y50" s="168"/>
      <c r="Z50" s="168"/>
      <c r="AA50" s="168"/>
      <c r="AB50" s="168"/>
      <c r="AC50" s="168"/>
      <c r="AD50" s="168"/>
      <c r="AE50" s="168"/>
      <c r="AF50" s="168"/>
      <c r="AG50" s="168"/>
      <c r="AH50" s="168"/>
      <c r="AI50" s="168"/>
      <c r="AJ50" s="168"/>
      <c r="AK50" s="168"/>
      <c r="AL50" s="168"/>
      <c r="AM50" s="171"/>
      <c r="AN50" s="185"/>
    </row>
    <row r="51" spans="1:40" x14ac:dyDescent="0.2">
      <c r="A51" s="15"/>
      <c r="B51" s="203"/>
      <c r="C51" s="157"/>
      <c r="D51" s="157"/>
      <c r="E51" s="200" t="s">
        <v>85</v>
      </c>
      <c r="F51" s="86" t="s">
        <v>87</v>
      </c>
      <c r="G51" s="177"/>
      <c r="H51" s="157"/>
      <c r="I51" s="157"/>
      <c r="J51" s="157"/>
      <c r="K51" s="157"/>
      <c r="L51" s="157"/>
      <c r="M51" s="157"/>
      <c r="N51" s="157"/>
      <c r="O51" s="157"/>
      <c r="P51" s="157"/>
      <c r="Q51" s="157"/>
      <c r="R51" s="157"/>
      <c r="S51" s="157"/>
      <c r="T51" s="157"/>
      <c r="U51" s="157"/>
      <c r="V51" s="157"/>
      <c r="W51" s="157"/>
      <c r="X51" s="157"/>
      <c r="Y51" s="157"/>
      <c r="Z51" s="157"/>
      <c r="AA51" s="157"/>
      <c r="AB51" s="157"/>
      <c r="AC51" s="157"/>
      <c r="AD51" s="157"/>
      <c r="AE51" s="157"/>
      <c r="AF51" s="157"/>
      <c r="AG51" s="157"/>
      <c r="AH51" s="157"/>
      <c r="AI51" s="157"/>
      <c r="AJ51" s="157"/>
      <c r="AK51" s="157"/>
      <c r="AL51" s="157"/>
      <c r="AM51" s="175"/>
      <c r="AN51" s="185"/>
    </row>
    <row r="52" spans="1:40" x14ac:dyDescent="0.2">
      <c r="A52" s="15"/>
      <c r="B52" s="176"/>
      <c r="C52" s="157"/>
      <c r="D52" s="157"/>
      <c r="E52" s="200" t="s">
        <v>86</v>
      </c>
      <c r="F52" s="86">
        <v>1</v>
      </c>
      <c r="G52" s="177" t="str">
        <f>IF(F51="Constant Current","A","Ohms")</f>
        <v>A</v>
      </c>
      <c r="H52" s="157"/>
      <c r="I52" s="157"/>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7"/>
      <c r="AJ52" s="157"/>
      <c r="AK52" s="157"/>
      <c r="AL52" s="157"/>
      <c r="AM52" s="175"/>
      <c r="AN52" s="159" t="s">
        <v>87</v>
      </c>
    </row>
    <row r="53" spans="1:40" x14ac:dyDescent="0.2">
      <c r="A53" s="15"/>
      <c r="B53" s="176"/>
      <c r="C53" s="157"/>
      <c r="D53" s="157"/>
      <c r="E53" s="173" t="s">
        <v>145</v>
      </c>
      <c r="F53" s="85" t="s">
        <v>146</v>
      </c>
      <c r="G53" s="17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75"/>
      <c r="AN53" s="159" t="s">
        <v>88</v>
      </c>
    </row>
    <row r="54" spans="1:40" x14ac:dyDescent="0.2">
      <c r="A54" s="15"/>
      <c r="B54" s="176"/>
      <c r="C54" s="157"/>
      <c r="D54" s="157"/>
      <c r="E54" s="200" t="s">
        <v>201</v>
      </c>
      <c r="F54" s="204">
        <f>Start_up!M2</f>
        <v>61.363636363636459</v>
      </c>
      <c r="G54" s="174" t="s">
        <v>5</v>
      </c>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57"/>
      <c r="AJ54" s="157"/>
      <c r="AK54" s="157"/>
      <c r="AL54" s="157"/>
      <c r="AM54" s="175"/>
      <c r="AN54" s="185"/>
    </row>
    <row r="55" spans="1:40" x14ac:dyDescent="0.2">
      <c r="A55" s="15"/>
      <c r="B55" s="176"/>
      <c r="C55" s="157"/>
      <c r="D55" s="157"/>
      <c r="E55" s="200" t="s">
        <v>208</v>
      </c>
      <c r="F55" s="205">
        <f>Start_up!O2</f>
        <v>0.6376811594202898</v>
      </c>
      <c r="G55" s="174"/>
      <c r="H55" s="157"/>
      <c r="I55" s="157"/>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c r="AG55" s="157"/>
      <c r="AH55" s="157"/>
      <c r="AI55" s="157"/>
      <c r="AJ55" s="157"/>
      <c r="AK55" s="157"/>
      <c r="AL55" s="157"/>
      <c r="AM55" s="175"/>
      <c r="AN55" s="185"/>
    </row>
    <row r="56" spans="1:40" ht="13.15" customHeight="1" x14ac:dyDescent="0.2">
      <c r="A56" s="15"/>
      <c r="B56" s="203"/>
      <c r="C56" s="157"/>
      <c r="D56" s="206"/>
      <c r="E56" s="207" t="s">
        <v>202</v>
      </c>
      <c r="F56" s="204">
        <f>Equations!F55</f>
        <v>107.3863636363638</v>
      </c>
      <c r="G56" s="177" t="s">
        <v>5</v>
      </c>
      <c r="H56" s="157"/>
      <c r="I56" s="157"/>
      <c r="J56" s="157"/>
      <c r="K56" s="157"/>
      <c r="L56" s="157"/>
      <c r="M56" s="157"/>
      <c r="N56" s="157"/>
      <c r="O56" s="157"/>
      <c r="P56" s="157"/>
      <c r="Q56" s="157"/>
      <c r="R56" s="157"/>
      <c r="S56" s="157"/>
      <c r="T56" s="157"/>
      <c r="U56" s="157"/>
      <c r="V56" s="157"/>
      <c r="W56" s="157"/>
      <c r="X56" s="157"/>
      <c r="Y56" s="157"/>
      <c r="Z56" s="157"/>
      <c r="AA56" s="157"/>
      <c r="AB56" s="157"/>
      <c r="AC56" s="157"/>
      <c r="AD56" s="157"/>
      <c r="AE56" s="157"/>
      <c r="AF56" s="157"/>
      <c r="AG56" s="157"/>
      <c r="AH56" s="157"/>
      <c r="AI56" s="157"/>
      <c r="AJ56" s="157"/>
      <c r="AK56" s="157"/>
      <c r="AL56" s="157"/>
      <c r="AM56" s="175"/>
    </row>
    <row r="57" spans="1:40" ht="12.6" customHeight="1" x14ac:dyDescent="0.2">
      <c r="A57" s="15"/>
      <c r="B57" s="176"/>
      <c r="C57" s="157"/>
      <c r="D57" s="206"/>
      <c r="E57" s="208" t="s">
        <v>206</v>
      </c>
      <c r="F57" s="204">
        <f>Equations!F56</f>
        <v>671.16477272727377</v>
      </c>
      <c r="G57" s="174" t="s">
        <v>69</v>
      </c>
      <c r="H57" s="157"/>
      <c r="I57" s="157"/>
      <c r="J57" s="157"/>
      <c r="K57" s="157"/>
      <c r="L57" s="157"/>
      <c r="M57" s="157"/>
      <c r="N57" s="157"/>
      <c r="O57" s="157"/>
      <c r="P57" s="157"/>
      <c r="Q57" s="157"/>
      <c r="R57" s="157"/>
      <c r="S57" s="157"/>
      <c r="T57" s="157"/>
      <c r="U57" s="157"/>
      <c r="V57" s="157"/>
      <c r="W57" s="157"/>
      <c r="X57" s="157"/>
      <c r="Y57" s="157"/>
      <c r="Z57" s="157"/>
      <c r="AA57" s="157"/>
      <c r="AB57" s="157"/>
      <c r="AC57" s="157"/>
      <c r="AD57" s="157"/>
      <c r="AE57" s="157"/>
      <c r="AF57" s="157"/>
      <c r="AG57" s="157"/>
      <c r="AH57" s="157"/>
      <c r="AI57" s="157"/>
      <c r="AJ57" s="157"/>
      <c r="AK57" s="157"/>
      <c r="AL57" s="157"/>
      <c r="AM57" s="175"/>
    </row>
    <row r="58" spans="1:40" ht="15" customHeight="1" x14ac:dyDescent="0.2">
      <c r="A58" s="15"/>
      <c r="B58" s="176"/>
      <c r="C58" s="157"/>
      <c r="D58" s="206"/>
      <c r="E58" s="208" t="s">
        <v>209</v>
      </c>
      <c r="F58" s="86">
        <v>33</v>
      </c>
      <c r="G58" s="174" t="s">
        <v>69</v>
      </c>
      <c r="H58" s="157"/>
      <c r="I58" s="157"/>
      <c r="J58" s="157"/>
      <c r="K58" s="157"/>
      <c r="L58" s="157"/>
      <c r="M58" s="157"/>
      <c r="N58" s="157"/>
      <c r="O58" s="157"/>
      <c r="P58" s="157"/>
      <c r="Q58" s="157"/>
      <c r="R58" s="157"/>
      <c r="S58" s="157"/>
      <c r="T58" s="157"/>
      <c r="U58" s="157"/>
      <c r="V58" s="157"/>
      <c r="W58" s="157"/>
      <c r="X58" s="157"/>
      <c r="Y58" s="157"/>
      <c r="Z58" s="157"/>
      <c r="AA58" s="157"/>
      <c r="AB58" s="157"/>
      <c r="AC58" s="157"/>
      <c r="AD58" s="157"/>
      <c r="AE58" s="157"/>
      <c r="AF58" s="157"/>
      <c r="AG58" s="157"/>
      <c r="AH58" s="157"/>
      <c r="AI58" s="157"/>
      <c r="AJ58" s="157"/>
      <c r="AK58" s="157"/>
      <c r="AL58" s="157"/>
      <c r="AM58" s="175"/>
    </row>
    <row r="59" spans="1:40" ht="15" customHeight="1" x14ac:dyDescent="0.2">
      <c r="A59" s="15"/>
      <c r="B59" s="176"/>
      <c r="C59" s="157"/>
      <c r="D59" s="206"/>
      <c r="E59" s="208" t="s">
        <v>262</v>
      </c>
      <c r="F59" s="204">
        <f>Equations!F58</f>
        <v>5.28</v>
      </c>
      <c r="G59" s="174" t="s">
        <v>5</v>
      </c>
      <c r="H59" s="157"/>
      <c r="I59" s="157"/>
      <c r="J59" s="157"/>
      <c r="K59" s="157"/>
      <c r="L59" s="157"/>
      <c r="M59" s="157"/>
      <c r="N59" s="157"/>
      <c r="O59" s="157"/>
      <c r="P59" s="157"/>
      <c r="Q59" s="157"/>
      <c r="R59" s="157"/>
      <c r="S59" s="157"/>
      <c r="T59" s="157"/>
      <c r="U59" s="157"/>
      <c r="V59" s="157"/>
      <c r="W59" s="157"/>
      <c r="X59" s="157"/>
      <c r="Y59" s="157"/>
      <c r="Z59" s="157"/>
      <c r="AA59" s="157"/>
      <c r="AB59" s="157"/>
      <c r="AC59" s="157"/>
      <c r="AD59" s="157"/>
      <c r="AE59" s="157"/>
      <c r="AF59" s="157"/>
      <c r="AG59" s="157"/>
      <c r="AH59" s="157"/>
      <c r="AI59" s="157"/>
      <c r="AJ59" s="157"/>
      <c r="AK59" s="157"/>
      <c r="AL59" s="157"/>
      <c r="AM59" s="175"/>
    </row>
    <row r="60" spans="1:40" ht="15" customHeight="1" x14ac:dyDescent="0.2">
      <c r="A60" s="15"/>
      <c r="B60" s="176"/>
      <c r="C60" s="157"/>
      <c r="D60" s="206"/>
      <c r="E60" s="208" t="s">
        <v>217</v>
      </c>
      <c r="F60" s="204">
        <f>Equations!F59</f>
        <v>2.343906</v>
      </c>
      <c r="G60" s="174"/>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c r="AI60" s="157"/>
      <c r="AJ60" s="157"/>
      <c r="AK60" s="157"/>
      <c r="AL60" s="157"/>
      <c r="AM60" s="175"/>
    </row>
    <row r="61" spans="1:40" ht="15" customHeight="1" x14ac:dyDescent="0.2">
      <c r="A61" s="15"/>
      <c r="B61" s="176"/>
      <c r="C61" s="157"/>
      <c r="D61" s="206"/>
      <c r="E61" s="208" t="s">
        <v>267</v>
      </c>
      <c r="F61" s="85" t="s">
        <v>144</v>
      </c>
      <c r="G61" s="174"/>
      <c r="H61" s="157"/>
      <c r="I61" s="157"/>
      <c r="J61" s="157"/>
      <c r="K61" s="157"/>
      <c r="L61" s="157"/>
      <c r="M61" s="157"/>
      <c r="N61" s="157"/>
      <c r="O61" s="157"/>
      <c r="P61" s="157"/>
      <c r="Q61" s="157"/>
      <c r="R61" s="157"/>
      <c r="S61" s="157"/>
      <c r="T61" s="157"/>
      <c r="U61" s="157"/>
      <c r="V61" s="157"/>
      <c r="W61" s="157"/>
      <c r="X61" s="157"/>
      <c r="Y61" s="157"/>
      <c r="Z61" s="157"/>
      <c r="AA61" s="157"/>
      <c r="AB61" s="157"/>
      <c r="AC61" s="157"/>
      <c r="AD61" s="157"/>
      <c r="AE61" s="157"/>
      <c r="AF61" s="157"/>
      <c r="AG61" s="157"/>
      <c r="AH61" s="157"/>
      <c r="AI61" s="157"/>
      <c r="AJ61" s="157"/>
      <c r="AK61" s="157"/>
      <c r="AL61" s="157"/>
      <c r="AM61" s="175"/>
    </row>
    <row r="62" spans="1:40" ht="15" customHeight="1" x14ac:dyDescent="0.2">
      <c r="A62" s="15"/>
      <c r="B62" s="176"/>
      <c r="C62" s="157"/>
      <c r="D62" s="206"/>
      <c r="E62" s="208" t="s">
        <v>272</v>
      </c>
      <c r="F62" s="204" t="str">
        <f>dv_dt_recommendations!L29</f>
        <v>NA</v>
      </c>
      <c r="G62" s="174" t="s">
        <v>225</v>
      </c>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c r="AE62" s="157"/>
      <c r="AF62" s="157"/>
      <c r="AG62" s="157"/>
      <c r="AH62" s="157"/>
      <c r="AI62" s="157"/>
      <c r="AJ62" s="157"/>
      <c r="AK62" s="157"/>
      <c r="AL62" s="157"/>
      <c r="AM62" s="175"/>
    </row>
    <row r="63" spans="1:40" ht="15" customHeight="1" x14ac:dyDescent="0.2">
      <c r="A63" s="15"/>
      <c r="B63" s="176"/>
      <c r="C63" s="157"/>
      <c r="D63" s="206"/>
      <c r="E63" s="208" t="s">
        <v>273</v>
      </c>
      <c r="F63" s="204" t="str">
        <f>dv_dt_recommendations!L30</f>
        <v>NA</v>
      </c>
      <c r="G63" s="174" t="s">
        <v>225</v>
      </c>
      <c r="H63" s="157"/>
      <c r="I63" s="157"/>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7"/>
      <c r="AH63" s="157"/>
      <c r="AI63" s="157"/>
      <c r="AJ63" s="157"/>
      <c r="AK63" s="157"/>
      <c r="AL63" s="157"/>
      <c r="AM63" s="175"/>
    </row>
    <row r="64" spans="1:40" ht="15" customHeight="1" x14ac:dyDescent="0.2">
      <c r="A64" s="15"/>
      <c r="B64" s="293" t="s">
        <v>353</v>
      </c>
      <c r="C64" s="294"/>
      <c r="D64" s="206"/>
      <c r="E64" s="209" t="s">
        <v>259</v>
      </c>
      <c r="F64" s="86">
        <v>1</v>
      </c>
      <c r="G64" s="174" t="s">
        <v>225</v>
      </c>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7"/>
      <c r="AJ64" s="157"/>
      <c r="AK64" s="157"/>
      <c r="AL64" s="157"/>
      <c r="AM64" s="175"/>
    </row>
    <row r="65" spans="1:40" ht="15" customHeight="1" x14ac:dyDescent="0.2">
      <c r="A65" s="15"/>
      <c r="B65" s="293"/>
      <c r="C65" s="294"/>
      <c r="D65" s="206"/>
      <c r="E65" s="209" t="s">
        <v>249</v>
      </c>
      <c r="F65" s="204">
        <f>Equations!F63</f>
        <v>22</v>
      </c>
      <c r="G65" s="210" t="s">
        <v>69</v>
      </c>
      <c r="H65" s="157"/>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7"/>
      <c r="AL65" s="157"/>
      <c r="AM65" s="175"/>
    </row>
    <row r="66" spans="1:40" ht="15" customHeight="1" x14ac:dyDescent="0.2">
      <c r="A66" s="15"/>
      <c r="B66" s="293"/>
      <c r="C66" s="294"/>
      <c r="D66" s="206"/>
      <c r="E66" s="209" t="s">
        <v>250</v>
      </c>
      <c r="F66" s="86">
        <v>25</v>
      </c>
      <c r="G66" s="174" t="s">
        <v>69</v>
      </c>
      <c r="H66" s="157"/>
      <c r="I66" s="157"/>
      <c r="J66" s="157"/>
      <c r="K66" s="157"/>
      <c r="L66" s="157"/>
      <c r="M66" s="157"/>
      <c r="N66" s="157"/>
      <c r="O66" s="157"/>
      <c r="P66" s="157"/>
      <c r="Q66" s="157"/>
      <c r="R66" s="157"/>
      <c r="S66" s="157"/>
      <c r="T66" s="157"/>
      <c r="U66" s="157"/>
      <c r="V66" s="157"/>
      <c r="W66" s="157"/>
      <c r="X66" s="157"/>
      <c r="Y66" s="157"/>
      <c r="Z66" s="157"/>
      <c r="AA66" s="157"/>
      <c r="AB66" s="157"/>
      <c r="AC66" s="157"/>
      <c r="AD66" s="157"/>
      <c r="AE66" s="157"/>
      <c r="AF66" s="157"/>
      <c r="AG66" s="157"/>
      <c r="AH66" s="157"/>
      <c r="AI66" s="157"/>
      <c r="AJ66" s="157"/>
      <c r="AK66" s="157"/>
      <c r="AL66" s="157"/>
      <c r="AM66" s="175"/>
    </row>
    <row r="67" spans="1:40" ht="15" customHeight="1" x14ac:dyDescent="0.2">
      <c r="A67" s="15"/>
      <c r="B67" s="293"/>
      <c r="C67" s="294"/>
      <c r="D67" s="206"/>
      <c r="E67" s="209" t="s">
        <v>260</v>
      </c>
      <c r="F67" s="204">
        <f>Equations!F65</f>
        <v>0.88</v>
      </c>
      <c r="G67" s="174" t="s">
        <v>225</v>
      </c>
      <c r="H67" s="157"/>
      <c r="I67" s="157"/>
      <c r="J67" s="157"/>
      <c r="K67" s="157"/>
      <c r="L67" s="157"/>
      <c r="M67" s="157"/>
      <c r="N67" s="157"/>
      <c r="O67" s="157"/>
      <c r="P67" s="157"/>
      <c r="Q67" s="157"/>
      <c r="R67" s="157"/>
      <c r="S67" s="157"/>
      <c r="T67" s="157"/>
      <c r="U67" s="157"/>
      <c r="V67" s="157"/>
      <c r="W67" s="157"/>
      <c r="X67" s="157"/>
      <c r="Y67" s="157"/>
      <c r="Z67" s="157"/>
      <c r="AA67" s="157"/>
      <c r="AB67" s="157"/>
      <c r="AC67" s="157"/>
      <c r="AD67" s="157"/>
      <c r="AE67" s="157"/>
      <c r="AF67" s="157"/>
      <c r="AG67" s="157"/>
      <c r="AH67" s="157"/>
      <c r="AI67" s="157"/>
      <c r="AJ67" s="157"/>
      <c r="AK67" s="157"/>
      <c r="AL67" s="157"/>
      <c r="AM67" s="175"/>
    </row>
    <row r="68" spans="1:40" ht="16.899999999999999" customHeight="1" x14ac:dyDescent="0.2">
      <c r="A68" s="15"/>
      <c r="B68" s="293"/>
      <c r="C68" s="294"/>
      <c r="D68" s="206"/>
      <c r="E68" s="209" t="s">
        <v>255</v>
      </c>
      <c r="F68" s="204">
        <f>Equations!F72</f>
        <v>0.39007167288646716</v>
      </c>
      <c r="G68" s="174"/>
      <c r="H68" s="157"/>
      <c r="I68" s="157"/>
      <c r="J68" s="157"/>
      <c r="K68" s="157"/>
      <c r="L68" s="157"/>
      <c r="M68" s="157"/>
      <c r="N68" s="157"/>
      <c r="O68" s="157"/>
      <c r="P68" s="157"/>
      <c r="Q68" s="157"/>
      <c r="R68" s="157"/>
      <c r="S68" s="157"/>
      <c r="T68" s="157"/>
      <c r="U68" s="157"/>
      <c r="V68" s="157"/>
      <c r="W68" s="157"/>
      <c r="X68" s="157"/>
      <c r="Y68" s="157"/>
      <c r="Z68" s="157"/>
      <c r="AA68" s="157"/>
      <c r="AB68" s="157"/>
      <c r="AC68" s="157"/>
      <c r="AD68" s="157"/>
      <c r="AE68" s="157"/>
      <c r="AF68" s="157"/>
      <c r="AG68" s="157"/>
      <c r="AH68" s="157"/>
      <c r="AI68" s="157"/>
      <c r="AJ68" s="157"/>
      <c r="AK68" s="157"/>
      <c r="AL68" s="157"/>
      <c r="AM68" s="175"/>
    </row>
    <row r="69" spans="1:40" ht="16.899999999999999" customHeight="1" x14ac:dyDescent="0.2">
      <c r="A69" s="15"/>
      <c r="B69" s="176"/>
      <c r="C69" s="157"/>
      <c r="D69" s="206"/>
      <c r="E69" s="209" t="s">
        <v>252</v>
      </c>
      <c r="F69" s="86">
        <v>0.4</v>
      </c>
      <c r="G69" s="174" t="s">
        <v>5</v>
      </c>
      <c r="H69" s="157"/>
      <c r="I69" s="157"/>
      <c r="J69" s="157"/>
      <c r="K69" s="157"/>
      <c r="L69" s="157"/>
      <c r="M69" s="157"/>
      <c r="N69" s="157"/>
      <c r="O69" s="157"/>
      <c r="P69" s="157"/>
      <c r="Q69" s="157"/>
      <c r="R69" s="157"/>
      <c r="S69" s="157"/>
      <c r="T69" s="157"/>
      <c r="U69" s="157"/>
      <c r="V69" s="157"/>
      <c r="W69" s="157"/>
      <c r="X69" s="157"/>
      <c r="Y69" s="157"/>
      <c r="Z69" s="157"/>
      <c r="AA69" s="157"/>
      <c r="AB69" s="157"/>
      <c r="AC69" s="157"/>
      <c r="AD69" s="157"/>
      <c r="AE69" s="157"/>
      <c r="AF69" s="157"/>
      <c r="AG69" s="157"/>
      <c r="AH69" s="157"/>
      <c r="AI69" s="157"/>
      <c r="AJ69" s="157"/>
      <c r="AK69" s="157"/>
      <c r="AL69" s="157"/>
      <c r="AM69" s="175"/>
    </row>
    <row r="70" spans="1:40" ht="16.899999999999999" customHeight="1" x14ac:dyDescent="0.2">
      <c r="A70" s="15"/>
      <c r="B70" s="176"/>
      <c r="C70" s="157"/>
      <c r="D70" s="206"/>
      <c r="E70" s="209" t="s">
        <v>253</v>
      </c>
      <c r="F70" s="204">
        <f>Equations!F77</f>
        <v>2.5</v>
      </c>
      <c r="G70" s="174" t="s">
        <v>69</v>
      </c>
      <c r="H70" s="157"/>
      <c r="I70" s="157"/>
      <c r="J70" s="157"/>
      <c r="K70" s="157"/>
      <c r="L70" s="157"/>
      <c r="M70" s="157"/>
      <c r="N70" s="157"/>
      <c r="O70" s="157"/>
      <c r="P70" s="157"/>
      <c r="Q70" s="157"/>
      <c r="R70" s="157"/>
      <c r="S70" s="157"/>
      <c r="T70" s="157"/>
      <c r="U70" s="157"/>
      <c r="V70" s="157"/>
      <c r="W70" s="157"/>
      <c r="X70" s="157"/>
      <c r="Y70" s="157"/>
      <c r="Z70" s="157"/>
      <c r="AA70" s="157"/>
      <c r="AB70" s="157"/>
      <c r="AC70" s="157"/>
      <c r="AD70" s="157"/>
      <c r="AE70" s="157"/>
      <c r="AF70" s="157"/>
      <c r="AG70" s="157"/>
      <c r="AH70" s="157"/>
      <c r="AI70" s="157"/>
      <c r="AJ70" s="157"/>
      <c r="AK70" s="157"/>
      <c r="AL70" s="157"/>
      <c r="AM70" s="175"/>
    </row>
    <row r="71" spans="1:40" ht="16.899999999999999" customHeight="1" x14ac:dyDescent="0.3">
      <c r="A71" s="15"/>
      <c r="B71" s="176"/>
      <c r="C71" s="157"/>
      <c r="D71" s="206"/>
      <c r="E71" s="211" t="s">
        <v>324</v>
      </c>
      <c r="F71" s="86">
        <v>3</v>
      </c>
      <c r="G71" s="174" t="s">
        <v>69</v>
      </c>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7"/>
      <c r="AF71" s="157"/>
      <c r="AG71" s="157"/>
      <c r="AH71" s="157"/>
      <c r="AI71" s="157"/>
      <c r="AJ71" s="157"/>
      <c r="AK71" s="157"/>
      <c r="AL71" s="157"/>
      <c r="AM71" s="175"/>
    </row>
    <row r="72" spans="1:40" ht="15" customHeight="1" x14ac:dyDescent="0.2">
      <c r="A72" s="15"/>
      <c r="B72" s="176"/>
      <c r="C72" s="157"/>
      <c r="D72" s="206"/>
      <c r="E72" s="208" t="s">
        <v>258</v>
      </c>
      <c r="F72" s="204">
        <f>Equations!F79</f>
        <v>0.48</v>
      </c>
      <c r="G72" s="174" t="s">
        <v>5</v>
      </c>
      <c r="H72" s="157"/>
      <c r="I72" s="157"/>
      <c r="J72" s="157"/>
      <c r="K72" s="157"/>
      <c r="L72" s="157"/>
      <c r="M72" s="157"/>
      <c r="N72" s="157"/>
      <c r="O72" s="157"/>
      <c r="P72" s="157"/>
      <c r="Q72" s="157"/>
      <c r="R72" s="157"/>
      <c r="S72" s="157"/>
      <c r="T72" s="157"/>
      <c r="U72" s="157"/>
      <c r="V72" s="157"/>
      <c r="W72" s="157"/>
      <c r="X72" s="157"/>
      <c r="Y72" s="157"/>
      <c r="Z72" s="157"/>
      <c r="AA72" s="157"/>
      <c r="AB72" s="157"/>
      <c r="AC72" s="157"/>
      <c r="AD72" s="157"/>
      <c r="AE72" s="157"/>
      <c r="AF72" s="157"/>
      <c r="AG72" s="157"/>
      <c r="AH72" s="157"/>
      <c r="AI72" s="157"/>
      <c r="AJ72" s="157"/>
      <c r="AK72" s="157"/>
      <c r="AL72" s="157"/>
      <c r="AM72" s="212" t="s">
        <v>176</v>
      </c>
    </row>
    <row r="73" spans="1:40" ht="31.9" customHeight="1" thickBot="1" x14ac:dyDescent="0.25">
      <c r="A73" s="15"/>
      <c r="B73" s="178"/>
      <c r="C73" s="179"/>
      <c r="D73" s="213"/>
      <c r="E73" s="214" t="s">
        <v>263</v>
      </c>
      <c r="F73" s="215">
        <f>Equations!F81</f>
        <v>2.343906</v>
      </c>
      <c r="G73" s="216"/>
      <c r="H73" s="179"/>
      <c r="I73" s="179"/>
      <c r="J73" s="179"/>
      <c r="K73" s="179"/>
      <c r="L73" s="179"/>
      <c r="M73" s="179"/>
      <c r="N73" s="179"/>
      <c r="O73" s="179"/>
      <c r="P73" s="179"/>
      <c r="Q73" s="179"/>
      <c r="R73" s="179"/>
      <c r="S73" s="179"/>
      <c r="T73" s="179"/>
      <c r="U73" s="179"/>
      <c r="V73" s="179"/>
      <c r="W73" s="179"/>
      <c r="X73" s="179"/>
      <c r="Y73" s="179"/>
      <c r="Z73" s="179"/>
      <c r="AA73" s="179"/>
      <c r="AB73" s="179"/>
      <c r="AC73" s="179"/>
      <c r="AD73" s="179"/>
      <c r="AE73" s="179"/>
      <c r="AF73" s="179"/>
      <c r="AG73" s="179"/>
      <c r="AH73" s="179"/>
      <c r="AI73" s="179"/>
      <c r="AJ73" s="179"/>
      <c r="AK73" s="179"/>
      <c r="AL73" s="179"/>
      <c r="AM73" s="217"/>
    </row>
    <row r="74" spans="1:40" ht="15" customHeight="1" x14ac:dyDescent="0.25">
      <c r="A74" s="15"/>
      <c r="B74" s="218" t="s">
        <v>160</v>
      </c>
      <c r="C74" s="219"/>
      <c r="D74" s="157"/>
      <c r="E74" s="220" t="s">
        <v>382</v>
      </c>
      <c r="F74" s="154">
        <v>12</v>
      </c>
      <c r="G74" s="221" t="s">
        <v>50</v>
      </c>
      <c r="H74" s="157"/>
      <c r="I74" s="157"/>
      <c r="J74" s="157"/>
      <c r="K74" s="157"/>
      <c r="L74" s="157"/>
      <c r="M74" s="157"/>
      <c r="N74" s="157"/>
      <c r="O74" s="157"/>
      <c r="P74" s="157"/>
      <c r="Q74" s="157"/>
      <c r="R74" s="157"/>
      <c r="S74" s="157"/>
      <c r="T74" s="157"/>
      <c r="U74" s="157"/>
      <c r="V74" s="157"/>
      <c r="W74" s="157"/>
      <c r="X74" s="157"/>
      <c r="Y74" s="157"/>
      <c r="Z74" s="157"/>
      <c r="AA74" s="157"/>
      <c r="AB74" s="157"/>
      <c r="AC74" s="157"/>
      <c r="AD74" s="157"/>
      <c r="AE74" s="157"/>
      <c r="AF74" s="157"/>
      <c r="AG74" s="157"/>
      <c r="AH74" s="157"/>
      <c r="AI74" s="157"/>
      <c r="AJ74" s="157"/>
      <c r="AK74" s="157"/>
      <c r="AL74" s="157"/>
      <c r="AM74" s="175"/>
      <c r="AN74" s="185" t="s">
        <v>14</v>
      </c>
    </row>
    <row r="75" spans="1:40" ht="15" customHeight="1" x14ac:dyDescent="0.2">
      <c r="A75" s="15"/>
      <c r="B75" s="176"/>
      <c r="C75" s="157"/>
      <c r="D75" s="157"/>
      <c r="E75" s="220" t="s">
        <v>379</v>
      </c>
      <c r="F75" s="222">
        <v>10</v>
      </c>
      <c r="G75" s="223" t="s">
        <v>48</v>
      </c>
      <c r="H75" s="157"/>
      <c r="I75" s="157"/>
      <c r="J75" s="157"/>
      <c r="K75" s="157"/>
      <c r="L75" s="157"/>
      <c r="M75" s="157"/>
      <c r="N75" s="157"/>
      <c r="O75" s="157"/>
      <c r="P75" s="157"/>
      <c r="Q75" s="157"/>
      <c r="R75" s="157"/>
      <c r="S75" s="157"/>
      <c r="T75" s="157"/>
      <c r="U75" s="157"/>
      <c r="V75" s="157"/>
      <c r="W75" s="157"/>
      <c r="X75" s="157"/>
      <c r="Y75" s="157"/>
      <c r="Z75" s="157"/>
      <c r="AA75" s="157"/>
      <c r="AB75" s="157"/>
      <c r="AC75" s="157"/>
      <c r="AD75" s="157"/>
      <c r="AE75" s="157"/>
      <c r="AF75" s="157"/>
      <c r="AG75" s="157"/>
      <c r="AH75" s="157"/>
      <c r="AI75" s="157"/>
      <c r="AJ75" s="157"/>
      <c r="AK75" s="157"/>
      <c r="AL75" s="157"/>
      <c r="AM75" s="175"/>
    </row>
    <row r="76" spans="1:40" ht="15" customHeight="1" x14ac:dyDescent="0.2">
      <c r="A76" s="15"/>
      <c r="B76" s="176"/>
      <c r="C76" s="157"/>
      <c r="D76" s="157"/>
      <c r="E76" s="220" t="s">
        <v>380</v>
      </c>
      <c r="F76" s="89">
        <v>21.5</v>
      </c>
      <c r="G76" s="223" t="s">
        <v>48</v>
      </c>
      <c r="H76" s="157"/>
      <c r="I76" s="157"/>
      <c r="J76" s="157"/>
      <c r="K76" s="157"/>
      <c r="L76" s="157"/>
      <c r="M76" s="157"/>
      <c r="N76" s="157"/>
      <c r="O76" s="157"/>
      <c r="P76" s="157"/>
      <c r="Q76" s="157"/>
      <c r="R76" s="157"/>
      <c r="S76" s="157"/>
      <c r="T76" s="157"/>
      <c r="U76" s="157"/>
      <c r="V76" s="157"/>
      <c r="W76" s="157"/>
      <c r="X76" s="157"/>
      <c r="Y76" s="157"/>
      <c r="Z76" s="157"/>
      <c r="AA76" s="157"/>
      <c r="AB76" s="157"/>
      <c r="AC76" s="157"/>
      <c r="AD76" s="157"/>
      <c r="AE76" s="157"/>
      <c r="AF76" s="157"/>
      <c r="AG76" s="157"/>
      <c r="AH76" s="157"/>
      <c r="AI76" s="157"/>
      <c r="AJ76" s="157"/>
      <c r="AK76" s="157"/>
      <c r="AL76" s="157"/>
      <c r="AM76" s="175"/>
    </row>
    <row r="77" spans="1:40" ht="15" customHeight="1" x14ac:dyDescent="0.2">
      <c r="A77" s="15"/>
      <c r="B77" s="176"/>
      <c r="C77" s="157"/>
      <c r="D77" s="157"/>
      <c r="E77" s="220" t="s">
        <v>381</v>
      </c>
      <c r="F77" s="222">
        <f>Equations!F89</f>
        <v>169.61111111111109</v>
      </c>
      <c r="G77" s="223" t="s">
        <v>48</v>
      </c>
      <c r="H77" s="157"/>
      <c r="I77" s="157"/>
      <c r="J77" s="157"/>
      <c r="K77" s="157"/>
      <c r="L77" s="157"/>
      <c r="M77" s="157"/>
      <c r="N77" s="157"/>
      <c r="O77" s="157"/>
      <c r="P77" s="157"/>
      <c r="Q77" s="157"/>
      <c r="R77" s="157"/>
      <c r="S77" s="157"/>
      <c r="T77" s="157"/>
      <c r="U77" s="157"/>
      <c r="V77" s="157"/>
      <c r="W77" s="157"/>
      <c r="X77" s="157"/>
      <c r="Y77" s="157"/>
      <c r="Z77" s="157"/>
      <c r="AA77" s="157"/>
      <c r="AB77" s="157"/>
      <c r="AC77" s="157"/>
      <c r="AD77" s="157"/>
      <c r="AE77" s="157"/>
      <c r="AF77" s="157"/>
      <c r="AG77" s="157"/>
      <c r="AH77" s="157"/>
      <c r="AI77" s="157"/>
      <c r="AJ77" s="157"/>
      <c r="AK77" s="157"/>
      <c r="AL77" s="157"/>
      <c r="AM77" s="175"/>
    </row>
    <row r="78" spans="1:40" ht="15" customHeight="1" x14ac:dyDescent="0.2">
      <c r="A78" s="15"/>
      <c r="B78" s="176"/>
      <c r="C78" s="157"/>
      <c r="D78" s="157"/>
      <c r="E78" s="220" t="s">
        <v>383</v>
      </c>
      <c r="F78" s="89">
        <v>122</v>
      </c>
      <c r="G78" s="221" t="s">
        <v>48</v>
      </c>
      <c r="H78" s="157"/>
      <c r="I78" s="157"/>
      <c r="J78" s="224"/>
      <c r="K78" s="157"/>
      <c r="L78" s="157"/>
      <c r="M78" s="157"/>
      <c r="N78" s="157"/>
      <c r="O78" s="157"/>
      <c r="P78" s="157"/>
      <c r="Q78" s="157"/>
      <c r="R78" s="157"/>
      <c r="S78" s="157"/>
      <c r="T78" s="157"/>
      <c r="U78" s="157"/>
      <c r="V78" s="157"/>
      <c r="W78" s="157"/>
      <c r="X78" s="157"/>
      <c r="Y78" s="157"/>
      <c r="Z78" s="157"/>
      <c r="AA78" s="157"/>
      <c r="AB78" s="157"/>
      <c r="AC78" s="157"/>
      <c r="AD78" s="157"/>
      <c r="AE78" s="157"/>
      <c r="AF78" s="157"/>
      <c r="AG78" s="157"/>
      <c r="AH78" s="157"/>
      <c r="AI78" s="157"/>
      <c r="AJ78" s="157"/>
      <c r="AK78" s="157"/>
      <c r="AL78" s="157"/>
      <c r="AM78" s="175"/>
    </row>
    <row r="79" spans="1:40" ht="15" customHeight="1" x14ac:dyDescent="0.2">
      <c r="A79" s="15"/>
      <c r="B79" s="176"/>
      <c r="C79" s="157"/>
      <c r="D79" s="157"/>
      <c r="E79" s="157"/>
      <c r="F79" s="157"/>
      <c r="G79" s="225"/>
      <c r="H79" s="157"/>
      <c r="I79" s="157"/>
      <c r="J79" s="157"/>
      <c r="K79" s="157"/>
      <c r="L79" s="157"/>
      <c r="M79" s="157"/>
      <c r="N79" s="157"/>
      <c r="O79" s="157"/>
      <c r="P79" s="157"/>
      <c r="Q79" s="157"/>
      <c r="R79" s="157"/>
      <c r="S79" s="157"/>
      <c r="T79" s="157"/>
      <c r="U79" s="157"/>
      <c r="V79" s="157"/>
      <c r="W79" s="157"/>
      <c r="X79" s="157"/>
      <c r="Y79" s="157"/>
      <c r="Z79" s="157"/>
      <c r="AA79" s="157"/>
      <c r="AB79" s="157"/>
      <c r="AC79" s="157"/>
      <c r="AD79" s="157"/>
      <c r="AE79" s="157"/>
      <c r="AF79" s="157"/>
      <c r="AG79" s="157"/>
      <c r="AH79" s="157"/>
      <c r="AI79" s="157"/>
      <c r="AJ79" s="157"/>
      <c r="AK79" s="157"/>
      <c r="AL79" s="157"/>
      <c r="AM79" s="175"/>
    </row>
    <row r="80" spans="1:40" ht="15" customHeight="1" thickBot="1" x14ac:dyDescent="0.25">
      <c r="A80" s="15"/>
      <c r="B80" s="176"/>
      <c r="C80" s="226" t="s">
        <v>21</v>
      </c>
      <c r="D80" s="227" t="s">
        <v>18</v>
      </c>
      <c r="E80" s="227" t="s">
        <v>19</v>
      </c>
      <c r="F80" s="227" t="s">
        <v>20</v>
      </c>
      <c r="G80" s="225"/>
      <c r="H80" s="206"/>
      <c r="I80" s="206"/>
      <c r="J80" s="157"/>
      <c r="K80" s="157"/>
      <c r="L80" s="157"/>
      <c r="M80" s="157"/>
      <c r="N80" s="157"/>
      <c r="O80" s="157"/>
      <c r="P80" s="157"/>
      <c r="Q80" s="157"/>
      <c r="R80" s="157"/>
      <c r="S80" s="157"/>
      <c r="T80" s="157"/>
      <c r="U80" s="157"/>
      <c r="V80" s="157"/>
      <c r="W80" s="157"/>
      <c r="X80" s="157"/>
      <c r="Y80" s="157"/>
      <c r="Z80" s="157"/>
      <c r="AA80" s="157"/>
      <c r="AB80" s="157"/>
      <c r="AC80" s="157"/>
      <c r="AD80" s="157"/>
      <c r="AE80" s="157"/>
      <c r="AF80" s="157"/>
      <c r="AG80" s="157"/>
      <c r="AH80" s="157"/>
      <c r="AI80" s="157"/>
      <c r="AJ80" s="157"/>
      <c r="AK80" s="157"/>
      <c r="AL80" s="157"/>
      <c r="AM80" s="175"/>
    </row>
    <row r="81" spans="1:39" ht="15" customHeight="1" thickBot="1" x14ac:dyDescent="0.25">
      <c r="A81" s="15"/>
      <c r="B81" s="176"/>
      <c r="C81" s="200" t="s">
        <v>55</v>
      </c>
      <c r="D81" s="228">
        <f>Equations!E94</f>
        <v>8.8102325581395355</v>
      </c>
      <c r="E81" s="228">
        <f>Equations!F94</f>
        <v>9.0104651162790717</v>
      </c>
      <c r="F81" s="228">
        <f>Equations!G94</f>
        <v>9.2106976744186042</v>
      </c>
      <c r="G81" s="221" t="s">
        <v>50</v>
      </c>
      <c r="H81" s="206"/>
      <c r="I81" s="206"/>
      <c r="J81" s="157"/>
      <c r="K81" s="157"/>
      <c r="L81" s="157"/>
      <c r="M81" s="157"/>
      <c r="N81" s="157"/>
      <c r="O81" s="157"/>
      <c r="P81" s="157"/>
      <c r="Q81" s="157"/>
      <c r="R81" s="157"/>
      <c r="S81" s="157"/>
      <c r="T81" s="157"/>
      <c r="U81" s="157"/>
      <c r="V81" s="157"/>
      <c r="W81" s="157"/>
      <c r="X81" s="157"/>
      <c r="Y81" s="157"/>
      <c r="Z81" s="157"/>
      <c r="AA81" s="157"/>
      <c r="AB81" s="157"/>
      <c r="AC81" s="157"/>
      <c r="AD81" s="157"/>
      <c r="AE81" s="157"/>
      <c r="AF81" s="157"/>
      <c r="AG81" s="157"/>
      <c r="AH81" s="157"/>
      <c r="AI81" s="157"/>
      <c r="AJ81" s="157"/>
      <c r="AK81" s="157"/>
      <c r="AL81" s="157"/>
      <c r="AM81" s="175"/>
    </row>
    <row r="82" spans="1:39" ht="15" customHeight="1" x14ac:dyDescent="0.2">
      <c r="A82" s="15"/>
      <c r="B82" s="176"/>
      <c r="C82" s="200" t="s">
        <v>56</v>
      </c>
      <c r="D82" s="228">
        <f>Equations!E95</f>
        <v>8.1427906976744193</v>
      </c>
      <c r="E82" s="228">
        <f>Equations!F95</f>
        <v>8.3430232558139537</v>
      </c>
      <c r="F82" s="228">
        <f>Equations!G95</f>
        <v>8.5432558139534898</v>
      </c>
      <c r="G82" s="221" t="s">
        <v>50</v>
      </c>
      <c r="H82" s="206"/>
      <c r="I82" s="206"/>
      <c r="J82" s="157"/>
      <c r="K82" s="157"/>
      <c r="L82" s="157"/>
      <c r="M82" s="157"/>
      <c r="N82" s="157"/>
      <c r="O82" s="157"/>
      <c r="P82" s="157"/>
      <c r="Q82" s="157"/>
      <c r="R82" s="157"/>
      <c r="S82" s="157"/>
      <c r="T82" s="157"/>
      <c r="U82" s="157"/>
      <c r="V82" s="157"/>
      <c r="W82" s="157"/>
      <c r="X82" s="157"/>
      <c r="Y82" s="157"/>
      <c r="Z82" s="157"/>
      <c r="AA82" s="157"/>
      <c r="AB82" s="157"/>
      <c r="AC82" s="157"/>
      <c r="AD82" s="157"/>
      <c r="AE82" s="157"/>
      <c r="AF82" s="157"/>
      <c r="AG82" s="157"/>
      <c r="AH82" s="157"/>
      <c r="AI82" s="157"/>
      <c r="AJ82" s="157"/>
      <c r="AK82" s="157"/>
      <c r="AL82" s="157"/>
      <c r="AM82" s="175"/>
    </row>
    <row r="83" spans="1:39" ht="15" customHeight="1" thickBot="1" x14ac:dyDescent="0.25">
      <c r="A83" s="15"/>
      <c r="B83" s="176"/>
      <c r="C83" s="206"/>
      <c r="D83" s="206"/>
      <c r="E83" s="206"/>
      <c r="F83" s="206"/>
      <c r="G83" s="206"/>
      <c r="H83" s="229"/>
      <c r="I83" s="206"/>
      <c r="J83" s="157"/>
      <c r="K83" s="157"/>
      <c r="L83" s="157"/>
      <c r="M83" s="157"/>
      <c r="N83" s="157"/>
      <c r="O83" s="157"/>
      <c r="P83" s="157"/>
      <c r="Q83" s="157"/>
      <c r="R83" s="157"/>
      <c r="S83" s="157"/>
      <c r="T83" s="157"/>
      <c r="U83" s="157"/>
      <c r="V83" s="157"/>
      <c r="W83" s="157"/>
      <c r="X83" s="157"/>
      <c r="Y83" s="157"/>
      <c r="Z83" s="157"/>
      <c r="AA83" s="157"/>
      <c r="AB83" s="157"/>
      <c r="AC83" s="157"/>
      <c r="AD83" s="157"/>
      <c r="AE83" s="157"/>
      <c r="AF83" s="157"/>
      <c r="AG83" s="157"/>
      <c r="AH83" s="157"/>
      <c r="AI83" s="157"/>
      <c r="AJ83" s="157"/>
      <c r="AK83" s="157"/>
      <c r="AL83" s="157"/>
      <c r="AM83" s="175"/>
    </row>
    <row r="84" spans="1:39" ht="18.75" customHeight="1" x14ac:dyDescent="0.25">
      <c r="A84" s="15"/>
      <c r="B84" s="167" t="s">
        <v>163</v>
      </c>
      <c r="C84" s="168"/>
      <c r="D84" s="168"/>
      <c r="E84" s="230" t="s">
        <v>64</v>
      </c>
      <c r="F84" s="231">
        <f>Rs</f>
        <v>2</v>
      </c>
      <c r="G84" s="232" t="s">
        <v>49</v>
      </c>
      <c r="H84" s="168"/>
      <c r="I84" s="168"/>
      <c r="J84" s="168"/>
      <c r="K84" s="168"/>
      <c r="L84" s="168"/>
      <c r="M84" s="168"/>
      <c r="N84" s="168"/>
      <c r="O84" s="168"/>
      <c r="P84" s="168"/>
      <c r="Q84" s="168"/>
      <c r="R84" s="168"/>
      <c r="S84" s="168"/>
      <c r="T84" s="168"/>
      <c r="U84" s="168"/>
      <c r="V84" s="168"/>
      <c r="W84" s="168"/>
      <c r="X84" s="168"/>
      <c r="Y84" s="168"/>
      <c r="Z84" s="168"/>
      <c r="AA84" s="168"/>
      <c r="AB84" s="168"/>
      <c r="AC84" s="168"/>
      <c r="AD84" s="168"/>
      <c r="AE84" s="168"/>
      <c r="AF84" s="168"/>
      <c r="AG84" s="168"/>
      <c r="AH84" s="168"/>
      <c r="AI84" s="168"/>
      <c r="AJ84" s="168"/>
      <c r="AK84" s="168"/>
      <c r="AL84" s="168"/>
      <c r="AM84" s="171"/>
    </row>
    <row r="85" spans="1:39" ht="15" customHeight="1" x14ac:dyDescent="0.25">
      <c r="A85" s="15"/>
      <c r="B85" s="172"/>
      <c r="C85" s="157"/>
      <c r="D85" s="157"/>
      <c r="E85" s="233" t="s">
        <v>161</v>
      </c>
      <c r="F85" s="234" t="str">
        <f>IF(F21="No","DNP",RDIV1)</f>
        <v>DNP</v>
      </c>
      <c r="G85" s="235" t="s">
        <v>51</v>
      </c>
      <c r="H85" s="157"/>
      <c r="I85" s="157"/>
      <c r="J85" s="206"/>
      <c r="K85" s="206"/>
      <c r="L85" s="206"/>
      <c r="M85" s="206"/>
      <c r="N85" s="206"/>
      <c r="O85" s="206"/>
      <c r="P85" s="206"/>
      <c r="Q85" s="206"/>
      <c r="R85" s="206"/>
      <c r="S85" s="206"/>
      <c r="T85" s="206"/>
      <c r="U85" s="206"/>
      <c r="V85" s="206"/>
      <c r="W85" s="206"/>
      <c r="X85" s="206"/>
      <c r="Y85" s="206"/>
      <c r="Z85" s="206"/>
      <c r="AA85" s="206"/>
      <c r="AB85" s="206"/>
      <c r="AC85" s="206"/>
      <c r="AD85" s="206"/>
      <c r="AE85" s="206"/>
      <c r="AF85" s="206"/>
      <c r="AG85" s="206"/>
      <c r="AH85" s="206"/>
      <c r="AI85" s="206"/>
      <c r="AJ85" s="206"/>
      <c r="AK85" s="206"/>
      <c r="AL85" s="206"/>
      <c r="AM85" s="236"/>
    </row>
    <row r="86" spans="1:39" ht="14.25" customHeight="1" thickBot="1" x14ac:dyDescent="0.3">
      <c r="A86" s="15"/>
      <c r="B86" s="172"/>
      <c r="C86" s="157"/>
      <c r="D86" s="157"/>
      <c r="E86" s="233" t="s">
        <v>162</v>
      </c>
      <c r="F86" s="234" t="str">
        <f>IF(F21="No","short",RDIV2)</f>
        <v>short</v>
      </c>
      <c r="G86" s="235" t="s">
        <v>51</v>
      </c>
      <c r="H86" s="157"/>
      <c r="I86" s="157"/>
      <c r="J86" s="206"/>
      <c r="K86" s="206"/>
      <c r="L86" s="206"/>
      <c r="M86" s="206"/>
      <c r="N86" s="206"/>
      <c r="O86" s="206"/>
      <c r="P86" s="206"/>
      <c r="Q86" s="206"/>
      <c r="R86" s="206"/>
      <c r="S86" s="206"/>
      <c r="T86" s="206"/>
      <c r="U86" s="206"/>
      <c r="V86" s="206"/>
      <c r="W86" s="206"/>
      <c r="X86" s="206"/>
      <c r="Y86" s="206"/>
      <c r="Z86" s="206"/>
      <c r="AA86" s="206"/>
      <c r="AB86" s="206"/>
      <c r="AC86" s="206"/>
      <c r="AD86" s="206"/>
      <c r="AE86" s="206"/>
      <c r="AF86" s="206"/>
      <c r="AG86" s="206"/>
      <c r="AH86" s="206"/>
      <c r="AI86" s="206"/>
      <c r="AJ86" s="206"/>
      <c r="AK86" s="206"/>
      <c r="AL86" s="206"/>
      <c r="AM86" s="236"/>
    </row>
    <row r="87" spans="1:39" ht="15" customHeight="1" x14ac:dyDescent="0.2">
      <c r="A87" s="15"/>
      <c r="B87" s="176"/>
      <c r="C87" s="157"/>
      <c r="D87" s="157"/>
      <c r="E87" s="237" t="s">
        <v>8</v>
      </c>
      <c r="F87" s="238">
        <f>F78</f>
        <v>122</v>
      </c>
      <c r="G87" s="239" t="s">
        <v>48</v>
      </c>
      <c r="H87" s="157"/>
      <c r="I87" s="240"/>
      <c r="J87" s="241"/>
      <c r="K87" s="242" t="s">
        <v>19</v>
      </c>
      <c r="L87" s="243" t="s">
        <v>110</v>
      </c>
      <c r="M87" s="227"/>
      <c r="N87" s="244"/>
      <c r="O87" s="244"/>
      <c r="P87" s="244"/>
      <c r="Q87" s="244"/>
      <c r="R87" s="244"/>
      <c r="S87" s="244"/>
      <c r="T87" s="244"/>
      <c r="U87" s="244"/>
      <c r="V87" s="244"/>
      <c r="W87" s="244"/>
      <c r="X87" s="244"/>
      <c r="Y87" s="244"/>
      <c r="Z87" s="244"/>
      <c r="AA87" s="244"/>
      <c r="AB87" s="244"/>
      <c r="AC87" s="244"/>
      <c r="AD87" s="244"/>
      <c r="AE87" s="244"/>
      <c r="AF87" s="244"/>
      <c r="AG87" s="244"/>
      <c r="AH87" s="244"/>
      <c r="AI87" s="244"/>
      <c r="AJ87" s="244"/>
      <c r="AK87" s="244"/>
      <c r="AL87" s="244"/>
      <c r="AM87" s="175"/>
    </row>
    <row r="88" spans="1:39" ht="15" customHeight="1" x14ac:dyDescent="0.2">
      <c r="A88" s="15"/>
      <c r="B88" s="176"/>
      <c r="C88" s="157"/>
      <c r="D88" s="157"/>
      <c r="E88" s="237" t="s">
        <v>9</v>
      </c>
      <c r="F88" s="238">
        <f>F76</f>
        <v>21.5</v>
      </c>
      <c r="G88" s="239" t="s">
        <v>48</v>
      </c>
      <c r="H88" s="157"/>
      <c r="I88" s="245"/>
      <c r="J88" s="246" t="s">
        <v>164</v>
      </c>
      <c r="K88" s="247">
        <f>F29</f>
        <v>25</v>
      </c>
      <c r="L88" s="248" t="s">
        <v>17</v>
      </c>
      <c r="M88" s="249"/>
      <c r="N88" s="157"/>
      <c r="O88" s="157"/>
      <c r="P88" s="157"/>
      <c r="Q88" s="157"/>
      <c r="R88" s="157"/>
      <c r="S88" s="157"/>
      <c r="T88" s="157"/>
      <c r="U88" s="157"/>
      <c r="V88" s="157"/>
      <c r="W88" s="157"/>
      <c r="X88" s="157"/>
      <c r="Y88" s="157"/>
      <c r="Z88" s="157"/>
      <c r="AA88" s="157"/>
      <c r="AB88" s="157"/>
      <c r="AC88" s="157"/>
      <c r="AD88" s="157"/>
      <c r="AE88" s="157"/>
      <c r="AF88" s="157"/>
      <c r="AG88" s="157"/>
      <c r="AH88" s="157"/>
      <c r="AI88" s="157"/>
      <c r="AJ88" s="157"/>
      <c r="AK88" s="157"/>
      <c r="AL88" s="157"/>
      <c r="AM88" s="175"/>
    </row>
    <row r="89" spans="1:39" ht="15" customHeight="1" x14ac:dyDescent="0.2">
      <c r="A89" s="15"/>
      <c r="B89" s="176"/>
      <c r="C89" s="157"/>
      <c r="D89" s="157"/>
      <c r="E89" s="237" t="s">
        <v>10</v>
      </c>
      <c r="F89" s="191">
        <f>F46</f>
        <v>30</v>
      </c>
      <c r="G89" s="239" t="s">
        <v>48</v>
      </c>
      <c r="H89" s="157"/>
      <c r="I89" s="245"/>
      <c r="J89" s="246" t="s">
        <v>118</v>
      </c>
      <c r="K89" s="250">
        <f>F49</f>
        <v>250</v>
      </c>
      <c r="L89" s="248" t="s">
        <v>51</v>
      </c>
      <c r="M89" s="251"/>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7"/>
      <c r="AK89" s="157"/>
      <c r="AL89" s="157"/>
      <c r="AM89" s="175"/>
    </row>
    <row r="90" spans="1:39" ht="15" customHeight="1" x14ac:dyDescent="0.2">
      <c r="A90" s="15"/>
      <c r="B90" s="176"/>
      <c r="C90" s="157"/>
      <c r="D90" s="157"/>
      <c r="E90" s="237" t="s">
        <v>11</v>
      </c>
      <c r="F90" s="252">
        <f>RPWR</f>
        <v>10</v>
      </c>
      <c r="G90" s="239" t="s">
        <v>48</v>
      </c>
      <c r="H90" s="157"/>
      <c r="I90" s="245"/>
      <c r="J90" s="246" t="s">
        <v>165</v>
      </c>
      <c r="K90" s="253">
        <f>IF(F53="YES", F72,F59)</f>
        <v>0.48</v>
      </c>
      <c r="L90" s="248" t="s">
        <v>5</v>
      </c>
      <c r="M90" s="249"/>
      <c r="N90" s="157"/>
      <c r="O90" s="157"/>
      <c r="P90" s="157"/>
      <c r="Q90" s="157"/>
      <c r="R90" s="157"/>
      <c r="S90" s="157"/>
      <c r="T90" s="157"/>
      <c r="U90" s="157"/>
      <c r="V90" s="157"/>
      <c r="W90" s="157"/>
      <c r="X90" s="157"/>
      <c r="Y90" s="157"/>
      <c r="Z90" s="157"/>
      <c r="AA90" s="157"/>
      <c r="AB90" s="157"/>
      <c r="AC90" s="157"/>
      <c r="AD90" s="157"/>
      <c r="AE90" s="157"/>
      <c r="AF90" s="157"/>
      <c r="AG90" s="157"/>
      <c r="AH90" s="157"/>
      <c r="AI90" s="157"/>
      <c r="AJ90" s="157"/>
      <c r="AK90" s="157"/>
      <c r="AL90" s="157"/>
      <c r="AM90" s="175"/>
    </row>
    <row r="91" spans="1:39" ht="15" customHeight="1" x14ac:dyDescent="0.2">
      <c r="A91" s="15"/>
      <c r="B91" s="176"/>
      <c r="C91" s="157"/>
      <c r="D91" s="157"/>
      <c r="E91" s="237" t="s">
        <v>12</v>
      </c>
      <c r="F91" s="204">
        <f>IF(F53="YES", F71, F58)</f>
        <v>3</v>
      </c>
      <c r="G91" s="254" t="s">
        <v>69</v>
      </c>
      <c r="H91" s="157"/>
      <c r="I91" s="245"/>
      <c r="J91" s="255" t="s">
        <v>166</v>
      </c>
      <c r="K91" s="247">
        <f>E81</f>
        <v>9.0104651162790717</v>
      </c>
      <c r="L91" s="248" t="s">
        <v>50</v>
      </c>
      <c r="M91" s="256"/>
      <c r="N91" s="157"/>
      <c r="O91" s="157"/>
      <c r="P91" s="157"/>
      <c r="Q91" s="157"/>
      <c r="R91" s="157"/>
      <c r="S91" s="157"/>
      <c r="T91" s="157"/>
      <c r="U91" s="157"/>
      <c r="V91" s="157"/>
      <c r="W91" s="157"/>
      <c r="X91" s="157"/>
      <c r="Y91" s="157"/>
      <c r="Z91" s="157"/>
      <c r="AA91" s="157"/>
      <c r="AB91" s="157"/>
      <c r="AC91" s="157"/>
      <c r="AD91" s="157"/>
      <c r="AE91" s="157"/>
      <c r="AF91" s="157"/>
      <c r="AG91" s="157"/>
      <c r="AH91" s="157"/>
      <c r="AI91" s="157"/>
      <c r="AJ91" s="157"/>
      <c r="AK91" s="157"/>
      <c r="AL91" s="157"/>
      <c r="AM91" s="175"/>
    </row>
    <row r="92" spans="1:39" ht="15" customHeight="1" x14ac:dyDescent="0.2">
      <c r="A92" s="15"/>
      <c r="B92" s="176"/>
      <c r="C92" s="157"/>
      <c r="D92" s="157"/>
      <c r="E92" s="237" t="s">
        <v>360</v>
      </c>
      <c r="F92" s="257">
        <v>0.1</v>
      </c>
      <c r="G92" s="239" t="s">
        <v>47</v>
      </c>
      <c r="H92" s="157"/>
      <c r="I92" s="245"/>
      <c r="J92" s="255" t="s">
        <v>167</v>
      </c>
      <c r="K92" s="247">
        <f>E82</f>
        <v>8.3430232558139537</v>
      </c>
      <c r="L92" s="248" t="s">
        <v>50</v>
      </c>
      <c r="M92" s="249"/>
      <c r="N92" s="157"/>
      <c r="O92" s="157"/>
      <c r="P92" s="157"/>
      <c r="Q92" s="157"/>
      <c r="R92" s="157"/>
      <c r="S92" s="157"/>
      <c r="T92" s="157"/>
      <c r="U92" s="157"/>
      <c r="V92" s="157"/>
      <c r="W92" s="157"/>
      <c r="X92" s="157"/>
      <c r="Y92" s="157"/>
      <c r="Z92" s="157"/>
      <c r="AA92" s="157"/>
      <c r="AB92" s="157"/>
      <c r="AC92" s="157"/>
      <c r="AD92" s="157"/>
      <c r="AE92" s="157"/>
      <c r="AF92" s="157"/>
      <c r="AG92" s="157"/>
      <c r="AH92" s="157"/>
      <c r="AI92" s="157"/>
      <c r="AJ92" s="157"/>
      <c r="AK92" s="157"/>
      <c r="AL92" s="157"/>
      <c r="AM92" s="175"/>
    </row>
    <row r="93" spans="1:39" ht="15" customHeight="1" x14ac:dyDescent="0.2">
      <c r="A93" s="15"/>
      <c r="B93" s="176"/>
      <c r="C93" s="157"/>
      <c r="D93" s="157"/>
      <c r="E93" s="258" t="s">
        <v>356</v>
      </c>
      <c r="F93" s="259" t="str">
        <f>F32</f>
        <v>FDB031N08</v>
      </c>
      <c r="G93" s="254"/>
      <c r="H93" s="157"/>
      <c r="M93" s="260"/>
      <c r="N93" s="157"/>
      <c r="O93" s="157"/>
      <c r="P93" s="157"/>
      <c r="Q93" s="157"/>
      <c r="R93" s="157"/>
      <c r="S93" s="157"/>
      <c r="T93" s="157"/>
      <c r="U93" s="157"/>
      <c r="V93" s="157"/>
      <c r="W93" s="157"/>
      <c r="X93" s="157"/>
      <c r="Y93" s="157"/>
      <c r="Z93" s="157"/>
      <c r="AA93" s="157"/>
      <c r="AB93" s="157"/>
      <c r="AC93" s="157"/>
      <c r="AD93" s="157"/>
      <c r="AE93" s="157"/>
      <c r="AF93" s="157"/>
      <c r="AG93" s="157"/>
      <c r="AH93" s="157"/>
      <c r="AI93" s="157"/>
      <c r="AJ93" s="157"/>
      <c r="AK93" s="157"/>
      <c r="AL93" s="157"/>
      <c r="AM93" s="175"/>
    </row>
    <row r="94" spans="1:39" ht="15" customHeight="1" x14ac:dyDescent="0.2">
      <c r="A94" s="15"/>
      <c r="B94" s="176"/>
      <c r="C94" s="157"/>
      <c r="D94" s="157"/>
      <c r="E94" s="233" t="s">
        <v>361</v>
      </c>
      <c r="F94" s="261">
        <f>IF(F53="YES", 1, "DNP" )</f>
        <v>1</v>
      </c>
      <c r="G94" s="239" t="s">
        <v>48</v>
      </c>
      <c r="H94" s="157"/>
      <c r="I94" s="157"/>
      <c r="J94" s="157"/>
      <c r="K94" s="157"/>
      <c r="L94" s="157"/>
      <c r="M94" s="260"/>
      <c r="N94" s="157"/>
      <c r="O94" s="157"/>
      <c r="P94" s="157"/>
      <c r="Q94" s="157"/>
      <c r="R94" s="157"/>
      <c r="S94" s="157"/>
      <c r="T94" s="157"/>
      <c r="U94" s="157"/>
      <c r="V94" s="157"/>
      <c r="W94" s="157"/>
      <c r="X94" s="157"/>
      <c r="Y94" s="157"/>
      <c r="Z94" s="157"/>
      <c r="AA94" s="157"/>
      <c r="AB94" s="157"/>
      <c r="AC94" s="157"/>
      <c r="AD94" s="157"/>
      <c r="AE94" s="157"/>
      <c r="AF94" s="157"/>
      <c r="AG94" s="157"/>
      <c r="AH94" s="157"/>
      <c r="AI94" s="157"/>
      <c r="AJ94" s="157"/>
      <c r="AK94" s="157"/>
      <c r="AL94" s="157"/>
      <c r="AM94" s="175"/>
    </row>
    <row r="95" spans="1:39" ht="15" customHeight="1" x14ac:dyDescent="0.2">
      <c r="A95" s="15"/>
      <c r="B95" s="176"/>
      <c r="C95" s="157"/>
      <c r="D95" s="157"/>
      <c r="E95" s="233" t="s">
        <v>362</v>
      </c>
      <c r="F95" s="262">
        <f>IF(F53="YES", F66, "DNP" )</f>
        <v>25</v>
      </c>
      <c r="G95" s="254" t="s">
        <v>69</v>
      </c>
      <c r="H95" s="157"/>
      <c r="I95" s="157"/>
      <c r="J95" s="157"/>
      <c r="K95" s="157"/>
      <c r="L95" s="157"/>
      <c r="M95" s="260"/>
      <c r="N95" s="157"/>
      <c r="O95" s="157"/>
      <c r="P95" s="157"/>
      <c r="Q95" s="157"/>
      <c r="R95" s="157"/>
      <c r="S95" s="157"/>
      <c r="T95" s="157"/>
      <c r="U95" s="157"/>
      <c r="V95" s="157"/>
      <c r="W95" s="157"/>
      <c r="X95" s="157"/>
      <c r="Y95" s="157"/>
      <c r="Z95" s="157"/>
      <c r="AA95" s="157"/>
      <c r="AB95" s="157"/>
      <c r="AC95" s="157"/>
      <c r="AD95" s="157"/>
      <c r="AE95" s="157"/>
      <c r="AF95" s="157"/>
      <c r="AG95" s="157"/>
      <c r="AH95" s="157"/>
      <c r="AI95" s="157"/>
      <c r="AJ95" s="157"/>
      <c r="AK95" s="157"/>
      <c r="AL95" s="157"/>
      <c r="AM95" s="175"/>
    </row>
    <row r="96" spans="1:39" ht="15" customHeight="1" x14ac:dyDescent="0.2">
      <c r="A96" s="15"/>
      <c r="B96" s="176"/>
      <c r="C96" s="157"/>
      <c r="D96" s="157"/>
      <c r="H96" s="157"/>
      <c r="I96" s="157"/>
      <c r="J96" s="157"/>
      <c r="K96" s="157"/>
      <c r="L96" s="157"/>
      <c r="M96" s="260"/>
      <c r="N96" s="157"/>
      <c r="O96" s="157"/>
      <c r="P96" s="157"/>
      <c r="Q96" s="157"/>
      <c r="R96" s="157"/>
      <c r="S96" s="157"/>
      <c r="T96" s="157"/>
      <c r="U96" s="157"/>
      <c r="V96" s="157"/>
      <c r="W96" s="157"/>
      <c r="X96" s="157"/>
      <c r="Y96" s="157"/>
      <c r="Z96" s="157"/>
      <c r="AA96" s="157"/>
      <c r="AB96" s="157"/>
      <c r="AC96" s="157"/>
      <c r="AD96" s="157"/>
      <c r="AE96" s="157"/>
      <c r="AF96" s="157"/>
      <c r="AG96" s="157"/>
      <c r="AH96" s="157"/>
      <c r="AI96" s="157"/>
      <c r="AJ96" s="157"/>
      <c r="AK96" s="157"/>
      <c r="AL96" s="157"/>
      <c r="AM96" s="175"/>
    </row>
    <row r="97" spans="1:40" ht="15" customHeight="1" x14ac:dyDescent="0.2">
      <c r="A97" s="15"/>
      <c r="B97" s="176"/>
      <c r="C97" s="157"/>
      <c r="D97" s="157"/>
      <c r="E97" s="173"/>
      <c r="F97" s="264"/>
      <c r="G97" s="254"/>
      <c r="H97" s="157"/>
      <c r="I97" s="157"/>
      <c r="J97" s="157"/>
      <c r="K97" s="157"/>
      <c r="L97" s="157"/>
      <c r="M97" s="260"/>
      <c r="N97" s="157"/>
      <c r="O97" s="157"/>
      <c r="P97" s="157"/>
      <c r="Q97" s="157"/>
      <c r="R97" s="157"/>
      <c r="S97" s="157"/>
      <c r="T97" s="157"/>
      <c r="U97" s="157"/>
      <c r="V97" s="157"/>
      <c r="W97" s="157"/>
      <c r="X97" s="157"/>
      <c r="Y97" s="157"/>
      <c r="Z97" s="157"/>
      <c r="AA97" s="157"/>
      <c r="AB97" s="157"/>
      <c r="AC97" s="157"/>
      <c r="AD97" s="157"/>
      <c r="AE97" s="157"/>
      <c r="AF97" s="157"/>
      <c r="AG97" s="157"/>
      <c r="AH97" s="157"/>
      <c r="AI97" s="157"/>
      <c r="AJ97" s="157"/>
      <c r="AK97" s="157"/>
      <c r="AL97" s="157"/>
      <c r="AM97" s="175"/>
    </row>
    <row r="98" spans="1:40" ht="15" customHeight="1" x14ac:dyDescent="0.2">
      <c r="A98" s="15"/>
      <c r="B98" s="176"/>
      <c r="C98" s="157"/>
      <c r="D98" s="157"/>
      <c r="E98" s="173"/>
      <c r="F98" s="264"/>
      <c r="G98" s="254"/>
      <c r="H98" s="157"/>
      <c r="I98" s="157"/>
      <c r="J98" s="157"/>
      <c r="K98" s="157"/>
      <c r="L98" s="157"/>
      <c r="M98" s="260"/>
      <c r="N98" s="157"/>
      <c r="O98" s="157"/>
      <c r="P98" s="157"/>
      <c r="Q98" s="157"/>
      <c r="R98" s="157"/>
      <c r="S98" s="157"/>
      <c r="T98" s="157"/>
      <c r="U98" s="157"/>
      <c r="V98" s="157"/>
      <c r="W98" s="157"/>
      <c r="X98" s="157"/>
      <c r="Y98" s="157"/>
      <c r="Z98" s="157"/>
      <c r="AA98" s="157"/>
      <c r="AB98" s="157"/>
      <c r="AC98" s="157"/>
      <c r="AD98" s="157"/>
      <c r="AE98" s="157"/>
      <c r="AF98" s="157"/>
      <c r="AG98" s="157"/>
      <c r="AH98" s="157"/>
      <c r="AI98" s="157"/>
      <c r="AJ98" s="157"/>
      <c r="AK98" s="157"/>
      <c r="AL98" s="157"/>
      <c r="AM98" s="175"/>
    </row>
    <row r="99" spans="1:40" ht="15" customHeight="1" x14ac:dyDescent="0.2">
      <c r="A99" s="15"/>
      <c r="B99" s="176"/>
      <c r="C99" s="157"/>
      <c r="D99" s="157"/>
      <c r="E99" s="173"/>
      <c r="F99" s="264"/>
      <c r="G99" s="254"/>
      <c r="H99" s="157"/>
      <c r="I99" s="157"/>
      <c r="J99" s="157"/>
      <c r="K99" s="157"/>
      <c r="L99" s="157"/>
      <c r="M99" s="265"/>
      <c r="N99" s="157"/>
      <c r="O99" s="157"/>
      <c r="P99" s="157"/>
      <c r="Q99" s="157"/>
      <c r="R99" s="157"/>
      <c r="S99" s="157"/>
      <c r="T99" s="157"/>
      <c r="U99" s="157"/>
      <c r="V99" s="157"/>
      <c r="W99" s="157"/>
      <c r="X99" s="157"/>
      <c r="Y99" s="157"/>
      <c r="Z99" s="157"/>
      <c r="AA99" s="157"/>
      <c r="AB99" s="157"/>
      <c r="AC99" s="157"/>
      <c r="AD99" s="157"/>
      <c r="AE99" s="157"/>
      <c r="AF99" s="157"/>
      <c r="AG99" s="157"/>
      <c r="AH99" s="157"/>
      <c r="AI99" s="157"/>
      <c r="AJ99" s="157"/>
      <c r="AK99" s="157"/>
      <c r="AL99" s="157"/>
      <c r="AM99" s="175"/>
    </row>
    <row r="100" spans="1:40" ht="15" customHeight="1" x14ac:dyDescent="0.2">
      <c r="A100" s="15"/>
      <c r="B100" s="176"/>
      <c r="C100" s="157"/>
      <c r="D100" s="157"/>
      <c r="E100" s="173"/>
      <c r="F100" s="264"/>
      <c r="G100" s="254"/>
      <c r="H100" s="157"/>
      <c r="I100" s="157"/>
      <c r="J100" s="157"/>
      <c r="K100" s="157"/>
      <c r="L100" s="157"/>
      <c r="M100" s="157"/>
      <c r="N100" s="157"/>
      <c r="O100" s="157"/>
      <c r="P100" s="157"/>
      <c r="Q100" s="157"/>
      <c r="R100" s="157"/>
      <c r="S100" s="157"/>
      <c r="T100" s="157"/>
      <c r="U100" s="157"/>
      <c r="V100" s="157"/>
      <c r="W100" s="157"/>
      <c r="X100" s="157"/>
      <c r="Y100" s="157"/>
      <c r="Z100" s="157"/>
      <c r="AA100" s="157"/>
      <c r="AB100" s="157"/>
      <c r="AC100" s="157"/>
      <c r="AD100" s="157"/>
      <c r="AE100" s="157"/>
      <c r="AF100" s="157"/>
      <c r="AG100" s="157"/>
      <c r="AH100" s="157"/>
      <c r="AI100" s="157"/>
      <c r="AJ100" s="157"/>
      <c r="AK100" s="157"/>
      <c r="AL100" s="157"/>
      <c r="AM100" s="175"/>
      <c r="AN100" s="185"/>
    </row>
    <row r="101" spans="1:40" ht="15.75" x14ac:dyDescent="0.3">
      <c r="A101" s="15"/>
      <c r="B101" s="266" t="s">
        <v>13</v>
      </c>
      <c r="C101" s="267" t="s">
        <v>54</v>
      </c>
      <c r="D101" s="268"/>
      <c r="E101" s="267"/>
      <c r="F101" s="269"/>
      <c r="G101" s="254"/>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K101" s="157"/>
      <c r="AL101" s="157"/>
      <c r="AM101" s="175"/>
      <c r="AN101" s="185"/>
    </row>
    <row r="102" spans="1:40" x14ac:dyDescent="0.2">
      <c r="A102" s="15"/>
      <c r="B102" s="176"/>
      <c r="C102" s="267" t="s">
        <v>63</v>
      </c>
      <c r="D102" s="157"/>
      <c r="E102" s="267"/>
      <c r="F102" s="157"/>
      <c r="G102" s="254"/>
      <c r="H102" s="157"/>
      <c r="I102" s="157"/>
      <c r="J102" s="157"/>
      <c r="K102" s="157"/>
      <c r="L102" s="157"/>
      <c r="M102" s="157"/>
      <c r="N102" s="157"/>
      <c r="O102" s="157"/>
      <c r="P102" s="157"/>
      <c r="Q102" s="157"/>
      <c r="R102" s="157"/>
      <c r="S102" s="157"/>
      <c r="T102" s="157"/>
      <c r="U102" s="157"/>
      <c r="V102" s="157"/>
      <c r="W102" s="157"/>
      <c r="X102" s="157"/>
      <c r="Y102" s="157"/>
      <c r="Z102" s="157"/>
      <c r="AA102" s="157"/>
      <c r="AB102" s="157"/>
      <c r="AC102" s="157"/>
      <c r="AD102" s="157"/>
      <c r="AE102" s="157"/>
      <c r="AF102" s="157"/>
      <c r="AG102" s="157"/>
      <c r="AH102" s="157"/>
      <c r="AI102" s="157"/>
      <c r="AJ102" s="157"/>
      <c r="AK102" s="157"/>
      <c r="AL102" s="157"/>
      <c r="AM102" s="175"/>
    </row>
    <row r="103" spans="1:40" x14ac:dyDescent="0.2">
      <c r="A103" s="15"/>
      <c r="B103" s="176"/>
      <c r="C103" s="267" t="s">
        <v>173</v>
      </c>
      <c r="D103" s="157"/>
      <c r="E103" s="267"/>
      <c r="F103" s="157"/>
      <c r="G103" s="254"/>
      <c r="H103" s="157"/>
      <c r="I103" s="157"/>
      <c r="J103" s="157"/>
      <c r="K103" s="157"/>
      <c r="L103" s="157"/>
      <c r="M103" s="157"/>
      <c r="N103" s="157"/>
      <c r="O103" s="157"/>
      <c r="P103" s="157"/>
      <c r="Q103" s="157"/>
      <c r="R103" s="157"/>
      <c r="S103" s="157"/>
      <c r="T103" s="157"/>
      <c r="U103" s="157"/>
      <c r="V103" s="157"/>
      <c r="W103" s="157"/>
      <c r="X103" s="157"/>
      <c r="Y103" s="157"/>
      <c r="Z103" s="157"/>
      <c r="AA103" s="157"/>
      <c r="AB103" s="157"/>
      <c r="AC103" s="157"/>
      <c r="AD103" s="157"/>
      <c r="AE103" s="157"/>
      <c r="AF103" s="157"/>
      <c r="AG103" s="157"/>
      <c r="AH103" s="157"/>
      <c r="AI103" s="157"/>
      <c r="AJ103" s="157"/>
      <c r="AK103" s="157"/>
      <c r="AL103" s="157"/>
      <c r="AM103" s="175"/>
    </row>
    <row r="104" spans="1:40" ht="13.5" thickBot="1" x14ac:dyDescent="0.25">
      <c r="A104" s="15"/>
      <c r="B104" s="178"/>
      <c r="C104" s="179"/>
      <c r="D104" s="179"/>
      <c r="E104" s="270"/>
      <c r="F104" s="179"/>
      <c r="G104" s="271"/>
      <c r="H104" s="179"/>
      <c r="I104" s="179"/>
      <c r="J104" s="179"/>
      <c r="K104" s="179"/>
      <c r="L104" s="179"/>
      <c r="M104" s="179"/>
      <c r="N104" s="179"/>
      <c r="O104" s="179"/>
      <c r="P104" s="179"/>
      <c r="Q104" s="179"/>
      <c r="R104" s="179"/>
      <c r="S104" s="179"/>
      <c r="T104" s="179"/>
      <c r="U104" s="179"/>
      <c r="V104" s="179"/>
      <c r="W104" s="179"/>
      <c r="X104" s="179"/>
      <c r="Y104" s="179"/>
      <c r="Z104" s="179"/>
      <c r="AA104" s="179"/>
      <c r="AB104" s="179"/>
      <c r="AC104" s="179"/>
      <c r="AD104" s="179"/>
      <c r="AE104" s="179"/>
      <c r="AF104" s="179"/>
      <c r="AG104" s="179"/>
      <c r="AH104" s="179"/>
      <c r="AI104" s="179"/>
      <c r="AJ104" s="179"/>
      <c r="AK104" s="179"/>
      <c r="AL104" s="179"/>
      <c r="AM104" s="182"/>
    </row>
    <row r="105" spans="1:40" x14ac:dyDescent="0.2">
      <c r="A105" s="15"/>
      <c r="B105" s="15"/>
      <c r="C105" s="15"/>
      <c r="D105" s="15"/>
      <c r="E105" s="15"/>
      <c r="F105" s="15"/>
      <c r="G105" s="158"/>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row>
    <row r="106" spans="1:40" ht="15" x14ac:dyDescent="0.25">
      <c r="A106" s="15"/>
      <c r="B106" s="272"/>
      <c r="C106" s="15"/>
      <c r="D106" s="15"/>
      <c r="E106" s="15"/>
      <c r="F106" s="273"/>
      <c r="G106" s="265"/>
      <c r="H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row>
    <row r="107" spans="1:40" x14ac:dyDescent="0.2">
      <c r="A107" s="15"/>
      <c r="B107" s="15"/>
      <c r="C107" s="15"/>
      <c r="D107" s="15"/>
      <c r="E107" s="15"/>
      <c r="F107" s="273"/>
      <c r="G107" s="26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row>
    <row r="108" spans="1:40" x14ac:dyDescent="0.2">
      <c r="A108" s="15"/>
      <c r="B108" s="15"/>
      <c r="C108" s="15"/>
      <c r="D108" s="15"/>
      <c r="E108" s="15"/>
      <c r="F108" s="273"/>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row>
    <row r="109" spans="1:40" x14ac:dyDescent="0.2">
      <c r="A109" s="15"/>
      <c r="B109" s="15"/>
      <c r="C109" s="15"/>
      <c r="D109" s="15"/>
      <c r="E109" s="15"/>
      <c r="F109" s="273"/>
      <c r="G109" s="274"/>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row>
    <row r="110" spans="1:40" x14ac:dyDescent="0.2">
      <c r="A110" s="15"/>
      <c r="B110" s="15"/>
      <c r="C110" s="15"/>
      <c r="D110" s="15"/>
      <c r="E110" s="15"/>
      <c r="F110" s="273"/>
      <c r="G110" s="274"/>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row>
    <row r="111" spans="1:40" x14ac:dyDescent="0.2">
      <c r="A111" s="15"/>
      <c r="B111" s="15"/>
      <c r="C111" s="15"/>
      <c r="D111" s="15"/>
      <c r="E111" s="15"/>
      <c r="F111" s="273"/>
      <c r="G111" s="274"/>
      <c r="H111" s="273"/>
      <c r="I111" s="273"/>
      <c r="J111" s="273"/>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row>
    <row r="112" spans="1:40" x14ac:dyDescent="0.2">
      <c r="A112" s="15"/>
      <c r="B112" s="15"/>
      <c r="C112" s="15"/>
      <c r="D112" s="15"/>
      <c r="E112" s="15"/>
      <c r="F112" s="273"/>
      <c r="G112" s="274"/>
      <c r="H112" s="273"/>
      <c r="I112" s="273"/>
      <c r="J112" s="273"/>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row>
    <row r="113" spans="1:39" x14ac:dyDescent="0.2">
      <c r="A113" s="15"/>
      <c r="B113" s="15"/>
      <c r="C113" s="15"/>
      <c r="D113" s="15"/>
      <c r="E113" s="15"/>
      <c r="F113" s="273"/>
      <c r="G113" s="274"/>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row>
    <row r="114" spans="1:39" x14ac:dyDescent="0.2">
      <c r="A114" s="15"/>
      <c r="B114" s="15"/>
      <c r="C114" s="15"/>
      <c r="D114" s="15"/>
      <c r="E114" s="15"/>
      <c r="F114" s="15"/>
      <c r="G114" s="274"/>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row>
    <row r="115" spans="1:39" x14ac:dyDescent="0.2">
      <c r="A115" s="15"/>
      <c r="B115" s="15"/>
      <c r="C115" s="15"/>
      <c r="D115" s="15"/>
      <c r="E115" s="15"/>
      <c r="F115" s="273"/>
      <c r="G115" s="274"/>
      <c r="H115" s="273"/>
      <c r="I115" s="273"/>
      <c r="J115" s="273"/>
      <c r="K115" s="273"/>
      <c r="L115" s="273"/>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row>
    <row r="116" spans="1:39" x14ac:dyDescent="0.2">
      <c r="A116" s="15"/>
      <c r="B116" s="15"/>
      <c r="C116" s="15"/>
      <c r="D116" s="15"/>
      <c r="E116" s="15"/>
      <c r="F116" s="273"/>
      <c r="G116" s="274"/>
      <c r="H116" s="273"/>
      <c r="I116" s="273"/>
      <c r="J116" s="273"/>
      <c r="K116" s="273"/>
      <c r="L116" s="273"/>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row>
    <row r="117" spans="1:39" x14ac:dyDescent="0.2">
      <c r="A117" s="15"/>
      <c r="B117" s="15"/>
      <c r="C117" s="15"/>
      <c r="D117" s="15"/>
      <c r="E117" s="15"/>
      <c r="F117" s="273"/>
      <c r="G117" s="158"/>
      <c r="H117" s="273"/>
      <c r="I117" s="273"/>
      <c r="J117" s="273"/>
      <c r="K117" s="273"/>
      <c r="L117" s="273"/>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row>
    <row r="118" spans="1:39" x14ac:dyDescent="0.2">
      <c r="A118" s="15"/>
      <c r="B118" s="15"/>
      <c r="C118" s="15"/>
      <c r="D118" s="15"/>
      <c r="E118" s="15"/>
      <c r="F118" s="273"/>
      <c r="G118" s="274"/>
      <c r="H118" s="273"/>
      <c r="I118" s="273"/>
      <c r="J118" s="273"/>
      <c r="K118" s="273"/>
      <c r="L118" s="273"/>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row>
    <row r="119" spans="1:39" x14ac:dyDescent="0.2">
      <c r="A119" s="15"/>
      <c r="B119" s="15"/>
      <c r="C119" s="15"/>
      <c r="D119" s="15"/>
      <c r="E119" s="15"/>
      <c r="F119" s="273"/>
      <c r="G119" s="274"/>
      <c r="H119" s="273"/>
      <c r="I119" s="273"/>
      <c r="J119" s="273"/>
      <c r="K119" s="273"/>
      <c r="L119" s="273"/>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row>
    <row r="120" spans="1:39" x14ac:dyDescent="0.2">
      <c r="A120" s="15"/>
      <c r="B120" s="15"/>
      <c r="C120" s="15"/>
      <c r="D120" s="15"/>
      <c r="E120" s="15"/>
      <c r="F120" s="273"/>
      <c r="G120" s="274"/>
      <c r="H120" s="273"/>
      <c r="I120" s="273"/>
      <c r="J120" s="273"/>
      <c r="K120" s="273"/>
      <c r="L120" s="273"/>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row>
    <row r="121" spans="1:39" x14ac:dyDescent="0.2">
      <c r="A121" s="15"/>
      <c r="B121" s="15"/>
      <c r="C121" s="15"/>
      <c r="D121" s="15"/>
      <c r="E121" s="15"/>
      <c r="F121" s="15"/>
      <c r="G121" s="274"/>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row>
    <row r="122" spans="1:39" x14ac:dyDescent="0.2">
      <c r="A122" s="15"/>
      <c r="B122" s="15"/>
      <c r="C122" s="15"/>
      <c r="D122" s="15"/>
      <c r="E122" s="15"/>
      <c r="F122" s="15"/>
      <c r="G122" s="274"/>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row>
    <row r="123" spans="1:39" x14ac:dyDescent="0.2">
      <c r="A123" s="15"/>
      <c r="B123" s="15"/>
      <c r="C123" s="15"/>
      <c r="D123" s="15"/>
      <c r="E123" s="15"/>
      <c r="F123" s="15"/>
      <c r="G123" s="274"/>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row>
    <row r="124" spans="1:39" x14ac:dyDescent="0.2">
      <c r="A124" s="15"/>
      <c r="B124" s="15"/>
      <c r="C124" s="15"/>
      <c r="D124" s="15"/>
      <c r="E124" s="15"/>
      <c r="F124" s="15"/>
      <c r="G124" s="158"/>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row>
    <row r="125" spans="1:39" x14ac:dyDescent="0.2">
      <c r="A125" s="15"/>
      <c r="B125" s="15"/>
      <c r="C125" s="15"/>
      <c r="D125" s="15"/>
      <c r="E125" s="15"/>
      <c r="F125" s="15"/>
      <c r="G125" s="158"/>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row>
    <row r="126" spans="1:39" x14ac:dyDescent="0.2">
      <c r="A126" s="15"/>
      <c r="B126" s="15"/>
      <c r="C126" s="15"/>
      <c r="D126" s="15"/>
      <c r="E126" s="15"/>
      <c r="F126" s="15"/>
      <c r="G126" s="158"/>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row>
    <row r="127" spans="1:39" x14ac:dyDescent="0.2">
      <c r="A127" s="15"/>
      <c r="B127" s="15"/>
      <c r="C127" s="15"/>
      <c r="D127" s="15"/>
      <c r="E127" s="15"/>
      <c r="F127" s="15"/>
      <c r="G127" s="158"/>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row>
    <row r="128" spans="1:39" x14ac:dyDescent="0.2">
      <c r="A128" s="15"/>
      <c r="B128" s="15"/>
      <c r="C128" s="15"/>
      <c r="D128" s="15"/>
      <c r="E128" s="15"/>
      <c r="F128" s="15"/>
      <c r="G128" s="158"/>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row>
    <row r="129" spans="1:39" x14ac:dyDescent="0.2">
      <c r="A129" s="15"/>
      <c r="B129" s="15"/>
      <c r="C129" s="15"/>
      <c r="D129" s="15"/>
      <c r="E129" s="15"/>
      <c r="F129" s="15"/>
      <c r="G129" s="158"/>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row>
    <row r="130" spans="1:39" x14ac:dyDescent="0.2">
      <c r="A130" s="15"/>
      <c r="B130" s="15"/>
      <c r="C130" s="15"/>
      <c r="D130" s="15"/>
      <c r="E130" s="15"/>
      <c r="F130" s="15"/>
      <c r="G130" s="158"/>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row>
    <row r="131" spans="1:39" x14ac:dyDescent="0.2">
      <c r="A131" s="15"/>
      <c r="B131" s="15"/>
      <c r="C131" s="15"/>
      <c r="D131" s="15"/>
      <c r="E131" s="15"/>
      <c r="F131" s="15"/>
      <c r="G131" s="158"/>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row>
    <row r="132" spans="1:39" ht="15" x14ac:dyDescent="0.25">
      <c r="A132" s="15"/>
      <c r="B132" s="275"/>
      <c r="C132" s="15"/>
      <c r="D132" s="15"/>
      <c r="E132" s="15"/>
      <c r="F132" s="15"/>
      <c r="G132" s="158"/>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row>
    <row r="133" spans="1:39" x14ac:dyDescent="0.2">
      <c r="A133" s="15"/>
      <c r="B133" s="15"/>
      <c r="C133" s="15"/>
      <c r="D133" s="15"/>
      <c r="E133" s="15"/>
      <c r="F133" s="15"/>
      <c r="G133" s="158"/>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row>
    <row r="134" spans="1:39" x14ac:dyDescent="0.2">
      <c r="A134" s="15"/>
      <c r="B134" s="15"/>
      <c r="C134" s="15"/>
      <c r="D134" s="15"/>
      <c r="E134" s="15"/>
      <c r="F134" s="15"/>
      <c r="G134" s="158"/>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row>
    <row r="135" spans="1:39" x14ac:dyDescent="0.2">
      <c r="A135" s="15"/>
      <c r="B135" s="15"/>
      <c r="C135" s="15"/>
      <c r="D135" s="15"/>
      <c r="E135" s="15"/>
      <c r="F135" s="15"/>
      <c r="G135" s="158"/>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row>
    <row r="136" spans="1:39" x14ac:dyDescent="0.2">
      <c r="A136" s="15"/>
      <c r="B136" s="15"/>
      <c r="C136" s="15"/>
      <c r="D136" s="15"/>
      <c r="E136" s="15"/>
      <c r="F136" s="15"/>
      <c r="G136" s="158"/>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row>
    <row r="137" spans="1:39" x14ac:dyDescent="0.2">
      <c r="A137" s="15"/>
      <c r="B137" s="15"/>
      <c r="D137" s="15"/>
      <c r="E137" s="15"/>
      <c r="F137" s="15"/>
      <c r="G137" s="158"/>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row>
    <row r="138" spans="1:39" x14ac:dyDescent="0.2">
      <c r="A138" s="15"/>
      <c r="B138" s="15"/>
      <c r="C138" s="15"/>
      <c r="D138" s="15"/>
      <c r="E138" s="15"/>
      <c r="F138" s="15"/>
      <c r="G138" s="158"/>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row>
    <row r="139" spans="1:39" x14ac:dyDescent="0.2">
      <c r="A139" s="15"/>
      <c r="B139" s="15"/>
      <c r="C139" s="15"/>
      <c r="D139" s="15"/>
      <c r="E139" s="15"/>
      <c r="F139" s="15"/>
      <c r="G139" s="158"/>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row>
    <row r="140" spans="1:39" x14ac:dyDescent="0.2">
      <c r="A140" s="15"/>
      <c r="B140" s="15"/>
      <c r="C140" s="15"/>
      <c r="D140" s="15"/>
      <c r="E140" s="15"/>
      <c r="F140" s="15"/>
      <c r="G140" s="158"/>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row>
    <row r="141" spans="1:39" x14ac:dyDescent="0.2">
      <c r="A141" s="15"/>
      <c r="B141" s="15"/>
      <c r="C141" s="15"/>
      <c r="D141" s="15"/>
      <c r="E141" s="15"/>
      <c r="F141" s="15"/>
      <c r="G141" s="158"/>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row>
    <row r="142" spans="1:39" x14ac:dyDescent="0.2">
      <c r="A142" s="15"/>
      <c r="B142" s="15"/>
      <c r="C142" s="15"/>
      <c r="D142" s="15"/>
      <c r="E142" s="15"/>
      <c r="F142" s="15"/>
      <c r="G142" s="158"/>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row>
    <row r="143" spans="1:39" x14ac:dyDescent="0.2">
      <c r="A143" s="15"/>
      <c r="B143" s="15"/>
      <c r="C143" s="15"/>
      <c r="D143" s="15"/>
      <c r="E143" s="15"/>
      <c r="F143" s="15"/>
      <c r="G143" s="158"/>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row>
    <row r="144" spans="1:39" x14ac:dyDescent="0.2">
      <c r="A144" s="15"/>
      <c r="B144" s="15"/>
      <c r="C144" s="15"/>
      <c r="D144" s="15"/>
      <c r="E144" s="15"/>
      <c r="F144" s="15"/>
      <c r="G144" s="158"/>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row>
    <row r="145" spans="1:39" x14ac:dyDescent="0.2">
      <c r="A145" s="15"/>
      <c r="B145" s="15"/>
      <c r="C145" s="15"/>
      <c r="D145" s="15"/>
      <c r="E145" s="15"/>
      <c r="F145" s="15"/>
      <c r="G145" s="158"/>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row>
    <row r="146" spans="1:39" x14ac:dyDescent="0.2">
      <c r="A146" s="15"/>
      <c r="B146" s="15"/>
      <c r="C146" s="15"/>
      <c r="D146" s="15"/>
      <c r="E146" s="15"/>
      <c r="F146" s="15"/>
      <c r="G146" s="158"/>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row>
    <row r="147" spans="1:39" x14ac:dyDescent="0.2">
      <c r="A147" s="15"/>
      <c r="B147" s="15"/>
      <c r="C147" s="15"/>
      <c r="D147" s="15"/>
      <c r="E147" s="15"/>
      <c r="F147" s="15"/>
      <c r="G147" s="158"/>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row>
    <row r="148" spans="1:39" x14ac:dyDescent="0.2">
      <c r="A148" s="15"/>
      <c r="B148" s="15"/>
      <c r="C148" s="15"/>
      <c r="D148" s="15"/>
      <c r="E148" s="15"/>
      <c r="F148" s="15"/>
      <c r="G148" s="158"/>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row>
    <row r="149" spans="1:39" x14ac:dyDescent="0.2">
      <c r="A149" s="15"/>
      <c r="B149" s="15"/>
      <c r="C149" s="15"/>
      <c r="D149" s="15"/>
      <c r="E149" s="15"/>
      <c r="F149" s="15"/>
      <c r="G149" s="158"/>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row>
    <row r="150" spans="1:39" x14ac:dyDescent="0.2">
      <c r="A150" s="15"/>
      <c r="B150" s="15"/>
      <c r="C150" s="15"/>
      <c r="D150" s="15"/>
      <c r="E150" s="15"/>
      <c r="F150" s="15"/>
      <c r="G150" s="158"/>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row>
    <row r="151" spans="1:39" x14ac:dyDescent="0.2">
      <c r="A151" s="15"/>
      <c r="B151" s="15"/>
      <c r="C151" s="15"/>
      <c r="D151" s="15"/>
      <c r="E151" s="15"/>
      <c r="F151" s="15"/>
      <c r="G151" s="158"/>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row>
    <row r="152" spans="1:39" x14ac:dyDescent="0.2">
      <c r="A152" s="15"/>
      <c r="B152" s="15"/>
      <c r="C152" s="15"/>
      <c r="D152" s="15"/>
      <c r="E152" s="15"/>
      <c r="F152" s="15"/>
      <c r="G152" s="158"/>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row>
    <row r="153" spans="1:39" x14ac:dyDescent="0.2">
      <c r="A153" s="15"/>
      <c r="B153" s="15"/>
      <c r="C153" s="15"/>
      <c r="D153" s="15"/>
      <c r="E153" s="15"/>
      <c r="F153" s="15"/>
      <c r="G153" s="158"/>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row>
    <row r="154" spans="1:39" x14ac:dyDescent="0.2">
      <c r="A154" s="15"/>
      <c r="B154" s="15"/>
      <c r="C154" s="15"/>
      <c r="D154" s="15"/>
      <c r="E154" s="15"/>
      <c r="F154" s="15"/>
      <c r="G154" s="158"/>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row>
    <row r="155" spans="1:39" x14ac:dyDescent="0.2">
      <c r="A155" s="15"/>
      <c r="B155" s="15"/>
      <c r="C155" s="15"/>
      <c r="D155" s="15"/>
      <c r="E155" s="15"/>
      <c r="F155" s="15"/>
      <c r="G155" s="158"/>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row>
    <row r="156" spans="1:39" x14ac:dyDescent="0.2">
      <c r="A156" s="15"/>
      <c r="B156" s="15"/>
      <c r="C156" s="15"/>
      <c r="D156" s="15"/>
      <c r="E156" s="15"/>
      <c r="F156" s="15"/>
      <c r="G156" s="158"/>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row>
    <row r="157" spans="1:39" x14ac:dyDescent="0.2">
      <c r="A157" s="15"/>
      <c r="B157" s="15"/>
      <c r="C157" s="15"/>
      <c r="D157" s="15"/>
      <c r="E157" s="15"/>
      <c r="F157" s="15"/>
      <c r="G157" s="158"/>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row>
    <row r="158" spans="1:39" x14ac:dyDescent="0.2">
      <c r="A158" s="15"/>
      <c r="B158" s="15"/>
      <c r="C158" s="15"/>
      <c r="D158" s="15"/>
      <c r="E158" s="15"/>
      <c r="F158" s="15"/>
      <c r="G158" s="158"/>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row>
    <row r="159" spans="1:39" x14ac:dyDescent="0.2">
      <c r="A159" s="15"/>
      <c r="B159" s="15"/>
      <c r="C159" s="15"/>
      <c r="D159" s="15"/>
      <c r="E159" s="15"/>
      <c r="F159" s="15"/>
      <c r="G159" s="158"/>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row>
    <row r="160" spans="1:39" x14ac:dyDescent="0.2">
      <c r="A160" s="15"/>
      <c r="B160" s="15"/>
      <c r="C160" s="15"/>
      <c r="D160" s="15"/>
      <c r="E160" s="15"/>
      <c r="F160" s="15"/>
      <c r="G160" s="158"/>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row>
    <row r="161" spans="1:39" x14ac:dyDescent="0.2">
      <c r="A161" s="15"/>
      <c r="B161" s="15"/>
      <c r="C161" s="15"/>
      <c r="D161" s="15"/>
      <c r="E161" s="15"/>
      <c r="F161" s="15"/>
      <c r="G161" s="158"/>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row>
    <row r="162" spans="1:39" x14ac:dyDescent="0.2">
      <c r="A162" s="15"/>
      <c r="B162" s="15"/>
      <c r="C162" s="15"/>
      <c r="D162" s="15"/>
      <c r="E162" s="15"/>
      <c r="F162" s="15"/>
      <c r="G162" s="158"/>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row>
    <row r="163" spans="1:39" x14ac:dyDescent="0.2">
      <c r="A163" s="15"/>
      <c r="B163" s="15"/>
      <c r="C163" s="15"/>
      <c r="D163" s="15"/>
      <c r="E163" s="15"/>
      <c r="F163" s="15"/>
      <c r="G163" s="158"/>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row>
    <row r="164" spans="1:39" x14ac:dyDescent="0.2">
      <c r="A164" s="15"/>
      <c r="B164" s="15"/>
      <c r="C164" s="15"/>
      <c r="D164" s="15"/>
      <c r="E164" s="15"/>
      <c r="F164" s="15"/>
      <c r="G164" s="158"/>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row>
    <row r="165" spans="1:39" x14ac:dyDescent="0.2">
      <c r="A165" s="15"/>
      <c r="B165" s="15"/>
      <c r="C165" s="15"/>
      <c r="D165" s="15"/>
      <c r="E165" s="15"/>
      <c r="F165" s="15"/>
      <c r="G165" s="158"/>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row>
    <row r="166" spans="1:39" x14ac:dyDescent="0.2">
      <c r="A166" s="15"/>
      <c r="B166" s="15"/>
      <c r="C166" s="15"/>
      <c r="D166" s="15"/>
      <c r="E166" s="15"/>
      <c r="F166" s="15"/>
      <c r="G166" s="158"/>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row>
    <row r="167" spans="1:39" x14ac:dyDescent="0.2">
      <c r="A167" s="15"/>
      <c r="B167" s="15"/>
      <c r="C167" s="15"/>
      <c r="D167" s="15"/>
      <c r="E167" s="15"/>
      <c r="F167" s="15"/>
      <c r="G167" s="158"/>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row>
    <row r="168" spans="1:39" x14ac:dyDescent="0.2">
      <c r="A168" s="15"/>
      <c r="B168" s="15"/>
      <c r="C168" s="15"/>
      <c r="D168" s="15"/>
      <c r="E168" s="15"/>
      <c r="F168" s="15"/>
      <c r="G168" s="158"/>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row>
    <row r="169" spans="1:39" x14ac:dyDescent="0.2">
      <c r="A169" s="15"/>
      <c r="B169" s="15"/>
      <c r="C169" s="15"/>
      <c r="D169" s="15"/>
      <c r="E169" s="15"/>
      <c r="F169" s="15"/>
      <c r="G169" s="158"/>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row>
    <row r="170" spans="1:39" x14ac:dyDescent="0.2">
      <c r="A170" s="15"/>
      <c r="B170" s="15"/>
      <c r="C170" s="15"/>
      <c r="D170" s="15"/>
      <c r="E170" s="15"/>
      <c r="F170" s="15"/>
      <c r="G170" s="158"/>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row>
    <row r="171" spans="1:39" x14ac:dyDescent="0.2">
      <c r="A171" s="15"/>
      <c r="B171" s="15"/>
      <c r="C171" s="15"/>
      <c r="D171" s="15"/>
      <c r="E171" s="15"/>
      <c r="F171" s="15"/>
      <c r="G171" s="158"/>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row>
    <row r="172" spans="1:39" x14ac:dyDescent="0.2">
      <c r="A172" s="15"/>
      <c r="B172" s="15"/>
      <c r="C172" s="15"/>
      <c r="D172" s="15"/>
      <c r="E172" s="15"/>
      <c r="F172" s="15"/>
      <c r="G172" s="158"/>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row>
    <row r="173" spans="1:39" x14ac:dyDescent="0.2">
      <c r="A173" s="15"/>
      <c r="B173" s="15"/>
      <c r="C173" s="15"/>
      <c r="D173" s="15"/>
      <c r="E173" s="15"/>
      <c r="F173" s="15"/>
      <c r="G173" s="158"/>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row>
    <row r="174" spans="1:39" x14ac:dyDescent="0.2">
      <c r="A174" s="15"/>
      <c r="B174" s="15"/>
      <c r="C174" s="15"/>
      <c r="D174" s="15"/>
      <c r="E174" s="15"/>
      <c r="F174" s="15"/>
      <c r="G174" s="158"/>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row>
    <row r="175" spans="1:39" x14ac:dyDescent="0.2">
      <c r="A175" s="15"/>
      <c r="B175" s="15"/>
      <c r="C175" s="15"/>
      <c r="D175" s="15"/>
      <c r="E175" s="15"/>
      <c r="F175" s="15"/>
      <c r="G175" s="158"/>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row>
    <row r="176" spans="1:39" x14ac:dyDescent="0.2">
      <c r="A176" s="15"/>
      <c r="B176" s="15"/>
      <c r="C176" s="15"/>
      <c r="D176" s="15"/>
      <c r="E176" s="15"/>
      <c r="F176" s="15"/>
      <c r="G176" s="158"/>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row>
    <row r="177" spans="7:7" x14ac:dyDescent="0.2">
      <c r="G177" s="158"/>
    </row>
    <row r="178" spans="7:7" x14ac:dyDescent="0.2">
      <c r="G178" s="158"/>
    </row>
    <row r="179" spans="7:7" x14ac:dyDescent="0.2">
      <c r="G179" s="158"/>
    </row>
  </sheetData>
  <sheetProtection password="FADC" sheet="1" objects="1" scenarios="1" selectLockedCells="1"/>
  <mergeCells count="5">
    <mergeCell ref="L2:M2"/>
    <mergeCell ref="A1:M1"/>
    <mergeCell ref="D11:E12"/>
    <mergeCell ref="B37:B43"/>
    <mergeCell ref="B64:C68"/>
  </mergeCells>
  <phoneticPr fontId="3" type="noConversion"/>
  <conditionalFormatting sqref="E78">
    <cfRule type="expression" dxfId="20" priority="63" stopIfTrue="1">
      <formula>#REF!="Option A"</formula>
    </cfRule>
  </conditionalFormatting>
  <conditionalFormatting sqref="F22">
    <cfRule type="cellIs" dxfId="19" priority="64" stopIfTrue="1" operator="greaterThan">
      <formula>200</formula>
    </cfRule>
  </conditionalFormatting>
  <conditionalFormatting sqref="G78">
    <cfRule type="expression" dxfId="18" priority="54">
      <formula>#REF!="Option A"</formula>
    </cfRule>
  </conditionalFormatting>
  <conditionalFormatting sqref="F43">
    <cfRule type="colorScale" priority="28">
      <colorScale>
        <cfvo type="min"/>
        <cfvo type="formula" val="$AN$36*0.8"/>
        <cfvo type="num" val="$AN$36"/>
        <color theme="0"/>
        <color rgb="FFFFC000"/>
        <color rgb="FFFF0000"/>
      </colorScale>
    </cfRule>
  </conditionalFormatting>
  <conditionalFormatting sqref="F23:F24">
    <cfRule type="cellIs" dxfId="17" priority="25" operator="equal">
      <formula>"NA"</formula>
    </cfRule>
    <cfRule type="cellIs" dxfId="16" priority="31" operator="equal">
      <formula>"""NA"""</formula>
    </cfRule>
  </conditionalFormatting>
  <conditionalFormatting sqref="F55">
    <cfRule type="cellIs" dxfId="15" priority="70" operator="lessThan">
      <formula>0.25</formula>
    </cfRule>
  </conditionalFormatting>
  <conditionalFormatting sqref="F58">
    <cfRule type="cellIs" dxfId="14" priority="21" operator="lessThan">
      <formula>$F$57</formula>
    </cfRule>
  </conditionalFormatting>
  <conditionalFormatting sqref="F60">
    <cfRule type="cellIs" dxfId="13" priority="18" operator="lessThan">
      <formula>1.1</formula>
    </cfRule>
    <cfRule type="cellIs" dxfId="12" priority="19" operator="between">
      <formula>1.1</formula>
      <formula>1.3</formula>
    </cfRule>
  </conditionalFormatting>
  <conditionalFormatting sqref="E53:F53">
    <cfRule type="expression" dxfId="11" priority="68">
      <formula>#REF!="Yes"</formula>
    </cfRule>
  </conditionalFormatting>
  <conditionalFormatting sqref="G64 G66:G71">
    <cfRule type="expression" dxfId="10" priority="16">
      <formula>#REF!="Yes"</formula>
    </cfRule>
  </conditionalFormatting>
  <conditionalFormatting sqref="E54:G60">
    <cfRule type="expression" dxfId="9" priority="14" stopIfTrue="1">
      <formula>$F$53="Yes"</formula>
    </cfRule>
  </conditionalFormatting>
  <conditionalFormatting sqref="B61:G73">
    <cfRule type="expression" dxfId="8" priority="8" stopIfTrue="1">
      <formula>$F$53="NO"</formula>
    </cfRule>
  </conditionalFormatting>
  <conditionalFormatting sqref="F64 F67">
    <cfRule type="cellIs" dxfId="7" priority="9" operator="greaterThanOrEqual">
      <formula>$F$62</formula>
    </cfRule>
  </conditionalFormatting>
  <conditionalFormatting sqref="F68 F73">
    <cfRule type="cellIs" dxfId="6" priority="10" operator="between">
      <formula>1.1</formula>
      <formula>1.2999</formula>
    </cfRule>
    <cfRule type="cellIs" dxfId="5" priority="11" operator="lessThan">
      <formula>1.1</formula>
    </cfRule>
  </conditionalFormatting>
  <conditionalFormatting sqref="F49">
    <cfRule type="cellIs" dxfId="4" priority="7" operator="lessThan">
      <formula>$F$44</formula>
    </cfRule>
  </conditionalFormatting>
  <conditionalFormatting sqref="F61">
    <cfRule type="expression" dxfId="3" priority="6">
      <formula>#REF!="Yes"</formula>
    </cfRule>
  </conditionalFormatting>
  <conditionalFormatting sqref="E23:G27">
    <cfRule type="expression" dxfId="2" priority="3" stopIfTrue="1">
      <formula>IF($F$21="No", "TRUE", "FALSE")</formula>
    </cfRule>
  </conditionalFormatting>
  <conditionalFormatting sqref="F28:F30">
    <cfRule type="cellIs" dxfId="1" priority="2" operator="lessThan">
      <formula>$F$17</formula>
    </cfRule>
  </conditionalFormatting>
  <conditionalFormatting sqref="B64">
    <cfRule type="expression" dxfId="0" priority="1" stopIfTrue="1">
      <formula>$F$53="NO"</formula>
    </cfRule>
  </conditionalFormatting>
  <dataValidations xWindow="815" yWindow="414" count="8">
    <dataValidation type="whole" allowBlank="1" showInputMessage="1" showErrorMessage="1" sqref="F34">
      <formula1>1</formula1>
      <formula2>6</formula2>
    </dataValidation>
    <dataValidation type="decimal" operator="greaterThan" allowBlank="1" showInputMessage="1" showErrorMessage="1" sqref="F25 F27">
      <formula1>0</formula1>
    </dataValidation>
    <dataValidation type="custom" errorStyle="information" operator="equal" allowBlank="1" showInputMessage="1" showErrorMessage="1" errorTitle="Resistor Divider" error="When using resistor divider Rs should be set larger than Rs,eff. _x000a__x000a_Otherwise switch to &quot;No resistor divider&quot;" sqref="F23">
      <formula1>"""NA"""</formula1>
    </dataValidation>
    <dataValidation type="list" allowBlank="1" showInputMessage="1" showErrorMessage="1" sqref="F53 F21 F61">
      <formula1>$AN$21:$AN$22</formula1>
    </dataValidation>
    <dataValidation type="list" allowBlank="1" showInputMessage="1" showErrorMessage="1" sqref="F51">
      <formula1>$AN$52:$AN$53</formula1>
    </dataValidation>
    <dataValidation type="decimal" allowBlank="1" showInputMessage="1" showErrorMessage="1" sqref="F36">
      <formula1>0</formula1>
      <formula2>200</formula2>
    </dataValidation>
    <dataValidation type="decimal" allowBlank="1" showInputMessage="1" showErrorMessage="1" sqref="F37:F41">
      <formula1>0.001</formula1>
      <formula2>400</formula2>
    </dataValidation>
    <dataValidation type="decimal" allowBlank="1" showInputMessage="1" showErrorMessage="1" error="Must enter value less than 10" sqref="F26">
      <formula1>0</formula1>
      <formula2>10</formula2>
    </dataValidation>
  </dataValidations>
  <hyperlinks>
    <hyperlink ref="B2" r:id="rId1"/>
  </hyperlinks>
  <pageMargins left="0.7" right="0.7" top="0.75" bottom="0.75" header="0.3" footer="0.3"/>
  <pageSetup paperSize="9" scale="62" fitToHeight="2" orientation="landscape" r:id="rId2"/>
  <headerFooter alignWithMargins="0"/>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J24"/>
  <sheetViews>
    <sheetView workbookViewId="0">
      <selection activeCell="E25" sqref="A4:E25"/>
    </sheetView>
  </sheetViews>
  <sheetFormatPr defaultRowHeight="12.75" x14ac:dyDescent="0.2"/>
  <cols>
    <col min="1" max="1" width="9.42578125" customWidth="1"/>
    <col min="2" max="2" width="24.28515625" customWidth="1"/>
    <col min="12" max="12" width="13.5703125" customWidth="1"/>
  </cols>
  <sheetData>
    <row r="2" spans="1:10" x14ac:dyDescent="0.2">
      <c r="A2" s="16"/>
      <c r="C2" s="16" t="s">
        <v>35</v>
      </c>
      <c r="D2" s="16" t="s">
        <v>36</v>
      </c>
      <c r="E2" s="16" t="s">
        <v>37</v>
      </c>
      <c r="F2" s="16" t="s">
        <v>110</v>
      </c>
    </row>
    <row r="3" spans="1:10" x14ac:dyDescent="0.2">
      <c r="A3" s="11" t="s">
        <v>106</v>
      </c>
      <c r="C3" s="16"/>
      <c r="D3" s="16"/>
      <c r="E3" s="16"/>
    </row>
    <row r="4" spans="1:10" x14ac:dyDescent="0.2">
      <c r="A4" s="11"/>
      <c r="B4" s="16" t="s">
        <v>116</v>
      </c>
      <c r="C4" s="39">
        <v>-40</v>
      </c>
      <c r="D4" s="39"/>
      <c r="E4" s="39">
        <v>125</v>
      </c>
    </row>
    <row r="5" spans="1:10" x14ac:dyDescent="0.2">
      <c r="B5" s="17" t="s">
        <v>107</v>
      </c>
      <c r="C5" s="1">
        <v>9</v>
      </c>
      <c r="D5" s="1"/>
      <c r="E5" s="1">
        <v>80</v>
      </c>
      <c r="F5" s="16" t="s">
        <v>50</v>
      </c>
      <c r="J5" s="2"/>
    </row>
    <row r="6" spans="1:10" ht="16.5" customHeight="1" x14ac:dyDescent="0.2">
      <c r="A6" s="11" t="s">
        <v>83</v>
      </c>
      <c r="B6" s="17"/>
      <c r="C6" s="1"/>
      <c r="D6" s="1"/>
      <c r="E6" s="1"/>
      <c r="J6" s="2"/>
    </row>
    <row r="7" spans="1:10" x14ac:dyDescent="0.2">
      <c r="B7" s="17" t="s">
        <v>108</v>
      </c>
      <c r="C7" s="1">
        <v>45</v>
      </c>
      <c r="D7" s="1">
        <v>50</v>
      </c>
      <c r="E7" s="1">
        <v>55</v>
      </c>
      <c r="J7" s="17"/>
    </row>
    <row r="8" spans="1:10" x14ac:dyDescent="0.2">
      <c r="B8" s="17" t="s">
        <v>109</v>
      </c>
      <c r="C8" s="1"/>
      <c r="D8" s="1">
        <v>7.5</v>
      </c>
      <c r="E8" s="1">
        <v>20</v>
      </c>
      <c r="F8" s="16" t="s">
        <v>111</v>
      </c>
      <c r="J8" s="17"/>
    </row>
    <row r="9" spans="1:10" x14ac:dyDescent="0.2">
      <c r="C9" s="1"/>
      <c r="D9" s="1"/>
      <c r="E9" s="1"/>
    </row>
    <row r="10" spans="1:10" x14ac:dyDescent="0.2">
      <c r="C10" s="1"/>
      <c r="D10" s="1"/>
      <c r="E10" s="1"/>
    </row>
    <row r="11" spans="1:10" x14ac:dyDescent="0.2">
      <c r="A11" s="11" t="s">
        <v>112</v>
      </c>
      <c r="C11" s="1"/>
      <c r="D11" s="1"/>
      <c r="E11" s="1"/>
    </row>
    <row r="12" spans="1:10" x14ac:dyDescent="0.2">
      <c r="B12" s="17" t="s">
        <v>113</v>
      </c>
      <c r="C12" s="1">
        <v>3.9</v>
      </c>
      <c r="D12" s="1">
        <v>4</v>
      </c>
      <c r="E12" s="1">
        <v>4.0999999999999996</v>
      </c>
      <c r="F12" s="16" t="s">
        <v>50</v>
      </c>
    </row>
    <row r="13" spans="1:10" x14ac:dyDescent="0.2">
      <c r="B13" s="17"/>
      <c r="C13" s="1"/>
      <c r="D13" s="1"/>
      <c r="E13" s="1"/>
      <c r="F13" s="16"/>
    </row>
    <row r="14" spans="1:10" x14ac:dyDescent="0.2">
      <c r="B14" s="17" t="s">
        <v>264</v>
      </c>
      <c r="C14" s="80"/>
      <c r="D14" s="80"/>
      <c r="E14" s="80"/>
      <c r="F14" s="16"/>
    </row>
    <row r="15" spans="1:10" x14ac:dyDescent="0.2">
      <c r="B15" s="17" t="s">
        <v>114</v>
      </c>
      <c r="C15" s="1">
        <v>15</v>
      </c>
      <c r="D15" s="1">
        <v>25</v>
      </c>
      <c r="E15" s="1">
        <v>34</v>
      </c>
      <c r="F15" s="16" t="s">
        <v>111</v>
      </c>
    </row>
    <row r="16" spans="1:10" x14ac:dyDescent="0.2">
      <c r="B16" s="17" t="s">
        <v>200</v>
      </c>
      <c r="C16" s="61"/>
      <c r="D16" s="61">
        <f>SQRT(0.66^2+ ((34-25)/25)^2+ 0.1^2)</f>
        <v>0.75841940903434168</v>
      </c>
      <c r="E16" s="61"/>
      <c r="F16" s="16"/>
      <c r="G16" s="16" t="s">
        <v>199</v>
      </c>
    </row>
    <row r="17" spans="1:7" x14ac:dyDescent="0.2">
      <c r="B17" s="17" t="s">
        <v>197</v>
      </c>
      <c r="C17" s="61"/>
      <c r="D17" s="61">
        <v>0.75</v>
      </c>
      <c r="E17" s="61"/>
      <c r="F17" s="16"/>
      <c r="G17" s="16" t="s">
        <v>198</v>
      </c>
    </row>
    <row r="18" spans="1:7" x14ac:dyDescent="0.2">
      <c r="B18" s="2"/>
      <c r="C18" s="1"/>
      <c r="D18" s="1"/>
      <c r="E18" s="1"/>
    </row>
    <row r="19" spans="1:7" x14ac:dyDescent="0.2">
      <c r="A19" s="11" t="s">
        <v>147</v>
      </c>
      <c r="B19" s="2"/>
      <c r="C19" s="1"/>
      <c r="D19" s="1"/>
      <c r="E19" s="1"/>
    </row>
    <row r="20" spans="1:7" x14ac:dyDescent="0.2">
      <c r="B20" s="17" t="s">
        <v>149</v>
      </c>
      <c r="C20" s="1">
        <v>15</v>
      </c>
      <c r="D20" s="1">
        <v>22</v>
      </c>
      <c r="E20" s="1">
        <v>35</v>
      </c>
    </row>
    <row r="21" spans="1:7" x14ac:dyDescent="0.2">
      <c r="B21" s="2"/>
      <c r="C21" s="1"/>
      <c r="D21" s="1"/>
      <c r="E21" s="1"/>
    </row>
    <row r="22" spans="1:7" x14ac:dyDescent="0.2">
      <c r="A22" s="11" t="s">
        <v>376</v>
      </c>
      <c r="B22" s="2"/>
      <c r="C22" s="1"/>
      <c r="D22" s="1"/>
      <c r="E22" s="1"/>
    </row>
    <row r="23" spans="1:7" x14ac:dyDescent="0.2">
      <c r="B23" s="16" t="s">
        <v>377</v>
      </c>
      <c r="C23">
        <v>1.32</v>
      </c>
      <c r="D23">
        <v>1.35</v>
      </c>
      <c r="E23">
        <v>1.38</v>
      </c>
      <c r="F23" s="16" t="s">
        <v>50</v>
      </c>
    </row>
    <row r="24" spans="1:7" x14ac:dyDescent="0.2">
      <c r="B24" s="16" t="s">
        <v>378</v>
      </c>
      <c r="C24">
        <v>1.22</v>
      </c>
      <c r="D24">
        <v>1.25</v>
      </c>
      <c r="E24">
        <v>1.28</v>
      </c>
      <c r="F24" s="16" t="s">
        <v>50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3:Y171"/>
  <sheetViews>
    <sheetView topLeftCell="A22" workbookViewId="0">
      <selection activeCell="F39" sqref="F39"/>
    </sheetView>
  </sheetViews>
  <sheetFormatPr defaultRowHeight="12.75" x14ac:dyDescent="0.2"/>
  <cols>
    <col min="6" max="6" width="14.28515625" customWidth="1"/>
    <col min="8" max="8" width="14" customWidth="1"/>
    <col min="9" max="9" width="12.7109375" customWidth="1"/>
    <col min="10" max="10" width="11.7109375" customWidth="1"/>
  </cols>
  <sheetData>
    <row r="13" spans="1:6" x14ac:dyDescent="0.2">
      <c r="A13" s="11" t="s">
        <v>83</v>
      </c>
    </row>
    <row r="14" spans="1:6" x14ac:dyDescent="0.2">
      <c r="E14" s="2"/>
    </row>
    <row r="15" spans="1:6" x14ac:dyDescent="0.2">
      <c r="D15" t="s">
        <v>156</v>
      </c>
      <c r="E15">
        <v>45</v>
      </c>
      <c r="F15" s="40" t="s">
        <v>119</v>
      </c>
    </row>
    <row r="16" spans="1:6" x14ac:dyDescent="0.2">
      <c r="D16" t="s">
        <v>155</v>
      </c>
      <c r="E16">
        <v>50</v>
      </c>
      <c r="F16" s="40" t="s">
        <v>119</v>
      </c>
    </row>
    <row r="17" spans="1:10" x14ac:dyDescent="0.2">
      <c r="D17" t="s">
        <v>154</v>
      </c>
      <c r="E17">
        <v>55</v>
      </c>
      <c r="F17" s="40" t="s">
        <v>119</v>
      </c>
    </row>
    <row r="18" spans="1:10" x14ac:dyDescent="0.2">
      <c r="E18" s="2"/>
    </row>
    <row r="19" spans="1:10" x14ac:dyDescent="0.2">
      <c r="A19" s="11"/>
      <c r="E19" s="2"/>
    </row>
    <row r="20" spans="1:10" x14ac:dyDescent="0.2">
      <c r="E20" s="2" t="s">
        <v>0</v>
      </c>
      <c r="F20">
        <f>CLMIN_Threshold/('Design Calculator'!F17*1.01)</f>
        <v>2.1216407355021216</v>
      </c>
    </row>
    <row r="21" spans="1:10" x14ac:dyDescent="0.2">
      <c r="E21" s="17" t="s">
        <v>157</v>
      </c>
      <c r="F21" s="16" t="str">
        <f>IF(Rs&gt;RsMAX,10,"NA")</f>
        <v>NA</v>
      </c>
    </row>
    <row r="22" spans="1:10" x14ac:dyDescent="0.2">
      <c r="E22" s="17" t="s">
        <v>158</v>
      </c>
      <c r="F22" t="str">
        <f>IF(Rs&gt;RsMAX,(((IOUTMAX*Rs)/CLMIN_Threshold)-1)*F21,"NA")</f>
        <v>NA</v>
      </c>
    </row>
    <row r="23" spans="1:10" x14ac:dyDescent="0.2">
      <c r="E23" s="17" t="s">
        <v>159</v>
      </c>
      <c r="F23">
        <f>IF(RsMAX&gt;Rs,Rs,IF('Design Calculator'!F21="Yes",IF(Rs&gt;RsMAX,Rs/(1+RDIV2/RDIV1),Rs),Rs))</f>
        <v>2</v>
      </c>
      <c r="H23" s="47"/>
    </row>
    <row r="24" spans="1:10" x14ac:dyDescent="0.2">
      <c r="E24" s="2" t="s">
        <v>1</v>
      </c>
      <c r="F24" s="4">
        <f>CLMIN_Threshold/RsEFF</f>
        <v>22.5</v>
      </c>
      <c r="G24" s="4"/>
    </row>
    <row r="25" spans="1:10" x14ac:dyDescent="0.2">
      <c r="E25" s="2" t="s">
        <v>2</v>
      </c>
      <c r="F25">
        <f>CLNOM_Threshold/RsEFF</f>
        <v>25</v>
      </c>
    </row>
    <row r="26" spans="1:10" x14ac:dyDescent="0.2">
      <c r="E26" s="2" t="s">
        <v>3</v>
      </c>
      <c r="F26">
        <f>CLMAX_Threshold/RsEFF</f>
        <v>27.5</v>
      </c>
    </row>
    <row r="27" spans="1:10" x14ac:dyDescent="0.2">
      <c r="E27" s="2" t="s">
        <v>4</v>
      </c>
      <c r="F27">
        <f>F26^2*'Design Calculator'!F22</f>
        <v>1512.5</v>
      </c>
      <c r="J27" s="16" t="s">
        <v>366</v>
      </c>
    </row>
    <row r="28" spans="1:10" x14ac:dyDescent="0.2">
      <c r="J28" s="16"/>
    </row>
    <row r="29" spans="1:10" x14ac:dyDescent="0.2">
      <c r="J29" s="16" t="s">
        <v>367</v>
      </c>
    </row>
    <row r="30" spans="1:10" x14ac:dyDescent="0.2">
      <c r="E30" s="2"/>
      <c r="J30" s="16"/>
    </row>
    <row r="31" spans="1:10" x14ac:dyDescent="0.2">
      <c r="A31" s="11" t="s">
        <v>103</v>
      </c>
      <c r="J31" s="16" t="s">
        <v>368</v>
      </c>
    </row>
    <row r="32" spans="1:10" x14ac:dyDescent="0.2">
      <c r="A32" s="16"/>
      <c r="F32" s="16" t="s">
        <v>104</v>
      </c>
      <c r="H32" s="16" t="s">
        <v>105</v>
      </c>
      <c r="J32" s="16"/>
    </row>
    <row r="33" spans="1:10" x14ac:dyDescent="0.2">
      <c r="A33" s="16"/>
      <c r="E33" s="25" t="s">
        <v>79</v>
      </c>
      <c r="F33" s="26">
        <f>VINMAX*'Design Calculator'!F37</f>
        <v>5400</v>
      </c>
      <c r="G33" s="16" t="s">
        <v>51</v>
      </c>
      <c r="H33">
        <f>F33*(TJMAX-TJ)/(TJMAX-25)</f>
        <v>2812.6871999999998</v>
      </c>
      <c r="J33" s="16" t="s">
        <v>370</v>
      </c>
    </row>
    <row r="34" spans="1:10" x14ac:dyDescent="0.2">
      <c r="A34" s="16"/>
      <c r="E34" s="25" t="s">
        <v>80</v>
      </c>
      <c r="F34" s="26">
        <f>VINMAX*'Design Calculator'!F38</f>
        <v>540</v>
      </c>
      <c r="G34" s="16" t="s">
        <v>51</v>
      </c>
      <c r="H34">
        <f>F34*(TJMAX-TJ)/(TJMAX-25)</f>
        <v>281.26871999999997</v>
      </c>
      <c r="J34" s="16"/>
    </row>
    <row r="35" spans="1:10" x14ac:dyDescent="0.2">
      <c r="A35" s="16"/>
      <c r="E35" s="25" t="s">
        <v>81</v>
      </c>
      <c r="F35" s="26">
        <f>VINMAX*'Design Calculator'!F39</f>
        <v>108</v>
      </c>
      <c r="G35" s="16" t="s">
        <v>51</v>
      </c>
      <c r="H35">
        <f>F35*(TJMAX-TJ)/(TJMAX-25)</f>
        <v>56.25374399999999</v>
      </c>
    </row>
    <row r="36" spans="1:10" x14ac:dyDescent="0.2">
      <c r="A36" s="16"/>
      <c r="E36" s="25" t="s">
        <v>82</v>
      </c>
      <c r="F36" s="26">
        <f>VINMAX*'Design Calculator'!F40</f>
        <v>48.6</v>
      </c>
      <c r="G36" s="34" t="s">
        <v>51</v>
      </c>
      <c r="H36">
        <f>F36*(TJMAX-TJ)/(TJMAX-25)</f>
        <v>25.3141848</v>
      </c>
      <c r="J36" s="16"/>
    </row>
    <row r="37" spans="1:10" x14ac:dyDescent="0.2">
      <c r="A37" s="16"/>
      <c r="E37" s="36"/>
      <c r="F37" s="35"/>
      <c r="G37" s="34"/>
    </row>
    <row r="38" spans="1:10" x14ac:dyDescent="0.2">
      <c r="A38" s="16"/>
      <c r="E38" s="36" t="s">
        <v>120</v>
      </c>
      <c r="F38" s="35">
        <f>MAX(VINMAX*5/RsEFF,0.4*10*CLNOM)</f>
        <v>135</v>
      </c>
      <c r="G38" s="34" t="s">
        <v>51</v>
      </c>
      <c r="J38" s="16"/>
    </row>
    <row r="39" spans="1:10" x14ac:dyDescent="0.2">
      <c r="A39" s="16"/>
      <c r="E39" s="36" t="s">
        <v>183</v>
      </c>
      <c r="F39" s="35">
        <f>'Design Calculator'!F45</f>
        <v>250</v>
      </c>
      <c r="G39" s="34" t="s">
        <v>51</v>
      </c>
    </row>
    <row r="40" spans="1:10" x14ac:dyDescent="0.2">
      <c r="A40" s="16"/>
      <c r="E40" s="78" t="s">
        <v>365</v>
      </c>
      <c r="F40" s="80">
        <f>F39/CLNOM/10</f>
        <v>1</v>
      </c>
      <c r="G40" s="34" t="s">
        <v>50</v>
      </c>
    </row>
    <row r="41" spans="1:10" x14ac:dyDescent="0.2">
      <c r="A41" s="16"/>
      <c r="E41" s="78" t="s">
        <v>15</v>
      </c>
      <c r="F41" s="80">
        <f>'Design Calculator'!F46</f>
        <v>30</v>
      </c>
      <c r="G41" s="16" t="s">
        <v>184</v>
      </c>
    </row>
    <row r="42" spans="1:10" x14ac:dyDescent="0.2">
      <c r="A42" s="16"/>
      <c r="E42" s="78" t="s">
        <v>369</v>
      </c>
      <c r="F42" s="6">
        <f>F40/4</f>
        <v>0.25</v>
      </c>
    </row>
    <row r="43" spans="1:10" x14ac:dyDescent="0.2">
      <c r="A43" s="16"/>
      <c r="E43" s="78" t="s">
        <v>16</v>
      </c>
      <c r="F43" s="6">
        <f>F41*F42/(1-F42)</f>
        <v>10</v>
      </c>
      <c r="G43" s="16" t="s">
        <v>184</v>
      </c>
    </row>
    <row r="44" spans="1:10" x14ac:dyDescent="0.2">
      <c r="A44" s="16"/>
      <c r="E44" s="78" t="s">
        <v>371</v>
      </c>
      <c r="F44" s="35">
        <f>'Design Calculator'!F48</f>
        <v>10</v>
      </c>
    </row>
    <row r="45" spans="1:10" x14ac:dyDescent="0.2">
      <c r="A45" s="16"/>
      <c r="E45" s="78"/>
      <c r="F45" s="35"/>
    </row>
    <row r="46" spans="1:10" x14ac:dyDescent="0.2">
      <c r="E46" s="36" t="s">
        <v>372</v>
      </c>
      <c r="F46" s="155">
        <f>4*F44/(F44+F41)</f>
        <v>1</v>
      </c>
      <c r="G46" s="34" t="s">
        <v>50</v>
      </c>
    </row>
    <row r="47" spans="1:10" x14ac:dyDescent="0.2">
      <c r="E47" s="36" t="s">
        <v>180</v>
      </c>
      <c r="F47" s="155">
        <f>F46*10*CLNOM</f>
        <v>250</v>
      </c>
      <c r="G47" s="34"/>
    </row>
    <row r="48" spans="1:10" x14ac:dyDescent="0.2">
      <c r="E48" s="36"/>
      <c r="F48" s="153"/>
      <c r="G48" s="34"/>
    </row>
    <row r="49" spans="1:12" x14ac:dyDescent="0.2">
      <c r="E49" s="2"/>
      <c r="F49" s="1"/>
      <c r="H49" s="2"/>
      <c r="I49" s="1"/>
      <c r="K49" s="2"/>
      <c r="L49" s="1"/>
    </row>
    <row r="50" spans="1:12" x14ac:dyDescent="0.2">
      <c r="E50" s="2"/>
      <c r="F50" s="1"/>
      <c r="H50" s="2"/>
      <c r="I50" s="1"/>
      <c r="K50" s="2"/>
      <c r="L50" s="1"/>
    </row>
    <row r="51" spans="1:12" x14ac:dyDescent="0.2">
      <c r="A51" s="11" t="s">
        <v>102</v>
      </c>
    </row>
    <row r="52" spans="1:12" x14ac:dyDescent="0.2">
      <c r="A52" s="11"/>
      <c r="D52" s="295" t="s">
        <v>223</v>
      </c>
      <c r="E52" s="296"/>
      <c r="F52" s="296"/>
      <c r="G52" s="296"/>
    </row>
    <row r="53" spans="1:12" x14ac:dyDescent="0.2">
      <c r="A53" s="11"/>
      <c r="E53" s="17" t="s">
        <v>203</v>
      </c>
      <c r="F53" s="4">
        <f>Start_up!M2</f>
        <v>61.363636363636459</v>
      </c>
      <c r="G53" s="16" t="s">
        <v>5</v>
      </c>
    </row>
    <row r="54" spans="1:12" x14ac:dyDescent="0.2">
      <c r="A54" s="11"/>
      <c r="E54" s="17" t="s">
        <v>204</v>
      </c>
      <c r="F54" s="4">
        <f>'Device Parmaters'!D17</f>
        <v>0.75</v>
      </c>
    </row>
    <row r="55" spans="1:12" x14ac:dyDescent="0.2">
      <c r="A55" s="11"/>
      <c r="E55" s="17" t="s">
        <v>205</v>
      </c>
      <c r="F55">
        <f>F53*(1+F54)</f>
        <v>107.3863636363638</v>
      </c>
      <c r="G55" s="16" t="s">
        <v>5</v>
      </c>
    </row>
    <row r="56" spans="1:12" x14ac:dyDescent="0.2">
      <c r="A56" s="11"/>
      <c r="E56" s="17" t="s">
        <v>206</v>
      </c>
      <c r="F56">
        <f>'Device Parmaters'!D15/'Device Parmaters'!D12*F55</f>
        <v>671.16477272727377</v>
      </c>
      <c r="G56" s="16" t="s">
        <v>69</v>
      </c>
    </row>
    <row r="57" spans="1:12" x14ac:dyDescent="0.2">
      <c r="A57" s="11"/>
      <c r="E57" s="17" t="s">
        <v>207</v>
      </c>
      <c r="F57" s="4">
        <f>'Design Calculator'!F58</f>
        <v>33</v>
      </c>
      <c r="G57" s="16" t="s">
        <v>69</v>
      </c>
    </row>
    <row r="58" spans="1:12" x14ac:dyDescent="0.2">
      <c r="A58" s="11"/>
      <c r="E58" s="17" t="s">
        <v>210</v>
      </c>
      <c r="F58">
        <f>'Device Parmaters'!D12/'Device Parmaters'!D15*F57</f>
        <v>5.28</v>
      </c>
      <c r="G58" s="16" t="s">
        <v>5</v>
      </c>
    </row>
    <row r="59" spans="1:12" x14ac:dyDescent="0.2">
      <c r="A59" s="11"/>
      <c r="E59" s="17" t="s">
        <v>218</v>
      </c>
      <c r="F59">
        <f>SOA!C26/Equations!F47</f>
        <v>2.343906</v>
      </c>
      <c r="G59" s="16"/>
    </row>
    <row r="60" spans="1:12" x14ac:dyDescent="0.2">
      <c r="A60" s="11"/>
      <c r="E60" s="17"/>
      <c r="G60" s="16"/>
    </row>
    <row r="61" spans="1:12" x14ac:dyDescent="0.2">
      <c r="A61" s="11"/>
      <c r="D61" s="295" t="s">
        <v>228</v>
      </c>
      <c r="E61" s="296"/>
      <c r="F61" s="296"/>
      <c r="G61" s="296"/>
    </row>
    <row r="62" spans="1:12" x14ac:dyDescent="0.2">
      <c r="A62" s="11"/>
      <c r="C62" s="16"/>
      <c r="D62" s="76"/>
      <c r="E62" s="17" t="s">
        <v>224</v>
      </c>
      <c r="F62" s="69">
        <f>'Design Calculator'!F64</f>
        <v>1</v>
      </c>
      <c r="G62" s="60" t="s">
        <v>225</v>
      </c>
    </row>
    <row r="63" spans="1:12" x14ac:dyDescent="0.2">
      <c r="A63" s="11"/>
      <c r="C63" s="16"/>
      <c r="D63" s="76"/>
      <c r="E63" s="17" t="s">
        <v>249</v>
      </c>
      <c r="F63" s="70">
        <f>'Device Parmaters'!D20/ss_rate</f>
        <v>22</v>
      </c>
      <c r="G63" s="16" t="s">
        <v>69</v>
      </c>
    </row>
    <row r="64" spans="1:12" x14ac:dyDescent="0.2">
      <c r="A64" s="11"/>
      <c r="C64" s="16"/>
      <c r="D64" s="76"/>
      <c r="E64" s="17" t="s">
        <v>250</v>
      </c>
      <c r="F64" s="69">
        <f>'Design Calculator'!F66</f>
        <v>25</v>
      </c>
      <c r="G64" s="16" t="s">
        <v>69</v>
      </c>
    </row>
    <row r="65" spans="1:8" x14ac:dyDescent="0.2">
      <c r="A65" s="11"/>
      <c r="C65" s="16"/>
      <c r="D65" s="76"/>
      <c r="E65" s="17" t="s">
        <v>251</v>
      </c>
      <c r="F65" s="70">
        <f>ss_rate*F63/F64</f>
        <v>0.88</v>
      </c>
      <c r="G65" s="16" t="s">
        <v>225</v>
      </c>
    </row>
    <row r="66" spans="1:8" x14ac:dyDescent="0.2">
      <c r="A66" s="11"/>
      <c r="C66" s="16"/>
      <c r="D66" s="76"/>
      <c r="E66" s="17" t="s">
        <v>226</v>
      </c>
      <c r="F66" s="69">
        <f>COUTMAX*F65/1000</f>
        <v>1.76</v>
      </c>
      <c r="G66" s="60" t="s">
        <v>17</v>
      </c>
    </row>
    <row r="67" spans="1:8" x14ac:dyDescent="0.2">
      <c r="A67" s="11"/>
      <c r="C67" s="16"/>
      <c r="D67" s="76"/>
      <c r="E67" s="17" t="s">
        <v>242</v>
      </c>
      <c r="F67" s="69">
        <f>VINMAX/F65</f>
        <v>61.363636363636367</v>
      </c>
      <c r="G67" s="60" t="s">
        <v>5</v>
      </c>
    </row>
    <row r="68" spans="1:8" x14ac:dyDescent="0.2">
      <c r="A68" s="11"/>
      <c r="C68" s="16"/>
      <c r="D68" s="76"/>
      <c r="E68" s="17" t="s">
        <v>243</v>
      </c>
      <c r="F68" s="69">
        <f>Start_up!N5</f>
        <v>3.8805818988703606</v>
      </c>
      <c r="G68" s="69" t="s">
        <v>232</v>
      </c>
    </row>
    <row r="69" spans="1:8" x14ac:dyDescent="0.2">
      <c r="A69" s="11"/>
      <c r="C69" s="16"/>
      <c r="D69" s="76"/>
      <c r="E69" s="17" t="s">
        <v>244</v>
      </c>
      <c r="F69" s="69">
        <f>Start_up!Q4</f>
        <v>114.64615384615384</v>
      </c>
      <c r="G69" s="69" t="s">
        <v>51</v>
      </c>
    </row>
    <row r="70" spans="1:8" x14ac:dyDescent="0.2">
      <c r="A70" s="11"/>
      <c r="D70" s="75"/>
      <c r="E70" s="17" t="s">
        <v>245</v>
      </c>
      <c r="F70" s="69">
        <f>F68/F69*1000</f>
        <v>33.848339160839167</v>
      </c>
      <c r="G70" s="69" t="s">
        <v>5</v>
      </c>
    </row>
    <row r="71" spans="1:8" x14ac:dyDescent="0.2">
      <c r="A71" s="11"/>
      <c r="E71" s="17" t="s">
        <v>246</v>
      </c>
      <c r="F71" s="16">
        <f>SOA!H28</f>
        <v>44.720217020768509</v>
      </c>
      <c r="G71" s="69" t="s">
        <v>51</v>
      </c>
    </row>
    <row r="72" spans="1:8" x14ac:dyDescent="0.2">
      <c r="A72" s="11"/>
      <c r="E72" s="17" t="s">
        <v>247</v>
      </c>
      <c r="F72" s="16">
        <f>F71/F69</f>
        <v>0.39007167288646716</v>
      </c>
      <c r="G72" s="16"/>
    </row>
    <row r="73" spans="1:8" x14ac:dyDescent="0.2">
      <c r="A73" s="11"/>
      <c r="E73" s="17"/>
      <c r="F73" s="16"/>
      <c r="G73" s="16"/>
    </row>
    <row r="74" spans="1:8" x14ac:dyDescent="0.2">
      <c r="A74" s="11"/>
      <c r="E74" s="17"/>
      <c r="F74" s="16">
        <v>1</v>
      </c>
      <c r="G74" s="69" t="s">
        <v>5</v>
      </c>
    </row>
    <row r="75" spans="1:8" x14ac:dyDescent="0.2">
      <c r="A75" s="11"/>
      <c r="D75" s="297" t="s">
        <v>256</v>
      </c>
      <c r="E75" s="297"/>
      <c r="F75" s="297"/>
      <c r="G75" s="297"/>
      <c r="H75" s="297"/>
    </row>
    <row r="76" spans="1:8" x14ac:dyDescent="0.2">
      <c r="A76" s="11"/>
      <c r="E76" s="17" t="s">
        <v>252</v>
      </c>
      <c r="F76" s="79">
        <f>'Design Calculator'!F69</f>
        <v>0.4</v>
      </c>
      <c r="G76" s="16"/>
    </row>
    <row r="77" spans="1:8" x14ac:dyDescent="0.2">
      <c r="A77" s="11"/>
      <c r="E77" s="17" t="s">
        <v>253</v>
      </c>
      <c r="F77" s="16">
        <f>'Device Parmaters'!D15/'Device Parmaters'!D12*F76</f>
        <v>2.5</v>
      </c>
      <c r="G77" s="16" t="s">
        <v>69</v>
      </c>
    </row>
    <row r="78" spans="1:8" x14ac:dyDescent="0.2">
      <c r="A78" s="11"/>
      <c r="E78" s="78" t="s">
        <v>254</v>
      </c>
      <c r="F78" s="79">
        <f>'Design Calculator'!F71</f>
        <v>3</v>
      </c>
      <c r="G78" s="16" t="s">
        <v>69</v>
      </c>
    </row>
    <row r="79" spans="1:8" x14ac:dyDescent="0.2">
      <c r="A79" s="11"/>
      <c r="E79" s="77" t="s">
        <v>258</v>
      </c>
      <c r="F79" s="16">
        <f>'Device Parmaters'!D12/'Device Parmaters'!D15*F78</f>
        <v>0.48</v>
      </c>
      <c r="G79" s="16" t="s">
        <v>5</v>
      </c>
    </row>
    <row r="80" spans="1:8" x14ac:dyDescent="0.2">
      <c r="A80" s="11"/>
      <c r="E80" s="78" t="s">
        <v>257</v>
      </c>
      <c r="F80" s="16">
        <f>SOA!C26</f>
        <v>585.97649999999999</v>
      </c>
      <c r="G80" s="16" t="s">
        <v>51</v>
      </c>
    </row>
    <row r="81" spans="1:13" x14ac:dyDescent="0.2">
      <c r="A81" s="11"/>
      <c r="E81" s="77" t="s">
        <v>247</v>
      </c>
      <c r="F81" s="16">
        <f>F80/F47</f>
        <v>2.343906</v>
      </c>
      <c r="G81" s="16"/>
    </row>
    <row r="82" spans="1:13" x14ac:dyDescent="0.2">
      <c r="A82" s="11"/>
      <c r="E82" s="17"/>
      <c r="F82" s="16"/>
      <c r="G82" s="16"/>
    </row>
    <row r="83" spans="1:13" x14ac:dyDescent="0.2">
      <c r="E83" s="2"/>
      <c r="J83" s="7"/>
      <c r="M83" s="7"/>
    </row>
    <row r="84" spans="1:13" x14ac:dyDescent="0.2">
      <c r="E84" s="17"/>
      <c r="J84" s="7"/>
      <c r="M84" s="7"/>
    </row>
    <row r="85" spans="1:13" x14ac:dyDescent="0.2">
      <c r="E85" s="11" t="s">
        <v>375</v>
      </c>
      <c r="J85" s="16" t="s">
        <v>384</v>
      </c>
    </row>
    <row r="86" spans="1:13" x14ac:dyDescent="0.2">
      <c r="E86" s="17" t="s">
        <v>382</v>
      </c>
      <c r="F86">
        <f>'Design Calculator'!F74</f>
        <v>12</v>
      </c>
      <c r="G86" s="16" t="s">
        <v>50</v>
      </c>
    </row>
    <row r="87" spans="1:13" x14ac:dyDescent="0.2">
      <c r="E87" s="17" t="s">
        <v>379</v>
      </c>
      <c r="F87">
        <f>'Design Calculator'!F75</f>
        <v>10</v>
      </c>
      <c r="G87" s="16" t="s">
        <v>184</v>
      </c>
      <c r="J87" s="16" t="s">
        <v>385</v>
      </c>
    </row>
    <row r="88" spans="1:13" x14ac:dyDescent="0.2">
      <c r="E88" s="17" t="s">
        <v>380</v>
      </c>
      <c r="F88">
        <f>'Design Calculator'!F76</f>
        <v>21.5</v>
      </c>
      <c r="G88" s="16" t="s">
        <v>184</v>
      </c>
    </row>
    <row r="89" spans="1:13" x14ac:dyDescent="0.2">
      <c r="E89" s="17" t="s">
        <v>381</v>
      </c>
      <c r="F89" s="156">
        <f>F88*(-1+F86/'Device Parmaters'!D23)</f>
        <v>169.61111111111109</v>
      </c>
      <c r="G89" s="16" t="s">
        <v>184</v>
      </c>
      <c r="J89" s="16" t="s">
        <v>386</v>
      </c>
    </row>
    <row r="90" spans="1:13" x14ac:dyDescent="0.2">
      <c r="E90" s="17" t="s">
        <v>383</v>
      </c>
      <c r="F90">
        <f>'Design Calculator'!F78</f>
        <v>122</v>
      </c>
      <c r="G90" s="16" t="s">
        <v>184</v>
      </c>
    </row>
    <row r="91" spans="1:13" x14ac:dyDescent="0.2">
      <c r="E91" s="2"/>
      <c r="F91" s="9"/>
      <c r="G91" s="9"/>
    </row>
    <row r="92" spans="1:13" x14ac:dyDescent="0.2">
      <c r="E92" s="2"/>
      <c r="F92" s="9"/>
      <c r="G92" s="9"/>
    </row>
    <row r="93" spans="1:13" ht="13.5" thickBot="1" x14ac:dyDescent="0.25">
      <c r="D93" s="43" t="s">
        <v>21</v>
      </c>
      <c r="E93" s="44" t="s">
        <v>18</v>
      </c>
      <c r="F93" s="44" t="s">
        <v>19</v>
      </c>
      <c r="G93" s="44" t="s">
        <v>20</v>
      </c>
    </row>
    <row r="94" spans="1:13" ht="13.5" thickBot="1" x14ac:dyDescent="0.25">
      <c r="D94" s="18" t="s">
        <v>55</v>
      </c>
      <c r="E94" s="24">
        <f>($F$90+$F$88)/$F$88*'Device Parmaters'!C23</f>
        <v>8.8102325581395355</v>
      </c>
      <c r="F94" s="24">
        <f>($F$90+$F$88)/$F$88*'Device Parmaters'!D23</f>
        <v>9.0104651162790717</v>
      </c>
      <c r="G94" s="24">
        <f>($F$90+$F$88)/$F$88*'Device Parmaters'!E23</f>
        <v>9.2106976744186042</v>
      </c>
    </row>
    <row r="95" spans="1:13" x14ac:dyDescent="0.2">
      <c r="D95" s="18" t="s">
        <v>56</v>
      </c>
      <c r="E95" s="24">
        <f>($F$90+$F$88)/$F$88*'Device Parmaters'!C24</f>
        <v>8.1427906976744193</v>
      </c>
      <c r="F95" s="24">
        <f>($F$90+$F$88)/$F$88*'Device Parmaters'!D24</f>
        <v>8.3430232558139537</v>
      </c>
      <c r="G95" s="24">
        <f>($F$90+$F$88)/$F$88*'Device Parmaters'!E24</f>
        <v>8.5432558139534898</v>
      </c>
    </row>
    <row r="96" spans="1:13" x14ac:dyDescent="0.2">
      <c r="E96" s="3"/>
      <c r="F96" s="9"/>
      <c r="G96" s="9"/>
    </row>
    <row r="104" spans="5:7" x14ac:dyDescent="0.2">
      <c r="E104" s="17"/>
      <c r="F104" s="16"/>
      <c r="G104" s="16"/>
    </row>
    <row r="105" spans="5:7" x14ac:dyDescent="0.2">
      <c r="E105" s="17"/>
      <c r="F105" s="16"/>
      <c r="G105" s="16"/>
    </row>
    <row r="106" spans="5:7" x14ac:dyDescent="0.2">
      <c r="E106" s="17"/>
      <c r="G106" s="16"/>
    </row>
    <row r="127" spans="3:6" x14ac:dyDescent="0.2">
      <c r="C127" s="11" t="s">
        <v>23</v>
      </c>
    </row>
    <row r="128" spans="3:6" x14ac:dyDescent="0.2">
      <c r="E128" s="2" t="s">
        <v>24</v>
      </c>
      <c r="F128" s="1">
        <f>'Design Calculator'!F22</f>
        <v>2</v>
      </c>
    </row>
    <row r="129" spans="4:18" x14ac:dyDescent="0.2">
      <c r="E129" s="2" t="s">
        <v>25</v>
      </c>
      <c r="F129" s="1">
        <f>'Design Calculator'!F16</f>
        <v>54</v>
      </c>
    </row>
    <row r="131" spans="4:18" x14ac:dyDescent="0.2">
      <c r="E131" s="2" t="s">
        <v>26</v>
      </c>
      <c r="F131" s="9">
        <f>F24</f>
        <v>22.5</v>
      </c>
    </row>
    <row r="132" spans="4:18" x14ac:dyDescent="0.2">
      <c r="E132" s="2" t="s">
        <v>27</v>
      </c>
      <c r="F132" s="9">
        <f>F25</f>
        <v>25</v>
      </c>
    </row>
    <row r="133" spans="4:18" x14ac:dyDescent="0.2">
      <c r="E133" s="2" t="s">
        <v>28</v>
      </c>
      <c r="F133" s="9">
        <f>F26</f>
        <v>27.5</v>
      </c>
    </row>
    <row r="135" spans="4:18" x14ac:dyDescent="0.2">
      <c r="E135" s="2" t="s">
        <v>29</v>
      </c>
      <c r="F135" s="6">
        <f>'Design Calculator'!F49</f>
        <v>250</v>
      </c>
    </row>
    <row r="136" spans="4:18" x14ac:dyDescent="0.2">
      <c r="E136" s="2"/>
      <c r="F136" s="6"/>
    </row>
    <row r="138" spans="4:18" x14ac:dyDescent="0.2">
      <c r="E138" s="2"/>
      <c r="F138" s="6"/>
    </row>
    <row r="143" spans="4:18" x14ac:dyDescent="0.2">
      <c r="D143" t="s">
        <v>30</v>
      </c>
      <c r="E143" s="2"/>
      <c r="I143" t="s">
        <v>31</v>
      </c>
      <c r="N143" t="s">
        <v>46</v>
      </c>
      <c r="R143" s="16" t="s">
        <v>52</v>
      </c>
    </row>
    <row r="144" spans="4:18" x14ac:dyDescent="0.2">
      <c r="D144" t="s">
        <v>32</v>
      </c>
      <c r="I144" t="s">
        <v>33</v>
      </c>
      <c r="N144" t="s">
        <v>38</v>
      </c>
      <c r="R144" s="16" t="s">
        <v>53</v>
      </c>
    </row>
    <row r="145" spans="2:25" x14ac:dyDescent="0.2">
      <c r="B145" s="16" t="s">
        <v>95</v>
      </c>
      <c r="D145" s="5" t="s">
        <v>34</v>
      </c>
      <c r="E145" s="5" t="s">
        <v>35</v>
      </c>
      <c r="F145" s="62" t="s">
        <v>36</v>
      </c>
      <c r="G145" s="5" t="s">
        <v>37</v>
      </c>
      <c r="I145" s="5" t="s">
        <v>34</v>
      </c>
      <c r="J145" s="5" t="s">
        <v>35</v>
      </c>
      <c r="K145" s="5" t="s">
        <v>36</v>
      </c>
      <c r="L145" s="5" t="s">
        <v>37</v>
      </c>
      <c r="N145" t="s">
        <v>39</v>
      </c>
      <c r="R145" s="5" t="s">
        <v>34</v>
      </c>
      <c r="S145" s="10" t="s">
        <v>35</v>
      </c>
      <c r="T145" s="10" t="s">
        <v>36</v>
      </c>
      <c r="U145" s="10" t="s">
        <v>37</v>
      </c>
      <c r="V145" s="71" t="s">
        <v>45</v>
      </c>
      <c r="X145" s="72" t="s">
        <v>216</v>
      </c>
    </row>
    <row r="146" spans="2:25" x14ac:dyDescent="0.2">
      <c r="B146">
        <f>D146*F146</f>
        <v>250</v>
      </c>
      <c r="C146" s="5">
        <v>0.1</v>
      </c>
      <c r="D146" s="5">
        <f>C146/12*$F$129</f>
        <v>0.45</v>
      </c>
      <c r="E146" s="12">
        <f>(1-$F$169)*F146</f>
        <v>416.66666666666663</v>
      </c>
      <c r="F146" s="12">
        <f>($F$135)/D146</f>
        <v>555.55555555555554</v>
      </c>
      <c r="G146" s="12">
        <f>F146*(1+$F$169)</f>
        <v>694.44444444444446</v>
      </c>
      <c r="I146" s="5">
        <f>D146</f>
        <v>0.45</v>
      </c>
      <c r="J146" s="12">
        <f t="shared" ref="J146:J162" si="0">IF(E146&gt;$F$131,$F$131,E146)</f>
        <v>22.5</v>
      </c>
      <c r="K146" s="12">
        <f t="shared" ref="K146:K162" si="1">IF(F146&gt;$F$132,$F$132,F146)</f>
        <v>25</v>
      </c>
      <c r="L146" s="12">
        <f t="shared" ref="L146:L162" si="2">IF(G146&gt;$F$133,$F$133,G146)</f>
        <v>27.5</v>
      </c>
      <c r="N146" t="s">
        <v>40</v>
      </c>
      <c r="R146" s="5">
        <f>I146</f>
        <v>0.45</v>
      </c>
      <c r="S146" s="12">
        <f t="shared" ref="S146:S165" si="3">IF($R146&gt;$F$129,0.0000000005,J146)</f>
        <v>22.5</v>
      </c>
      <c r="T146" s="12">
        <f t="shared" ref="T146:T165" si="4">IF($R146&gt;$F$129,0.0000000005,K146)</f>
        <v>25</v>
      </c>
      <c r="U146" s="12">
        <f t="shared" ref="U146:U165" si="5">IF($R146&gt;$F$129,0.0000000005,L146)</f>
        <v>27.5</v>
      </c>
      <c r="V146" s="12">
        <f>$X$146/R146</f>
        <v>1302.1699999999998</v>
      </c>
      <c r="X146">
        <f>SOA!C26</f>
        <v>585.97649999999999</v>
      </c>
      <c r="Y146" s="16" t="s">
        <v>51</v>
      </c>
    </row>
    <row r="147" spans="2:25" x14ac:dyDescent="0.2">
      <c r="B147">
        <f t="shared" ref="B147:B162" si="6">D147*F147</f>
        <v>250</v>
      </c>
      <c r="C147" s="5">
        <v>1</v>
      </c>
      <c r="D147" s="5">
        <f t="shared" ref="D147:D162" si="7">C147/12*$F$129</f>
        <v>4.5</v>
      </c>
      <c r="E147" s="12">
        <f t="shared" ref="E147:E162" si="8">(1-$F$169)*F147</f>
        <v>41.666666666666671</v>
      </c>
      <c r="F147" s="12">
        <f t="shared" ref="F147:F162" si="9">($F$135)/D147</f>
        <v>55.555555555555557</v>
      </c>
      <c r="G147" s="12">
        <f t="shared" ref="G147:G162" si="10">F147*(1+$F$169)</f>
        <v>69.444444444444443</v>
      </c>
      <c r="I147" s="5">
        <f t="shared" ref="I147:I162" si="11">D147</f>
        <v>4.5</v>
      </c>
      <c r="J147" s="12">
        <f t="shared" si="0"/>
        <v>22.5</v>
      </c>
      <c r="K147" s="12">
        <f t="shared" si="1"/>
        <v>25</v>
      </c>
      <c r="L147" s="12">
        <f t="shared" si="2"/>
        <v>27.5</v>
      </c>
      <c r="R147" s="5">
        <f t="shared" ref="R147:R162" si="12">I147</f>
        <v>4.5</v>
      </c>
      <c r="S147" s="12">
        <f t="shared" si="3"/>
        <v>22.5</v>
      </c>
      <c r="T147" s="12">
        <f t="shared" si="4"/>
        <v>25</v>
      </c>
      <c r="U147" s="12">
        <f t="shared" si="5"/>
        <v>27.5</v>
      </c>
      <c r="V147" s="12">
        <f t="shared" ref="V147:V165" si="13">$X$146/R147</f>
        <v>130.21699999999998</v>
      </c>
    </row>
    <row r="148" spans="2:25" x14ac:dyDescent="0.2">
      <c r="B148">
        <f t="shared" si="6"/>
        <v>250</v>
      </c>
      <c r="C148" s="5">
        <v>2</v>
      </c>
      <c r="D148" s="5">
        <f t="shared" si="7"/>
        <v>9</v>
      </c>
      <c r="E148" s="12">
        <f t="shared" si="8"/>
        <v>20.833333333333336</v>
      </c>
      <c r="F148" s="12">
        <f t="shared" si="9"/>
        <v>27.777777777777779</v>
      </c>
      <c r="G148" s="12">
        <f t="shared" si="10"/>
        <v>34.722222222222221</v>
      </c>
      <c r="I148" s="5">
        <f t="shared" si="11"/>
        <v>9</v>
      </c>
      <c r="J148" s="12">
        <f t="shared" si="0"/>
        <v>20.833333333333336</v>
      </c>
      <c r="K148" s="12">
        <f t="shared" si="1"/>
        <v>25</v>
      </c>
      <c r="L148" s="12">
        <f t="shared" si="2"/>
        <v>27.5</v>
      </c>
      <c r="O148" s="13" t="s">
        <v>41</v>
      </c>
      <c r="R148" s="5">
        <f t="shared" si="12"/>
        <v>9</v>
      </c>
      <c r="S148" s="12">
        <f t="shared" si="3"/>
        <v>20.833333333333336</v>
      </c>
      <c r="T148" s="12">
        <f t="shared" si="4"/>
        <v>25</v>
      </c>
      <c r="U148" s="12">
        <f t="shared" si="5"/>
        <v>27.5</v>
      </c>
      <c r="V148" s="12">
        <f t="shared" si="13"/>
        <v>65.108499999999992</v>
      </c>
    </row>
    <row r="149" spans="2:25" x14ac:dyDescent="0.2">
      <c r="B149">
        <f t="shared" si="6"/>
        <v>250</v>
      </c>
      <c r="C149" s="5">
        <v>3</v>
      </c>
      <c r="D149" s="5">
        <f t="shared" si="7"/>
        <v>13.5</v>
      </c>
      <c r="E149" s="12">
        <f t="shared" si="8"/>
        <v>13.888888888888889</v>
      </c>
      <c r="F149" s="12">
        <f t="shared" si="9"/>
        <v>18.518518518518519</v>
      </c>
      <c r="G149" s="12">
        <f t="shared" si="10"/>
        <v>23.148148148148149</v>
      </c>
      <c r="I149" s="5">
        <f t="shared" si="11"/>
        <v>13.5</v>
      </c>
      <c r="J149" s="12">
        <f t="shared" si="0"/>
        <v>13.888888888888889</v>
      </c>
      <c r="K149" s="12">
        <f t="shared" si="1"/>
        <v>18.518518518518519</v>
      </c>
      <c r="L149" s="12">
        <f t="shared" si="2"/>
        <v>23.148148148148149</v>
      </c>
      <c r="N149" s="8" t="s">
        <v>34</v>
      </c>
      <c r="O149" s="14" t="s">
        <v>42</v>
      </c>
      <c r="R149" s="5">
        <f t="shared" si="12"/>
        <v>13.5</v>
      </c>
      <c r="S149" s="12">
        <f t="shared" si="3"/>
        <v>13.888888888888889</v>
      </c>
      <c r="T149" s="12">
        <f t="shared" si="4"/>
        <v>18.518518518518519</v>
      </c>
      <c r="U149" s="12">
        <f t="shared" si="5"/>
        <v>23.148148148148149</v>
      </c>
      <c r="V149" s="12">
        <f t="shared" si="13"/>
        <v>43.405666666666669</v>
      </c>
    </row>
    <row r="150" spans="2:25" x14ac:dyDescent="0.2">
      <c r="B150">
        <f t="shared" si="6"/>
        <v>250</v>
      </c>
      <c r="C150" s="5">
        <v>4</v>
      </c>
      <c r="D150" s="5">
        <f t="shared" si="7"/>
        <v>18</v>
      </c>
      <c r="E150" s="12">
        <f t="shared" si="8"/>
        <v>10.416666666666668</v>
      </c>
      <c r="F150" s="12">
        <f t="shared" si="9"/>
        <v>13.888888888888889</v>
      </c>
      <c r="G150" s="12">
        <f t="shared" si="10"/>
        <v>17.361111111111111</v>
      </c>
      <c r="I150" s="5">
        <f t="shared" si="11"/>
        <v>18</v>
      </c>
      <c r="J150" s="12">
        <f t="shared" si="0"/>
        <v>10.416666666666668</v>
      </c>
      <c r="K150" s="12">
        <f t="shared" si="1"/>
        <v>13.888888888888889</v>
      </c>
      <c r="L150" s="12">
        <f t="shared" si="2"/>
        <v>17.361111111111111</v>
      </c>
      <c r="N150" s="5">
        <f>I146</f>
        <v>0.45</v>
      </c>
      <c r="O150" s="5">
        <f>SOA!C39</f>
        <v>585.97649999999999</v>
      </c>
      <c r="P150" t="s">
        <v>43</v>
      </c>
      <c r="R150" s="5">
        <f t="shared" si="12"/>
        <v>18</v>
      </c>
      <c r="S150" s="12">
        <f t="shared" si="3"/>
        <v>10.416666666666668</v>
      </c>
      <c r="T150" s="12">
        <f t="shared" si="4"/>
        <v>13.888888888888889</v>
      </c>
      <c r="U150" s="12">
        <f t="shared" si="5"/>
        <v>17.361111111111111</v>
      </c>
      <c r="V150" s="12">
        <f t="shared" si="13"/>
        <v>32.554249999999996</v>
      </c>
    </row>
    <row r="151" spans="2:25" x14ac:dyDescent="0.2">
      <c r="B151">
        <f t="shared" si="6"/>
        <v>250</v>
      </c>
      <c r="C151" s="5">
        <v>5</v>
      </c>
      <c r="D151" s="5">
        <f t="shared" si="7"/>
        <v>22.5</v>
      </c>
      <c r="E151" s="12">
        <f t="shared" si="8"/>
        <v>8.3333333333333321</v>
      </c>
      <c r="F151" s="12">
        <f t="shared" si="9"/>
        <v>11.111111111111111</v>
      </c>
      <c r="G151" s="12">
        <f t="shared" si="10"/>
        <v>13.888888888888889</v>
      </c>
      <c r="I151" s="5">
        <f t="shared" si="11"/>
        <v>22.5</v>
      </c>
      <c r="J151" s="12">
        <f t="shared" si="0"/>
        <v>8.3333333333333321</v>
      </c>
      <c r="K151" s="12">
        <f t="shared" si="1"/>
        <v>11.111111111111111</v>
      </c>
      <c r="L151" s="12">
        <f t="shared" si="2"/>
        <v>13.888888888888889</v>
      </c>
      <c r="N151" s="5">
        <f t="shared" ref="N151:N166" si="14">I147</f>
        <v>4.5</v>
      </c>
      <c r="O151" s="12">
        <f>O154+((O150-O154)*3/7)</f>
        <v>530.16921428571425</v>
      </c>
      <c r="R151" s="5">
        <f t="shared" si="12"/>
        <v>22.5</v>
      </c>
      <c r="S151" s="12">
        <f t="shared" si="3"/>
        <v>8.3333333333333321</v>
      </c>
      <c r="T151" s="12">
        <f t="shared" si="4"/>
        <v>11.111111111111111</v>
      </c>
      <c r="U151" s="12">
        <f t="shared" si="5"/>
        <v>13.888888888888889</v>
      </c>
      <c r="V151" s="12">
        <f t="shared" si="13"/>
        <v>26.043399999999998</v>
      </c>
    </row>
    <row r="152" spans="2:25" x14ac:dyDescent="0.2">
      <c r="B152">
        <f t="shared" si="6"/>
        <v>250</v>
      </c>
      <c r="C152" s="5">
        <v>6</v>
      </c>
      <c r="D152" s="5">
        <f t="shared" si="7"/>
        <v>27</v>
      </c>
      <c r="E152" s="12">
        <f t="shared" si="8"/>
        <v>6.9444444444444446</v>
      </c>
      <c r="F152" s="12">
        <f t="shared" si="9"/>
        <v>9.2592592592592595</v>
      </c>
      <c r="G152" s="12">
        <f t="shared" si="10"/>
        <v>11.574074074074074</v>
      </c>
      <c r="I152" s="5">
        <f t="shared" si="11"/>
        <v>27</v>
      </c>
      <c r="J152" s="12">
        <f t="shared" si="0"/>
        <v>6.9444444444444446</v>
      </c>
      <c r="K152" s="12">
        <f t="shared" si="1"/>
        <v>9.2592592592592595</v>
      </c>
      <c r="L152" s="12">
        <f t="shared" si="2"/>
        <v>11.574074074074074</v>
      </c>
      <c r="N152" s="5">
        <f t="shared" si="14"/>
        <v>9</v>
      </c>
      <c r="O152" s="12">
        <f>O154+((O150-O154)*2/8)</f>
        <v>512.72943750000002</v>
      </c>
      <c r="R152" s="5">
        <f t="shared" si="12"/>
        <v>27</v>
      </c>
      <c r="S152" s="12">
        <f t="shared" si="3"/>
        <v>6.9444444444444446</v>
      </c>
      <c r="T152" s="12">
        <f t="shared" si="4"/>
        <v>9.2592592592592595</v>
      </c>
      <c r="U152" s="12">
        <f t="shared" si="5"/>
        <v>11.574074074074074</v>
      </c>
      <c r="V152" s="12">
        <f t="shared" si="13"/>
        <v>21.702833333333334</v>
      </c>
    </row>
    <row r="153" spans="2:25" x14ac:dyDescent="0.2">
      <c r="B153">
        <f t="shared" si="6"/>
        <v>250</v>
      </c>
      <c r="C153" s="5">
        <v>7</v>
      </c>
      <c r="D153" s="5">
        <f t="shared" si="7"/>
        <v>31.500000000000004</v>
      </c>
      <c r="E153" s="12">
        <f t="shared" si="8"/>
        <v>5.9523809523809517</v>
      </c>
      <c r="F153" s="12">
        <f t="shared" si="9"/>
        <v>7.9365079365079358</v>
      </c>
      <c r="G153" s="12">
        <f t="shared" si="10"/>
        <v>9.9206349206349191</v>
      </c>
      <c r="I153" s="5">
        <f t="shared" si="11"/>
        <v>31.500000000000004</v>
      </c>
      <c r="J153" s="12">
        <f t="shared" si="0"/>
        <v>5.9523809523809517</v>
      </c>
      <c r="K153" s="12">
        <f t="shared" si="1"/>
        <v>7.9365079365079358</v>
      </c>
      <c r="L153" s="12">
        <f t="shared" si="2"/>
        <v>9.9206349206349191</v>
      </c>
      <c r="N153" s="5">
        <f t="shared" si="14"/>
        <v>13.5</v>
      </c>
      <c r="O153" s="12">
        <f>O154+((O150-O154)*1/9)</f>
        <v>499.16516666666666</v>
      </c>
      <c r="R153" s="5">
        <f t="shared" si="12"/>
        <v>31.500000000000004</v>
      </c>
      <c r="S153" s="12">
        <f t="shared" si="3"/>
        <v>5.9523809523809517</v>
      </c>
      <c r="T153" s="12">
        <f t="shared" si="4"/>
        <v>7.9365079365079358</v>
      </c>
      <c r="U153" s="12">
        <f t="shared" si="5"/>
        <v>9.9206349206349191</v>
      </c>
      <c r="V153" s="12">
        <f t="shared" si="13"/>
        <v>18.602428571428568</v>
      </c>
    </row>
    <row r="154" spans="2:25" x14ac:dyDescent="0.2">
      <c r="B154">
        <f t="shared" si="6"/>
        <v>250</v>
      </c>
      <c r="C154" s="5">
        <v>8</v>
      </c>
      <c r="D154" s="5">
        <f t="shared" si="7"/>
        <v>36</v>
      </c>
      <c r="E154" s="12">
        <f t="shared" si="8"/>
        <v>5.2083333333333339</v>
      </c>
      <c r="F154" s="12">
        <f t="shared" si="9"/>
        <v>6.9444444444444446</v>
      </c>
      <c r="G154" s="12">
        <f t="shared" si="10"/>
        <v>8.6805555555555554</v>
      </c>
      <c r="I154" s="5">
        <f t="shared" si="11"/>
        <v>36</v>
      </c>
      <c r="J154" s="12">
        <f t="shared" si="0"/>
        <v>5.2083333333333339</v>
      </c>
      <c r="K154" s="12">
        <f t="shared" si="1"/>
        <v>6.9444444444444446</v>
      </c>
      <c r="L154" s="12">
        <f t="shared" si="2"/>
        <v>8.6805555555555554</v>
      </c>
      <c r="N154" s="5">
        <f t="shared" si="14"/>
        <v>18</v>
      </c>
      <c r="O154" s="12">
        <f>SOA!C40</f>
        <v>488.31375000000003</v>
      </c>
      <c r="P154" t="s">
        <v>44</v>
      </c>
      <c r="R154" s="5">
        <f t="shared" si="12"/>
        <v>36</v>
      </c>
      <c r="S154" s="12">
        <f t="shared" si="3"/>
        <v>5.2083333333333339</v>
      </c>
      <c r="T154" s="12">
        <f t="shared" si="4"/>
        <v>6.9444444444444446</v>
      </c>
      <c r="U154" s="12">
        <f t="shared" si="5"/>
        <v>8.6805555555555554</v>
      </c>
      <c r="V154" s="12">
        <f t="shared" si="13"/>
        <v>16.277124999999998</v>
      </c>
    </row>
    <row r="155" spans="2:25" x14ac:dyDescent="0.2">
      <c r="B155">
        <f t="shared" si="6"/>
        <v>250</v>
      </c>
      <c r="C155" s="5">
        <v>9</v>
      </c>
      <c r="D155" s="5">
        <f t="shared" si="7"/>
        <v>40.5</v>
      </c>
      <c r="E155" s="12">
        <f t="shared" si="8"/>
        <v>4.6296296296296298</v>
      </c>
      <c r="F155" s="12">
        <f t="shared" si="9"/>
        <v>6.1728395061728394</v>
      </c>
      <c r="G155" s="12">
        <f t="shared" si="10"/>
        <v>7.716049382716049</v>
      </c>
      <c r="I155" s="5">
        <f t="shared" si="11"/>
        <v>40.5</v>
      </c>
      <c r="J155" s="12">
        <f t="shared" si="0"/>
        <v>4.6296296296296298</v>
      </c>
      <c r="K155" s="12">
        <f t="shared" si="1"/>
        <v>6.1728395061728394</v>
      </c>
      <c r="L155" s="12">
        <f t="shared" si="2"/>
        <v>7.716049382716049</v>
      </c>
      <c r="N155" s="5">
        <f t="shared" si="14"/>
        <v>22.5</v>
      </c>
      <c r="O155" s="12">
        <f>O$159+((O$154-O$159)*4/6)</f>
        <v>332.05335000000002</v>
      </c>
      <c r="R155" s="5">
        <f t="shared" si="12"/>
        <v>40.5</v>
      </c>
      <c r="S155" s="12">
        <f t="shared" si="3"/>
        <v>4.6296296296296298</v>
      </c>
      <c r="T155" s="12">
        <f t="shared" si="4"/>
        <v>6.1728395061728394</v>
      </c>
      <c r="U155" s="12">
        <f t="shared" si="5"/>
        <v>7.716049382716049</v>
      </c>
      <c r="V155" s="12">
        <f t="shared" si="13"/>
        <v>14.468555555555556</v>
      </c>
    </row>
    <row r="156" spans="2:25" x14ac:dyDescent="0.2">
      <c r="B156">
        <f t="shared" si="6"/>
        <v>250</v>
      </c>
      <c r="C156" s="5">
        <v>10</v>
      </c>
      <c r="D156" s="5">
        <f t="shared" si="7"/>
        <v>45</v>
      </c>
      <c r="E156" s="12">
        <f t="shared" si="8"/>
        <v>4.1666666666666661</v>
      </c>
      <c r="F156" s="12">
        <f t="shared" si="9"/>
        <v>5.5555555555555554</v>
      </c>
      <c r="G156" s="12">
        <f t="shared" si="10"/>
        <v>6.9444444444444446</v>
      </c>
      <c r="I156" s="5">
        <f t="shared" si="11"/>
        <v>45</v>
      </c>
      <c r="J156" s="12">
        <f t="shared" si="0"/>
        <v>4.1666666666666661</v>
      </c>
      <c r="K156" s="12">
        <f t="shared" si="1"/>
        <v>5.5555555555555554</v>
      </c>
      <c r="L156" s="12">
        <f t="shared" si="2"/>
        <v>6.9444444444444446</v>
      </c>
      <c r="N156" s="5">
        <f t="shared" si="14"/>
        <v>27</v>
      </c>
      <c r="O156" s="12">
        <f>O$159+((O$154-O$159)*3/7)</f>
        <v>220.4387785714286</v>
      </c>
      <c r="R156" s="5">
        <f t="shared" si="12"/>
        <v>45</v>
      </c>
      <c r="S156" s="12">
        <f t="shared" si="3"/>
        <v>4.1666666666666661</v>
      </c>
      <c r="T156" s="12">
        <f t="shared" si="4"/>
        <v>5.5555555555555554</v>
      </c>
      <c r="U156" s="12">
        <f t="shared" si="5"/>
        <v>6.9444444444444446</v>
      </c>
      <c r="V156" s="12">
        <f t="shared" si="13"/>
        <v>13.021699999999999</v>
      </c>
    </row>
    <row r="157" spans="2:25" x14ac:dyDescent="0.2">
      <c r="B157">
        <f t="shared" si="6"/>
        <v>249.99999999999997</v>
      </c>
      <c r="C157" s="5">
        <v>11</v>
      </c>
      <c r="D157" s="5">
        <f t="shared" si="7"/>
        <v>49.5</v>
      </c>
      <c r="E157" s="12">
        <f t="shared" si="8"/>
        <v>3.7878787878787876</v>
      </c>
      <c r="F157" s="12">
        <f t="shared" si="9"/>
        <v>5.0505050505050502</v>
      </c>
      <c r="G157" s="12">
        <f t="shared" si="10"/>
        <v>6.3131313131313131</v>
      </c>
      <c r="I157" s="5">
        <f t="shared" si="11"/>
        <v>49.5</v>
      </c>
      <c r="J157" s="12">
        <f t="shared" si="0"/>
        <v>3.7878787878787876</v>
      </c>
      <c r="K157" s="12">
        <f t="shared" si="1"/>
        <v>5.0505050505050502</v>
      </c>
      <c r="L157" s="12">
        <f t="shared" si="2"/>
        <v>6.3131313131313131</v>
      </c>
      <c r="N157" s="5">
        <f t="shared" si="14"/>
        <v>31.500000000000004</v>
      </c>
      <c r="O157" s="12">
        <f>O$159+((O$154-O$159)*2/8)</f>
        <v>136.72784999999999</v>
      </c>
      <c r="R157" s="5">
        <f t="shared" si="12"/>
        <v>49.5</v>
      </c>
      <c r="S157" s="12">
        <f t="shared" si="3"/>
        <v>3.7878787878787876</v>
      </c>
      <c r="T157" s="12">
        <f t="shared" si="4"/>
        <v>5.0505050505050502</v>
      </c>
      <c r="U157" s="12">
        <f t="shared" si="5"/>
        <v>6.3131313131313131</v>
      </c>
      <c r="V157" s="12">
        <f t="shared" si="13"/>
        <v>11.83790909090909</v>
      </c>
    </row>
    <row r="158" spans="2:25" x14ac:dyDescent="0.2">
      <c r="B158">
        <f t="shared" si="6"/>
        <v>250</v>
      </c>
      <c r="C158" s="5">
        <v>12</v>
      </c>
      <c r="D158" s="5">
        <f t="shared" si="7"/>
        <v>54</v>
      </c>
      <c r="E158" s="12">
        <f t="shared" si="8"/>
        <v>3.4722222222222223</v>
      </c>
      <c r="F158" s="12">
        <f t="shared" si="9"/>
        <v>4.6296296296296298</v>
      </c>
      <c r="G158" s="12">
        <f t="shared" si="10"/>
        <v>5.7870370370370372</v>
      </c>
      <c r="I158" s="5">
        <f t="shared" si="11"/>
        <v>54</v>
      </c>
      <c r="J158" s="12">
        <f t="shared" si="0"/>
        <v>3.4722222222222223</v>
      </c>
      <c r="K158" s="12">
        <f t="shared" si="1"/>
        <v>4.6296296296296298</v>
      </c>
      <c r="L158" s="12">
        <f t="shared" si="2"/>
        <v>5.7870370370370372</v>
      </c>
      <c r="N158" s="5">
        <f t="shared" si="14"/>
        <v>36</v>
      </c>
      <c r="O158" s="12">
        <f>O$159+((O$154-O$159)*1/9)</f>
        <v>71.619349999999997</v>
      </c>
      <c r="R158" s="5">
        <f t="shared" si="12"/>
        <v>54</v>
      </c>
      <c r="S158" s="12">
        <f t="shared" si="3"/>
        <v>3.4722222222222223</v>
      </c>
      <c r="T158" s="12">
        <f t="shared" si="4"/>
        <v>4.6296296296296298</v>
      </c>
      <c r="U158" s="12">
        <f t="shared" si="5"/>
        <v>5.7870370370370372</v>
      </c>
      <c r="V158" s="12">
        <f t="shared" si="13"/>
        <v>10.851416666666667</v>
      </c>
    </row>
    <row r="159" spans="2:25" x14ac:dyDescent="0.2">
      <c r="B159">
        <f t="shared" si="6"/>
        <v>250.00000000000003</v>
      </c>
      <c r="C159" s="5">
        <v>13</v>
      </c>
      <c r="D159" s="5">
        <f t="shared" si="7"/>
        <v>58.499999999999993</v>
      </c>
      <c r="E159" s="12">
        <f t="shared" si="8"/>
        <v>3.2051282051282057</v>
      </c>
      <c r="F159" s="12">
        <f t="shared" si="9"/>
        <v>4.2735042735042743</v>
      </c>
      <c r="G159" s="12">
        <f t="shared" si="10"/>
        <v>5.3418803418803424</v>
      </c>
      <c r="I159" s="5">
        <f t="shared" si="11"/>
        <v>58.499999999999993</v>
      </c>
      <c r="J159" s="12">
        <f t="shared" si="0"/>
        <v>3.2051282051282057</v>
      </c>
      <c r="K159" s="12">
        <f t="shared" si="1"/>
        <v>4.2735042735042743</v>
      </c>
      <c r="L159" s="12">
        <f t="shared" si="2"/>
        <v>5.3418803418803424</v>
      </c>
      <c r="N159" s="5">
        <f t="shared" si="14"/>
        <v>40.5</v>
      </c>
      <c r="O159" s="12">
        <f>SOA!C41</f>
        <v>19.532550000000001</v>
      </c>
      <c r="P159" t="s">
        <v>44</v>
      </c>
      <c r="R159" s="5">
        <f t="shared" si="12"/>
        <v>58.499999999999993</v>
      </c>
      <c r="S159" s="12">
        <f t="shared" si="3"/>
        <v>5.0000000000000003E-10</v>
      </c>
      <c r="T159" s="12">
        <f t="shared" si="4"/>
        <v>5.0000000000000003E-10</v>
      </c>
      <c r="U159" s="12">
        <f t="shared" si="5"/>
        <v>5.0000000000000003E-10</v>
      </c>
      <c r="V159" s="12">
        <f t="shared" si="13"/>
        <v>10.016692307692308</v>
      </c>
    </row>
    <row r="160" spans="2:25" x14ac:dyDescent="0.2">
      <c r="B160">
        <f t="shared" si="6"/>
        <v>250</v>
      </c>
      <c r="C160" s="5">
        <v>14</v>
      </c>
      <c r="D160" s="5">
        <f t="shared" si="7"/>
        <v>63.000000000000007</v>
      </c>
      <c r="E160" s="12">
        <f t="shared" si="8"/>
        <v>2.9761904761904758</v>
      </c>
      <c r="F160" s="12">
        <f t="shared" si="9"/>
        <v>3.9682539682539679</v>
      </c>
      <c r="G160" s="12">
        <f t="shared" si="10"/>
        <v>4.9603174603174596</v>
      </c>
      <c r="I160" s="5">
        <f t="shared" si="11"/>
        <v>63.000000000000007</v>
      </c>
      <c r="J160" s="12">
        <f t="shared" si="0"/>
        <v>2.9761904761904758</v>
      </c>
      <c r="K160" s="12">
        <f t="shared" si="1"/>
        <v>3.9682539682539679</v>
      </c>
      <c r="L160" s="12">
        <f t="shared" si="2"/>
        <v>4.9603174603174596</v>
      </c>
      <c r="N160" s="5">
        <f t="shared" si="14"/>
        <v>45</v>
      </c>
      <c r="O160" s="12">
        <f>O$164+((O$159-O$164)*4/6)</f>
        <v>13.021700000000001</v>
      </c>
      <c r="R160" s="5">
        <f t="shared" si="12"/>
        <v>63.000000000000007</v>
      </c>
      <c r="S160" s="12">
        <f t="shared" si="3"/>
        <v>5.0000000000000003E-10</v>
      </c>
      <c r="T160" s="12">
        <f t="shared" si="4"/>
        <v>5.0000000000000003E-10</v>
      </c>
      <c r="U160" s="12">
        <f t="shared" si="5"/>
        <v>5.0000000000000003E-10</v>
      </c>
      <c r="V160" s="12">
        <f t="shared" si="13"/>
        <v>9.3012142857142841</v>
      </c>
    </row>
    <row r="161" spans="2:22" x14ac:dyDescent="0.2">
      <c r="B161">
        <f t="shared" si="6"/>
        <v>250</v>
      </c>
      <c r="C161" s="5">
        <v>15</v>
      </c>
      <c r="D161" s="5">
        <f t="shared" si="7"/>
        <v>67.5</v>
      </c>
      <c r="E161" s="12">
        <f t="shared" si="8"/>
        <v>2.7777777777777777</v>
      </c>
      <c r="F161" s="12">
        <f t="shared" si="9"/>
        <v>3.7037037037037037</v>
      </c>
      <c r="G161" s="12">
        <f t="shared" si="10"/>
        <v>4.6296296296296298</v>
      </c>
      <c r="I161" s="5">
        <f t="shared" si="11"/>
        <v>67.5</v>
      </c>
      <c r="J161" s="12">
        <f t="shared" si="0"/>
        <v>2.7777777777777777</v>
      </c>
      <c r="K161" s="12">
        <f t="shared" si="1"/>
        <v>3.7037037037037037</v>
      </c>
      <c r="L161" s="12">
        <f t="shared" si="2"/>
        <v>4.6296296296296298</v>
      </c>
      <c r="N161" s="5">
        <f t="shared" si="14"/>
        <v>49.5</v>
      </c>
      <c r="O161" s="12">
        <f>O$164+((O$159-O$164)*3/7)</f>
        <v>8.3710928571428571</v>
      </c>
      <c r="R161" s="5">
        <f t="shared" si="12"/>
        <v>67.5</v>
      </c>
      <c r="S161" s="12">
        <f t="shared" si="3"/>
        <v>5.0000000000000003E-10</v>
      </c>
      <c r="T161" s="12">
        <f t="shared" si="4"/>
        <v>5.0000000000000003E-10</v>
      </c>
      <c r="U161" s="12">
        <f t="shared" si="5"/>
        <v>5.0000000000000003E-10</v>
      </c>
      <c r="V161" s="12">
        <f t="shared" si="13"/>
        <v>8.6811333333333334</v>
      </c>
    </row>
    <row r="162" spans="2:22" x14ac:dyDescent="0.2">
      <c r="B162">
        <f t="shared" si="6"/>
        <v>250</v>
      </c>
      <c r="C162" s="5">
        <v>16</v>
      </c>
      <c r="D162" s="5">
        <f t="shared" si="7"/>
        <v>72</v>
      </c>
      <c r="E162" s="12">
        <f t="shared" si="8"/>
        <v>2.604166666666667</v>
      </c>
      <c r="F162" s="12">
        <f t="shared" si="9"/>
        <v>3.4722222222222223</v>
      </c>
      <c r="G162" s="12">
        <f t="shared" si="10"/>
        <v>4.3402777777777777</v>
      </c>
      <c r="I162" s="5">
        <f t="shared" si="11"/>
        <v>72</v>
      </c>
      <c r="J162" s="12">
        <f t="shared" si="0"/>
        <v>2.604166666666667</v>
      </c>
      <c r="K162" s="12">
        <f t="shared" si="1"/>
        <v>3.4722222222222223</v>
      </c>
      <c r="L162" s="12">
        <f t="shared" si="2"/>
        <v>4.3402777777777777</v>
      </c>
      <c r="N162" s="5">
        <f t="shared" si="14"/>
        <v>54</v>
      </c>
      <c r="O162" s="12">
        <f>O$164+((O$159-O$164)*2/8)</f>
        <v>4.8831375000000001</v>
      </c>
      <c r="R162" s="5">
        <f t="shared" si="12"/>
        <v>72</v>
      </c>
      <c r="S162" s="12">
        <f t="shared" si="3"/>
        <v>5.0000000000000003E-10</v>
      </c>
      <c r="T162" s="12">
        <f t="shared" si="4"/>
        <v>5.0000000000000003E-10</v>
      </c>
      <c r="U162" s="12">
        <f t="shared" si="5"/>
        <v>5.0000000000000003E-10</v>
      </c>
      <c r="V162" s="12">
        <f t="shared" si="13"/>
        <v>8.138562499999999</v>
      </c>
    </row>
    <row r="163" spans="2:22" x14ac:dyDescent="0.2">
      <c r="N163" s="5">
        <f t="shared" si="14"/>
        <v>58.499999999999993</v>
      </c>
      <c r="O163" s="12">
        <f>O$164+((O$159-O$164)*1/9)</f>
        <v>2.1702833333333333</v>
      </c>
      <c r="R163" s="5"/>
      <c r="S163" s="12">
        <f t="shared" si="3"/>
        <v>0</v>
      </c>
      <c r="T163" s="12">
        <f t="shared" si="4"/>
        <v>0</v>
      </c>
      <c r="U163" s="12">
        <f t="shared" si="5"/>
        <v>0</v>
      </c>
      <c r="V163" s="12" t="e">
        <f t="shared" si="13"/>
        <v>#DIV/0!</v>
      </c>
    </row>
    <row r="164" spans="2:22" x14ac:dyDescent="0.2">
      <c r="D164" s="16" t="s">
        <v>211</v>
      </c>
      <c r="N164" s="5">
        <f t="shared" si="14"/>
        <v>63.000000000000007</v>
      </c>
      <c r="O164" s="12">
        <f>SOA!C42</f>
        <v>0</v>
      </c>
      <c r="P164" t="s">
        <v>44</v>
      </c>
      <c r="R164" s="5"/>
      <c r="S164" s="12">
        <f t="shared" si="3"/>
        <v>0</v>
      </c>
      <c r="T164" s="12">
        <f t="shared" si="4"/>
        <v>0</v>
      </c>
      <c r="U164" s="12">
        <f t="shared" si="5"/>
        <v>0</v>
      </c>
      <c r="V164" s="12" t="e">
        <f t="shared" si="13"/>
        <v>#DIV/0!</v>
      </c>
    </row>
    <row r="165" spans="2:22" x14ac:dyDescent="0.2">
      <c r="N165" s="5">
        <f t="shared" si="14"/>
        <v>67.5</v>
      </c>
      <c r="O165" s="12">
        <f>O$169+((O$164-O$169)*4/6)</f>
        <v>0</v>
      </c>
      <c r="R165" s="5"/>
      <c r="S165" s="12">
        <f t="shared" si="3"/>
        <v>0</v>
      </c>
      <c r="T165" s="12">
        <f t="shared" si="4"/>
        <v>0</v>
      </c>
      <c r="U165" s="12">
        <f t="shared" si="5"/>
        <v>0</v>
      </c>
      <c r="V165" s="12" t="e">
        <f t="shared" si="13"/>
        <v>#DIV/0!</v>
      </c>
    </row>
    <row r="166" spans="2:22" x14ac:dyDescent="0.2">
      <c r="D166" s="16" t="s">
        <v>212</v>
      </c>
      <c r="E166" t="e">
        <f>'Device Parmaters'!#REF!</f>
        <v>#REF!</v>
      </c>
      <c r="N166" s="5">
        <f t="shared" si="14"/>
        <v>72</v>
      </c>
      <c r="O166" s="12">
        <f>O$169+((O$164-O$169)*3/7)</f>
        <v>0</v>
      </c>
    </row>
    <row r="167" spans="2:22" x14ac:dyDescent="0.2">
      <c r="D167" s="16" t="s">
        <v>213</v>
      </c>
      <c r="E167">
        <f>RsEFF*0.001</f>
        <v>2E-3</v>
      </c>
      <c r="N167" s="5"/>
      <c r="O167" s="12"/>
    </row>
    <row r="168" spans="2:22" x14ac:dyDescent="0.2">
      <c r="D168" s="16" t="s">
        <v>214</v>
      </c>
      <c r="E168">
        <f>VINMAX</f>
        <v>54</v>
      </c>
      <c r="N168" s="5"/>
      <c r="O168" s="12"/>
    </row>
    <row r="169" spans="2:22" x14ac:dyDescent="0.2">
      <c r="D169" s="16" t="s">
        <v>215</v>
      </c>
      <c r="E169" s="59"/>
      <c r="F169">
        <v>0.25</v>
      </c>
      <c r="N169" s="5"/>
      <c r="O169" s="12"/>
    </row>
    <row r="171" spans="2:22" x14ac:dyDescent="0.2">
      <c r="D171" s="63" t="s">
        <v>181</v>
      </c>
    </row>
  </sheetData>
  <mergeCells count="3">
    <mergeCell ref="D52:G52"/>
    <mergeCell ref="D61:G61"/>
    <mergeCell ref="D75:H7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5"/>
  <sheetViews>
    <sheetView topLeftCell="A5" zoomScale="85" zoomScaleNormal="85" workbookViewId="0">
      <selection activeCell="J9" sqref="J9"/>
    </sheetView>
  </sheetViews>
  <sheetFormatPr defaultColWidth="9.140625" defaultRowHeight="12.75" x14ac:dyDescent="0.2"/>
  <cols>
    <col min="1" max="1" width="11" style="28" customWidth="1"/>
    <col min="2" max="3" width="9.140625" style="28"/>
    <col min="4" max="5" width="15" style="28" customWidth="1"/>
    <col min="6" max="6" width="15.42578125" style="28" customWidth="1"/>
    <col min="7" max="7" width="14.85546875" style="28" customWidth="1"/>
    <col min="8" max="8" width="10.7109375" style="28" customWidth="1"/>
    <col min="9" max="9" width="12.42578125" style="28" bestFit="1" customWidth="1"/>
    <col min="10" max="10" width="14.85546875" style="28" customWidth="1"/>
    <col min="11" max="11" width="12.85546875" style="28" customWidth="1"/>
    <col min="12" max="12" width="14.28515625" style="28" customWidth="1"/>
    <col min="13" max="13" width="20.85546875" style="28" customWidth="1"/>
    <col min="14" max="14" width="12.7109375" style="28" customWidth="1"/>
    <col min="15" max="15" width="10.140625" style="28" bestFit="1" customWidth="1"/>
    <col min="16" max="16" width="18.85546875" style="28" customWidth="1"/>
    <col min="17" max="17" width="10.85546875" style="28" customWidth="1"/>
    <col min="18" max="16384" width="9.140625" style="28"/>
  </cols>
  <sheetData>
    <row r="1" spans="1:25" x14ac:dyDescent="0.2">
      <c r="B1" s="28" t="s">
        <v>95</v>
      </c>
      <c r="C1" s="28" t="s">
        <v>186</v>
      </c>
      <c r="D1" s="28" t="s">
        <v>187</v>
      </c>
      <c r="F1" s="73" t="s">
        <v>221</v>
      </c>
      <c r="G1" s="73" t="s">
        <v>188</v>
      </c>
      <c r="H1" s="73" t="s">
        <v>189</v>
      </c>
      <c r="I1" s="73" t="s">
        <v>190</v>
      </c>
      <c r="J1" s="73" t="s">
        <v>191</v>
      </c>
      <c r="K1" s="73"/>
      <c r="L1" s="73"/>
      <c r="M1" s="73" t="s">
        <v>195</v>
      </c>
      <c r="N1" s="73"/>
      <c r="O1" s="73" t="s">
        <v>196</v>
      </c>
      <c r="Q1" s="28" t="s">
        <v>237</v>
      </c>
      <c r="R1" s="28" t="s">
        <v>238</v>
      </c>
    </row>
    <row r="2" spans="1:25" x14ac:dyDescent="0.2">
      <c r="B2" s="64">
        <f>'Design Calculator'!F49</f>
        <v>250</v>
      </c>
      <c r="C2" s="28">
        <f>'Design Calculator'!F29</f>
        <v>25</v>
      </c>
      <c r="D2" s="28" t="str">
        <f>IF( 'Design Calculator'!F51 = "Constant Current", "CC", "R")</f>
        <v>CC</v>
      </c>
      <c r="F2" s="28" t="str">
        <f>'Design Calculator'!F53</f>
        <v>Yes</v>
      </c>
      <c r="G2" s="28">
        <f>'Design Calculator'!F52</f>
        <v>1</v>
      </c>
      <c r="H2" s="28">
        <f>'Design Calculator'!F50</f>
        <v>12</v>
      </c>
      <c r="I2" s="28">
        <f>RsEFF</f>
        <v>2</v>
      </c>
      <c r="J2" s="28">
        <v>0</v>
      </c>
      <c r="M2" s="64">
        <f>J114*1000</f>
        <v>61.363636363636459</v>
      </c>
      <c r="N2" s="28" t="s">
        <v>5</v>
      </c>
      <c r="O2" s="68">
        <f>MIN(L10:L111)</f>
        <v>0.6376811594202898</v>
      </c>
      <c r="Q2" s="28">
        <f>'Device Parmaters'!E20/'Device Parmaters'!D20</f>
        <v>1.5909090909090908</v>
      </c>
      <c r="R2" s="28">
        <f>'Device Parmaters'!C20/'Device Parmaters'!D20</f>
        <v>0.68181818181818177</v>
      </c>
    </row>
    <row r="3" spans="1:25" x14ac:dyDescent="0.2">
      <c r="B3" s="64"/>
      <c r="M3" s="64"/>
      <c r="O3" s="68"/>
    </row>
    <row r="4" spans="1:25" x14ac:dyDescent="0.2">
      <c r="B4" s="64"/>
      <c r="D4" s="28" t="s">
        <v>229</v>
      </c>
      <c r="M4" s="64" t="s">
        <v>230</v>
      </c>
      <c r="N4" s="28">
        <f>MIN(M10:M114)</f>
        <v>1.0046296296296295</v>
      </c>
      <c r="O4" s="68" t="s">
        <v>225</v>
      </c>
      <c r="P4" s="28" t="s">
        <v>239</v>
      </c>
      <c r="Q4" s="28">
        <f>MAX(O10:O114)</f>
        <v>114.64615384615384</v>
      </c>
      <c r="R4" s="28" t="s">
        <v>51</v>
      </c>
    </row>
    <row r="5" spans="1:25" x14ac:dyDescent="0.2">
      <c r="B5" s="64"/>
      <c r="M5" s="28" t="s">
        <v>231</v>
      </c>
      <c r="N5" s="28">
        <f>SUM(N10:N114)</f>
        <v>3.8805818988703606</v>
      </c>
      <c r="O5" s="68" t="s">
        <v>232</v>
      </c>
      <c r="P5" s="28" t="s">
        <v>241</v>
      </c>
      <c r="Q5" s="28">
        <f>MAX(P10:P114)</f>
        <v>157.84615384615384</v>
      </c>
      <c r="R5" s="28" t="s">
        <v>51</v>
      </c>
    </row>
    <row r="6" spans="1:25" x14ac:dyDescent="0.2">
      <c r="P6" s="28" t="s">
        <v>240</v>
      </c>
      <c r="Q6" s="28">
        <f>MAX(Q10:Q114)</f>
        <v>91.384615384615401</v>
      </c>
      <c r="R6" s="28" t="s">
        <v>51</v>
      </c>
    </row>
    <row r="7" spans="1:25" x14ac:dyDescent="0.2">
      <c r="A7" s="65" t="s">
        <v>117</v>
      </c>
      <c r="B7" s="66" t="s">
        <v>89</v>
      </c>
      <c r="C7" s="66" t="s">
        <v>90</v>
      </c>
      <c r="D7" s="66" t="s">
        <v>95</v>
      </c>
      <c r="E7" s="66" t="s">
        <v>219</v>
      </c>
      <c r="F7" s="66" t="s">
        <v>220</v>
      </c>
      <c r="G7" s="66" t="s">
        <v>193</v>
      </c>
      <c r="H7" s="66" t="s">
        <v>115</v>
      </c>
      <c r="I7" s="66" t="s">
        <v>192</v>
      </c>
      <c r="J7" s="67" t="s">
        <v>101</v>
      </c>
      <c r="K7" s="67" t="s">
        <v>271</v>
      </c>
      <c r="L7" s="65" t="s">
        <v>194</v>
      </c>
      <c r="M7" s="65" t="s">
        <v>233</v>
      </c>
      <c r="N7" s="65" t="s">
        <v>270</v>
      </c>
      <c r="O7" s="65" t="s">
        <v>234</v>
      </c>
      <c r="P7" s="28" t="s">
        <v>235</v>
      </c>
      <c r="Q7" s="28" t="s">
        <v>236</v>
      </c>
    </row>
    <row r="8" spans="1:25" x14ac:dyDescent="0.2">
      <c r="A8" s="65"/>
      <c r="B8" s="66"/>
      <c r="C8" s="66"/>
      <c r="D8" s="66"/>
      <c r="E8" s="66"/>
      <c r="F8" s="66"/>
      <c r="G8" s="66"/>
      <c r="H8" s="66"/>
      <c r="I8" s="66"/>
      <c r="J8" s="67"/>
      <c r="K8" s="91">
        <v>-10</v>
      </c>
      <c r="L8" s="65"/>
      <c r="M8" s="65"/>
      <c r="N8" s="65"/>
      <c r="O8" s="28">
        <v>0</v>
      </c>
    </row>
    <row r="9" spans="1:25" x14ac:dyDescent="0.2">
      <c r="A9" s="65"/>
      <c r="B9" s="66"/>
      <c r="C9" s="66"/>
      <c r="D9" s="66"/>
      <c r="E9" s="66"/>
      <c r="F9" s="66"/>
      <c r="G9" s="66"/>
      <c r="H9" s="66"/>
      <c r="I9" s="66"/>
      <c r="J9" s="67"/>
      <c r="K9" s="38">
        <v>-0.01</v>
      </c>
      <c r="L9" s="65"/>
      <c r="M9" s="65"/>
      <c r="N9" s="65"/>
      <c r="O9" s="28">
        <v>0</v>
      </c>
    </row>
    <row r="10" spans="1:25" x14ac:dyDescent="0.2">
      <c r="A10" s="28">
        <f t="shared" ref="A10:A41" si="0">VINMAX</f>
        <v>54</v>
      </c>
      <c r="B10" s="31">
        <f t="shared" ref="B10:B41" si="1">VINMAX*((ROW()-10)/104)</f>
        <v>0</v>
      </c>
      <c r="C10" s="29">
        <f t="shared" ref="C10:C41" si="2">IF(B10&gt;=$H$2,IF($D$2="CC", $G$2, B10/$G$2), 0)</f>
        <v>0</v>
      </c>
      <c r="D10" s="27">
        <f>$B$2-B10*$J$2/($I$2*0.001)</f>
        <v>250</v>
      </c>
      <c r="E10" s="27">
        <f>MIN(D10/(A10-B10),$C$2)</f>
        <v>4.6296296296296298</v>
      </c>
      <c r="F10" s="29">
        <f>I_Cout_ss+C10</f>
        <v>1.76</v>
      </c>
      <c r="G10" s="27">
        <f>IF($F$2="YES", F10, E10)</f>
        <v>1.76</v>
      </c>
      <c r="H10" s="29">
        <f t="shared" ref="H10:H41" si="3">G10-C10</f>
        <v>1.76</v>
      </c>
      <c r="I10" s="30">
        <f>(COUTMAX/1000000)*(B10)/H10</f>
        <v>0</v>
      </c>
      <c r="J10" s="37">
        <f>I10</f>
        <v>0</v>
      </c>
      <c r="K10" s="91">
        <f>J10*1000</f>
        <v>0</v>
      </c>
      <c r="L10" s="68">
        <f>H10/G10</f>
        <v>1</v>
      </c>
      <c r="M10" s="28">
        <f t="shared" ref="M10:M41" si="4">1/COUTMAX*(E10/2-C10)*1000</f>
        <v>1.1574074074074077</v>
      </c>
      <c r="N10" s="28">
        <f>I10*G10*(A10-B10)</f>
        <v>0</v>
      </c>
      <c r="O10" s="28">
        <f>G10*(A10-B10)</f>
        <v>95.04</v>
      </c>
      <c r="P10" s="28">
        <f t="shared" ref="P10:P41" si="5">(A10-B10)*(I_Cout_ss*$Q$2+C10)</f>
        <v>151.19999999999999</v>
      </c>
      <c r="Q10" s="28">
        <f t="shared" ref="Q10:Q41" si="6">(A10-B10)*(I_Cout_ss*$R$2+C10)</f>
        <v>64.8</v>
      </c>
    </row>
    <row r="11" spans="1:25" x14ac:dyDescent="0.2">
      <c r="A11" s="28">
        <f t="shared" si="0"/>
        <v>54</v>
      </c>
      <c r="B11" s="31">
        <f t="shared" si="1"/>
        <v>0.51923076923076927</v>
      </c>
      <c r="C11" s="29">
        <f t="shared" si="2"/>
        <v>0</v>
      </c>
      <c r="D11" s="27">
        <f t="shared" ref="D11:D41" si="7">$B$2-B11*$J$2/($I$2*0.001)</f>
        <v>250</v>
      </c>
      <c r="E11" s="27">
        <f t="shared" ref="E11:E74" si="8">MIN(D11/(A11-B11),$C$2)</f>
        <v>4.6745774901114707</v>
      </c>
      <c r="F11" s="29">
        <f t="shared" ref="F11:F41" si="9">I_Cout_ss+C11</f>
        <v>1.76</v>
      </c>
      <c r="G11" s="27">
        <f t="shared" ref="G11:G74" si="10">IF($F$2="YES", F11, E11)</f>
        <v>1.76</v>
      </c>
      <c r="H11" s="29">
        <f t="shared" si="3"/>
        <v>1.76</v>
      </c>
      <c r="I11" s="30">
        <f t="shared" ref="I11:I42" si="11">(COUTMAX/1000000)*(B11-B10)/H11</f>
        <v>5.9003496503496516E-4</v>
      </c>
      <c r="J11" s="37">
        <f>J10+I11</f>
        <v>5.9003496503496516E-4</v>
      </c>
      <c r="K11" s="91">
        <f t="shared" ref="K11:K74" si="12">J11*1000</f>
        <v>0.59003496503496511</v>
      </c>
      <c r="L11" s="68">
        <f t="shared" ref="L11:L74" si="13">H11/G11</f>
        <v>1</v>
      </c>
      <c r="M11" s="28">
        <f t="shared" si="4"/>
        <v>1.1686443725278677</v>
      </c>
      <c r="N11" s="28">
        <f t="shared" ref="N11:N13" si="14">I11*G11*(A11-B11)</f>
        <v>5.553772189349114E-2</v>
      </c>
      <c r="O11" s="28">
        <f>G11*(A11-B11)</f>
        <v>94.126153846153855</v>
      </c>
      <c r="P11" s="28">
        <f t="shared" si="5"/>
        <v>149.74615384615385</v>
      </c>
      <c r="Q11" s="28">
        <f t="shared" si="6"/>
        <v>64.176923076923075</v>
      </c>
    </row>
    <row r="12" spans="1:25" x14ac:dyDescent="0.2">
      <c r="A12" s="28">
        <f t="shared" si="0"/>
        <v>54</v>
      </c>
      <c r="B12" s="31">
        <f t="shared" si="1"/>
        <v>1.0384615384615385</v>
      </c>
      <c r="C12" s="29">
        <f t="shared" si="2"/>
        <v>0</v>
      </c>
      <c r="D12" s="27">
        <f t="shared" si="7"/>
        <v>250</v>
      </c>
      <c r="E12" s="27">
        <f t="shared" si="8"/>
        <v>4.7204066811909948</v>
      </c>
      <c r="F12" s="29">
        <f t="shared" si="9"/>
        <v>1.76</v>
      </c>
      <c r="G12" s="27">
        <f t="shared" si="10"/>
        <v>1.76</v>
      </c>
      <c r="H12" s="29">
        <f t="shared" si="3"/>
        <v>1.76</v>
      </c>
      <c r="I12" s="30">
        <f t="shared" si="11"/>
        <v>5.9003496503496516E-4</v>
      </c>
      <c r="J12" s="37">
        <f t="shared" ref="J12:J75" si="15">J11+I12</f>
        <v>1.1800699300699303E-3</v>
      </c>
      <c r="K12" s="91">
        <f t="shared" si="12"/>
        <v>1.1800699300699302</v>
      </c>
      <c r="L12" s="68">
        <f t="shared" si="13"/>
        <v>1</v>
      </c>
      <c r="M12" s="28">
        <f t="shared" si="4"/>
        <v>1.1801016702977487</v>
      </c>
      <c r="N12" s="28">
        <f>I12*G12*(A12-B12)</f>
        <v>5.499852071005918E-2</v>
      </c>
      <c r="O12" s="28">
        <f t="shared" ref="O12:O74" si="16">G12*(A12-B12)</f>
        <v>93.212307692307689</v>
      </c>
      <c r="P12" s="28">
        <f t="shared" si="5"/>
        <v>148.29230769230767</v>
      </c>
      <c r="Q12" s="28">
        <f t="shared" si="6"/>
        <v>63.553846153846152</v>
      </c>
      <c r="X12" s="298" t="s">
        <v>91</v>
      </c>
      <c r="Y12" s="298"/>
    </row>
    <row r="13" spans="1:25" x14ac:dyDescent="0.2">
      <c r="A13" s="28">
        <f t="shared" si="0"/>
        <v>54</v>
      </c>
      <c r="B13" s="31">
        <f t="shared" si="1"/>
        <v>1.5576923076923077</v>
      </c>
      <c r="C13" s="29">
        <f t="shared" si="2"/>
        <v>0</v>
      </c>
      <c r="D13" s="27">
        <f t="shared" si="7"/>
        <v>250</v>
      </c>
      <c r="E13" s="27">
        <f t="shared" si="8"/>
        <v>4.7671433810047672</v>
      </c>
      <c r="F13" s="29">
        <f t="shared" si="9"/>
        <v>1.76</v>
      </c>
      <c r="G13" s="27">
        <f>IF($F$2="YES", F13, E13)</f>
        <v>1.76</v>
      </c>
      <c r="H13" s="29">
        <f t="shared" si="3"/>
        <v>1.76</v>
      </c>
      <c r="I13" s="30">
        <f t="shared" si="11"/>
        <v>5.9003496503496505E-4</v>
      </c>
      <c r="J13" s="37">
        <f t="shared" si="15"/>
        <v>1.7701048951048954E-3</v>
      </c>
      <c r="K13" s="91">
        <f t="shared" si="12"/>
        <v>1.7701048951048954</v>
      </c>
      <c r="L13" s="68">
        <f t="shared" si="13"/>
        <v>1</v>
      </c>
      <c r="M13" s="28">
        <f t="shared" si="4"/>
        <v>1.1917858452511918</v>
      </c>
      <c r="N13" s="28">
        <f t="shared" si="14"/>
        <v>5.445931952662722E-2</v>
      </c>
      <c r="O13" s="28">
        <f t="shared" si="16"/>
        <v>92.298461538461538</v>
      </c>
      <c r="P13" s="28">
        <f t="shared" si="5"/>
        <v>146.83846153846153</v>
      </c>
      <c r="Q13" s="28">
        <f t="shared" si="6"/>
        <v>62.930769230769229</v>
      </c>
      <c r="X13" s="32" t="s">
        <v>92</v>
      </c>
      <c r="Y13" s="33">
        <v>0.3</v>
      </c>
    </row>
    <row r="14" spans="1:25" x14ac:dyDescent="0.2">
      <c r="A14" s="28">
        <f t="shared" si="0"/>
        <v>54</v>
      </c>
      <c r="B14" s="31">
        <f t="shared" si="1"/>
        <v>2.0769230769230771</v>
      </c>
      <c r="C14" s="29">
        <f t="shared" si="2"/>
        <v>0</v>
      </c>
      <c r="D14" s="27">
        <f t="shared" si="7"/>
        <v>250</v>
      </c>
      <c r="E14" s="27">
        <f t="shared" si="8"/>
        <v>4.8148148148148149</v>
      </c>
      <c r="F14" s="29">
        <f t="shared" si="9"/>
        <v>1.76</v>
      </c>
      <c r="G14" s="27">
        <f t="shared" si="10"/>
        <v>1.76</v>
      </c>
      <c r="H14" s="29">
        <f t="shared" si="3"/>
        <v>1.76</v>
      </c>
      <c r="I14" s="30">
        <f t="shared" si="11"/>
        <v>5.9003496503496526E-4</v>
      </c>
      <c r="J14" s="37">
        <f t="shared" si="15"/>
        <v>2.3601398601398606E-3</v>
      </c>
      <c r="K14" s="91">
        <f t="shared" si="12"/>
        <v>2.3601398601398604</v>
      </c>
      <c r="L14" s="68">
        <f t="shared" si="13"/>
        <v>1</v>
      </c>
      <c r="M14" s="28">
        <f t="shared" si="4"/>
        <v>1.2037037037037037</v>
      </c>
      <c r="N14" s="28">
        <f t="shared" ref="N14:N74" si="17">I14*G14*(A14-B14)</f>
        <v>5.3920118343195288E-2</v>
      </c>
      <c r="O14" s="28">
        <f t="shared" si="16"/>
        <v>91.384615384615373</v>
      </c>
      <c r="P14" s="28">
        <f t="shared" si="5"/>
        <v>145.38461538461536</v>
      </c>
      <c r="Q14" s="28">
        <f t="shared" si="6"/>
        <v>62.307692307692299</v>
      </c>
      <c r="X14" s="32" t="s">
        <v>93</v>
      </c>
      <c r="Y14" s="33">
        <v>0.3</v>
      </c>
    </row>
    <row r="15" spans="1:25" x14ac:dyDescent="0.2">
      <c r="A15" s="28">
        <f t="shared" si="0"/>
        <v>54</v>
      </c>
      <c r="B15" s="31">
        <f t="shared" si="1"/>
        <v>2.5961538461538463</v>
      </c>
      <c r="C15" s="29">
        <f t="shared" si="2"/>
        <v>0</v>
      </c>
      <c r="D15" s="27">
        <f t="shared" si="7"/>
        <v>250</v>
      </c>
      <c r="E15" s="27">
        <f t="shared" si="8"/>
        <v>4.8634493078937524</v>
      </c>
      <c r="F15" s="29">
        <f t="shared" si="9"/>
        <v>1.76</v>
      </c>
      <c r="G15" s="27">
        <f t="shared" si="10"/>
        <v>1.76</v>
      </c>
      <c r="H15" s="29">
        <f t="shared" si="3"/>
        <v>1.76</v>
      </c>
      <c r="I15" s="30">
        <f t="shared" si="11"/>
        <v>5.9003496503496505E-4</v>
      </c>
      <c r="J15" s="37">
        <f t="shared" si="15"/>
        <v>2.9501748251748259E-3</v>
      </c>
      <c r="K15" s="91">
        <f t="shared" si="12"/>
        <v>2.9501748251748259</v>
      </c>
      <c r="L15" s="68">
        <f t="shared" si="13"/>
        <v>1</v>
      </c>
      <c r="M15" s="28">
        <f t="shared" si="4"/>
        <v>1.2158623269734381</v>
      </c>
      <c r="N15" s="28">
        <f t="shared" si="17"/>
        <v>5.3380917159763314E-2</v>
      </c>
      <c r="O15" s="28">
        <f t="shared" si="16"/>
        <v>90.470769230769235</v>
      </c>
      <c r="P15" s="28">
        <f t="shared" si="5"/>
        <v>143.93076923076922</v>
      </c>
      <c r="Q15" s="28">
        <f t="shared" si="6"/>
        <v>61.684615384615384</v>
      </c>
      <c r="X15" s="32" t="s">
        <v>94</v>
      </c>
      <c r="Y15" s="33">
        <f>SQRT(Y14^2+Y13^2)</f>
        <v>0.42426406871192851</v>
      </c>
    </row>
    <row r="16" spans="1:25" x14ac:dyDescent="0.2">
      <c r="A16" s="28">
        <f t="shared" si="0"/>
        <v>54</v>
      </c>
      <c r="B16" s="31">
        <f t="shared" si="1"/>
        <v>3.1153846153846154</v>
      </c>
      <c r="C16" s="29">
        <f t="shared" si="2"/>
        <v>0</v>
      </c>
      <c r="D16" s="27">
        <f t="shared" si="7"/>
        <v>250</v>
      </c>
      <c r="E16" s="27">
        <f t="shared" si="8"/>
        <v>4.9130763416477699</v>
      </c>
      <c r="F16" s="29">
        <f t="shared" si="9"/>
        <v>1.76</v>
      </c>
      <c r="G16" s="27">
        <f t="shared" si="10"/>
        <v>1.76</v>
      </c>
      <c r="H16" s="29">
        <f t="shared" si="3"/>
        <v>1.76</v>
      </c>
      <c r="I16" s="30">
        <f t="shared" si="11"/>
        <v>5.9003496503496505E-4</v>
      </c>
      <c r="J16" s="37">
        <f t="shared" si="15"/>
        <v>3.5402097902097907E-3</v>
      </c>
      <c r="K16" s="91">
        <f t="shared" si="12"/>
        <v>3.5402097902097909</v>
      </c>
      <c r="L16" s="68">
        <f t="shared" si="13"/>
        <v>1</v>
      </c>
      <c r="M16" s="28">
        <f t="shared" si="4"/>
        <v>1.2282690854119425</v>
      </c>
      <c r="N16" s="28">
        <f t="shared" si="17"/>
        <v>5.284171597633136E-2</v>
      </c>
      <c r="O16" s="28">
        <f t="shared" si="16"/>
        <v>89.556923076923084</v>
      </c>
      <c r="P16" s="28">
        <f t="shared" si="5"/>
        <v>142.47692307692307</v>
      </c>
      <c r="Q16" s="28">
        <f t="shared" si="6"/>
        <v>61.061538461538461</v>
      </c>
      <c r="X16" s="33"/>
      <c r="Y16" s="33"/>
    </row>
    <row r="17" spans="1:25" x14ac:dyDescent="0.2">
      <c r="A17" s="28">
        <f t="shared" si="0"/>
        <v>54</v>
      </c>
      <c r="B17" s="31">
        <f t="shared" si="1"/>
        <v>3.6346153846153846</v>
      </c>
      <c r="C17" s="29">
        <f t="shared" si="2"/>
        <v>0</v>
      </c>
      <c r="D17" s="27">
        <f t="shared" si="7"/>
        <v>250</v>
      </c>
      <c r="E17" s="27">
        <f t="shared" si="8"/>
        <v>4.9637266132111497</v>
      </c>
      <c r="F17" s="29">
        <f t="shared" si="9"/>
        <v>1.76</v>
      </c>
      <c r="G17" s="27">
        <f t="shared" si="10"/>
        <v>1.76</v>
      </c>
      <c r="H17" s="29">
        <f t="shared" si="3"/>
        <v>1.76</v>
      </c>
      <c r="I17" s="30">
        <f t="shared" si="11"/>
        <v>5.9003496503496505E-4</v>
      </c>
      <c r="J17" s="37">
        <f t="shared" si="15"/>
        <v>4.1302447552447556E-3</v>
      </c>
      <c r="K17" s="91">
        <f t="shared" si="12"/>
        <v>4.1302447552447559</v>
      </c>
      <c r="L17" s="68">
        <f t="shared" si="13"/>
        <v>1</v>
      </c>
      <c r="M17" s="28">
        <f t="shared" si="4"/>
        <v>1.2409316533027877</v>
      </c>
      <c r="N17" s="28">
        <f t="shared" si="17"/>
        <v>5.2302514792899407E-2</v>
      </c>
      <c r="O17" s="28">
        <f t="shared" si="16"/>
        <v>88.643076923076919</v>
      </c>
      <c r="P17" s="28">
        <f t="shared" si="5"/>
        <v>141.0230769230769</v>
      </c>
      <c r="Q17" s="28">
        <f t="shared" si="6"/>
        <v>60.438461538461532</v>
      </c>
      <c r="X17" s="32" t="s">
        <v>95</v>
      </c>
      <c r="Y17" s="33">
        <v>0.3</v>
      </c>
    </row>
    <row r="18" spans="1:25" x14ac:dyDescent="0.2">
      <c r="A18" s="28">
        <f t="shared" si="0"/>
        <v>54</v>
      </c>
      <c r="B18" s="31">
        <f t="shared" si="1"/>
        <v>4.1538461538461542</v>
      </c>
      <c r="C18" s="29">
        <f t="shared" si="2"/>
        <v>0</v>
      </c>
      <c r="D18" s="27">
        <f t="shared" si="7"/>
        <v>250</v>
      </c>
      <c r="E18" s="27">
        <f t="shared" si="8"/>
        <v>5.0154320987654319</v>
      </c>
      <c r="F18" s="29">
        <f t="shared" si="9"/>
        <v>1.76</v>
      </c>
      <c r="G18" s="27">
        <f t="shared" si="10"/>
        <v>1.76</v>
      </c>
      <c r="H18" s="29">
        <f t="shared" si="3"/>
        <v>1.76</v>
      </c>
      <c r="I18" s="30">
        <f t="shared" si="11"/>
        <v>5.9003496503496548E-4</v>
      </c>
      <c r="J18" s="37">
        <f t="shared" si="15"/>
        <v>4.7202797202797213E-3</v>
      </c>
      <c r="K18" s="91">
        <f t="shared" si="12"/>
        <v>4.7202797202797209</v>
      </c>
      <c r="L18" s="68">
        <f t="shared" si="13"/>
        <v>1</v>
      </c>
      <c r="M18" s="28">
        <f t="shared" si="4"/>
        <v>1.253858024691358</v>
      </c>
      <c r="N18" s="28">
        <f t="shared" si="17"/>
        <v>5.1763313609467496E-2</v>
      </c>
      <c r="O18" s="28">
        <f t="shared" si="16"/>
        <v>87.729230769230767</v>
      </c>
      <c r="P18" s="28">
        <f t="shared" si="5"/>
        <v>139.56923076923076</v>
      </c>
      <c r="Q18" s="28">
        <f t="shared" si="6"/>
        <v>59.815384615384616</v>
      </c>
      <c r="X18" s="32" t="s">
        <v>96</v>
      </c>
      <c r="Y18" s="33">
        <f>MAX(Y15:Y17)</f>
        <v>0.42426406871192851</v>
      </c>
    </row>
    <row r="19" spans="1:25" x14ac:dyDescent="0.2">
      <c r="A19" s="28">
        <f t="shared" si="0"/>
        <v>54</v>
      </c>
      <c r="B19" s="31">
        <f t="shared" si="1"/>
        <v>4.6730769230769234</v>
      </c>
      <c r="C19" s="29">
        <f t="shared" si="2"/>
        <v>0</v>
      </c>
      <c r="D19" s="27">
        <f t="shared" si="7"/>
        <v>250</v>
      </c>
      <c r="E19" s="27">
        <f t="shared" si="8"/>
        <v>5.0682261208576991</v>
      </c>
      <c r="F19" s="29">
        <f t="shared" si="9"/>
        <v>1.76</v>
      </c>
      <c r="G19" s="27">
        <f t="shared" si="10"/>
        <v>1.76</v>
      </c>
      <c r="H19" s="29">
        <f t="shared" si="3"/>
        <v>1.76</v>
      </c>
      <c r="I19" s="30">
        <f t="shared" si="11"/>
        <v>5.9003496503496505E-4</v>
      </c>
      <c r="J19" s="37">
        <f t="shared" si="15"/>
        <v>5.3103146853146861E-3</v>
      </c>
      <c r="K19" s="91">
        <f t="shared" si="12"/>
        <v>5.3103146853146859</v>
      </c>
      <c r="L19" s="68">
        <f t="shared" si="13"/>
        <v>1</v>
      </c>
      <c r="M19" s="28">
        <f t="shared" si="4"/>
        <v>1.2670565302144248</v>
      </c>
      <c r="N19" s="28">
        <f t="shared" si="17"/>
        <v>5.1224112426035508E-2</v>
      </c>
      <c r="O19" s="28">
        <f t="shared" si="16"/>
        <v>86.815384615384616</v>
      </c>
      <c r="P19" s="28">
        <f t="shared" si="5"/>
        <v>138.11538461538461</v>
      </c>
      <c r="Q19" s="28">
        <f t="shared" si="6"/>
        <v>59.192307692307693</v>
      </c>
      <c r="X19" s="33"/>
      <c r="Y19" s="33"/>
    </row>
    <row r="20" spans="1:25" x14ac:dyDescent="0.2">
      <c r="A20" s="28">
        <f t="shared" si="0"/>
        <v>54</v>
      </c>
      <c r="B20" s="31">
        <f t="shared" si="1"/>
        <v>5.1923076923076925</v>
      </c>
      <c r="C20" s="29">
        <f t="shared" si="2"/>
        <v>0</v>
      </c>
      <c r="D20" s="27">
        <f t="shared" si="7"/>
        <v>250</v>
      </c>
      <c r="E20" s="27">
        <f t="shared" si="8"/>
        <v>5.1221434200157603</v>
      </c>
      <c r="F20" s="29">
        <f t="shared" si="9"/>
        <v>1.76</v>
      </c>
      <c r="G20" s="27">
        <f t="shared" si="10"/>
        <v>1.76</v>
      </c>
      <c r="H20" s="29">
        <f t="shared" si="3"/>
        <v>1.76</v>
      </c>
      <c r="I20" s="30">
        <f t="shared" si="11"/>
        <v>5.9003496503496505E-4</v>
      </c>
      <c r="J20" s="37">
        <f t="shared" si="15"/>
        <v>5.9003496503496509E-3</v>
      </c>
      <c r="K20" s="91">
        <f t="shared" si="12"/>
        <v>5.9003496503496509</v>
      </c>
      <c r="L20" s="68">
        <f t="shared" si="13"/>
        <v>1</v>
      </c>
      <c r="M20" s="28">
        <f t="shared" si="4"/>
        <v>1.2805358550039401</v>
      </c>
      <c r="N20" s="28">
        <f t="shared" si="17"/>
        <v>5.0684911242603548E-2</v>
      </c>
      <c r="O20" s="28">
        <f t="shared" si="16"/>
        <v>85.901538461538465</v>
      </c>
      <c r="P20" s="28">
        <f t="shared" si="5"/>
        <v>136.66153846153844</v>
      </c>
      <c r="Q20" s="28">
        <f t="shared" si="6"/>
        <v>58.569230769230764</v>
      </c>
      <c r="X20" s="32" t="s">
        <v>97</v>
      </c>
      <c r="Y20" s="33">
        <v>0.2</v>
      </c>
    </row>
    <row r="21" spans="1:25" x14ac:dyDescent="0.2">
      <c r="A21" s="28">
        <f t="shared" si="0"/>
        <v>54</v>
      </c>
      <c r="B21" s="31">
        <f t="shared" si="1"/>
        <v>5.7115384615384617</v>
      </c>
      <c r="C21" s="29">
        <f t="shared" si="2"/>
        <v>0</v>
      </c>
      <c r="D21" s="27">
        <f t="shared" si="7"/>
        <v>250</v>
      </c>
      <c r="E21" s="27">
        <f t="shared" si="8"/>
        <v>5.1772202309836715</v>
      </c>
      <c r="F21" s="29">
        <f t="shared" si="9"/>
        <v>1.76</v>
      </c>
      <c r="G21" s="27">
        <f t="shared" si="10"/>
        <v>1.76</v>
      </c>
      <c r="H21" s="29">
        <f t="shared" si="3"/>
        <v>1.76</v>
      </c>
      <c r="I21" s="30">
        <f t="shared" si="11"/>
        <v>5.9003496503496505E-4</v>
      </c>
      <c r="J21" s="37">
        <f t="shared" si="15"/>
        <v>6.4903846153846157E-3</v>
      </c>
      <c r="K21" s="91">
        <f t="shared" si="12"/>
        <v>6.4903846153846159</v>
      </c>
      <c r="L21" s="68">
        <f t="shared" si="13"/>
        <v>1</v>
      </c>
      <c r="M21" s="28">
        <f t="shared" si="4"/>
        <v>1.2943050577459179</v>
      </c>
      <c r="N21" s="28">
        <f t="shared" si="17"/>
        <v>5.0145710059171601E-2</v>
      </c>
      <c r="O21" s="28">
        <f t="shared" si="16"/>
        <v>84.987692307692313</v>
      </c>
      <c r="P21" s="28">
        <f t="shared" si="5"/>
        <v>135.2076923076923</v>
      </c>
      <c r="Q21" s="28">
        <f t="shared" si="6"/>
        <v>57.946153846153848</v>
      </c>
      <c r="X21" s="32" t="s">
        <v>98</v>
      </c>
      <c r="Y21" s="33">
        <v>0.2</v>
      </c>
    </row>
    <row r="22" spans="1:25" x14ac:dyDescent="0.2">
      <c r="A22" s="28">
        <f t="shared" si="0"/>
        <v>54</v>
      </c>
      <c r="B22" s="31">
        <f t="shared" si="1"/>
        <v>6.2307692307692308</v>
      </c>
      <c r="C22" s="29">
        <f t="shared" si="2"/>
        <v>0</v>
      </c>
      <c r="D22" s="27">
        <f t="shared" si="7"/>
        <v>250</v>
      </c>
      <c r="E22" s="27">
        <f t="shared" si="8"/>
        <v>5.2334943639291467</v>
      </c>
      <c r="F22" s="29">
        <f t="shared" si="9"/>
        <v>1.76</v>
      </c>
      <c r="G22" s="27">
        <f t="shared" si="10"/>
        <v>1.76</v>
      </c>
      <c r="H22" s="29">
        <f t="shared" si="3"/>
        <v>1.76</v>
      </c>
      <c r="I22" s="30">
        <f t="shared" si="11"/>
        <v>5.9003496503496505E-4</v>
      </c>
      <c r="J22" s="37">
        <f t="shared" si="15"/>
        <v>7.0804195804195806E-3</v>
      </c>
      <c r="K22" s="91">
        <f t="shared" si="12"/>
        <v>7.0804195804195809</v>
      </c>
      <c r="L22" s="68">
        <f t="shared" si="13"/>
        <v>1</v>
      </c>
      <c r="M22" s="28">
        <f t="shared" si="4"/>
        <v>1.3083735909822869</v>
      </c>
      <c r="N22" s="28">
        <f t="shared" si="17"/>
        <v>4.9606508875739641E-2</v>
      </c>
      <c r="O22" s="28">
        <f t="shared" si="16"/>
        <v>84.073846153846148</v>
      </c>
      <c r="P22" s="28">
        <f t="shared" si="5"/>
        <v>133.75384615384613</v>
      </c>
      <c r="Q22" s="28">
        <f t="shared" si="6"/>
        <v>57.323076923076918</v>
      </c>
      <c r="X22" s="32" t="s">
        <v>94</v>
      </c>
      <c r="Y22" s="33">
        <f>SQRT(Y21^2+Y20^2)</f>
        <v>0.28284271247461906</v>
      </c>
    </row>
    <row r="23" spans="1:25" x14ac:dyDescent="0.2">
      <c r="A23" s="28">
        <f t="shared" si="0"/>
        <v>54</v>
      </c>
      <c r="B23" s="31">
        <f t="shared" si="1"/>
        <v>6.75</v>
      </c>
      <c r="C23" s="29">
        <f t="shared" si="2"/>
        <v>0</v>
      </c>
      <c r="D23" s="27">
        <f t="shared" si="7"/>
        <v>250</v>
      </c>
      <c r="E23" s="27">
        <f t="shared" si="8"/>
        <v>5.2910052910052912</v>
      </c>
      <c r="F23" s="29">
        <f t="shared" si="9"/>
        <v>1.76</v>
      </c>
      <c r="G23" s="27">
        <f t="shared" si="10"/>
        <v>1.76</v>
      </c>
      <c r="H23" s="29">
        <f t="shared" si="3"/>
        <v>1.76</v>
      </c>
      <c r="I23" s="30">
        <f t="shared" si="11"/>
        <v>5.9003496503496505E-4</v>
      </c>
      <c r="J23" s="37">
        <f t="shared" si="15"/>
        <v>7.6704545454545454E-3</v>
      </c>
      <c r="K23" s="91">
        <f t="shared" si="12"/>
        <v>7.670454545454545</v>
      </c>
      <c r="L23" s="68">
        <f t="shared" si="13"/>
        <v>1</v>
      </c>
      <c r="M23" s="28">
        <f t="shared" si="4"/>
        <v>1.3227513227513228</v>
      </c>
      <c r="N23" s="28">
        <f t="shared" si="17"/>
        <v>4.9067307692307695E-2</v>
      </c>
      <c r="O23" s="28">
        <f t="shared" si="16"/>
        <v>83.16</v>
      </c>
      <c r="P23" s="28">
        <f t="shared" si="5"/>
        <v>132.29999999999998</v>
      </c>
      <c r="Q23" s="28">
        <f t="shared" si="6"/>
        <v>56.699999999999996</v>
      </c>
      <c r="X23" s="33"/>
      <c r="Y23" s="33"/>
    </row>
    <row r="24" spans="1:25" x14ac:dyDescent="0.2">
      <c r="A24" s="28">
        <f t="shared" si="0"/>
        <v>54</v>
      </c>
      <c r="B24" s="31">
        <f t="shared" si="1"/>
        <v>7.2692307692307692</v>
      </c>
      <c r="C24" s="29">
        <f t="shared" si="2"/>
        <v>0</v>
      </c>
      <c r="D24" s="27">
        <f t="shared" si="7"/>
        <v>250</v>
      </c>
      <c r="E24" s="27">
        <f t="shared" si="8"/>
        <v>5.3497942386831276</v>
      </c>
      <c r="F24" s="29">
        <f t="shared" si="9"/>
        <v>1.76</v>
      </c>
      <c r="G24" s="27">
        <f t="shared" si="10"/>
        <v>1.76</v>
      </c>
      <c r="H24" s="29">
        <f t="shared" si="3"/>
        <v>1.76</v>
      </c>
      <c r="I24" s="30">
        <f t="shared" si="11"/>
        <v>5.9003496503496505E-4</v>
      </c>
      <c r="J24" s="37">
        <f t="shared" si="15"/>
        <v>8.2604895104895111E-3</v>
      </c>
      <c r="K24" s="91">
        <f t="shared" si="12"/>
        <v>8.2604895104895117</v>
      </c>
      <c r="L24" s="68">
        <f t="shared" si="13"/>
        <v>1</v>
      </c>
      <c r="M24" s="28">
        <f t="shared" si="4"/>
        <v>1.3374485596707819</v>
      </c>
      <c r="N24" s="28">
        <f t="shared" si="17"/>
        <v>4.8528106508875742E-2</v>
      </c>
      <c r="O24" s="28">
        <f t="shared" si="16"/>
        <v>82.246153846153845</v>
      </c>
      <c r="P24" s="28">
        <f t="shared" si="5"/>
        <v>130.84615384615384</v>
      </c>
      <c r="Q24" s="28">
        <f t="shared" si="6"/>
        <v>56.07692307692308</v>
      </c>
      <c r="X24" s="32" t="s">
        <v>99</v>
      </c>
      <c r="Y24" s="33">
        <f>SQRT(Y18^2+Y22^2)</f>
        <v>0.50990195135927852</v>
      </c>
    </row>
    <row r="25" spans="1:25" x14ac:dyDescent="0.2">
      <c r="A25" s="28">
        <f t="shared" si="0"/>
        <v>54</v>
      </c>
      <c r="B25" s="31">
        <f t="shared" si="1"/>
        <v>7.7884615384615374</v>
      </c>
      <c r="C25" s="29">
        <f t="shared" si="2"/>
        <v>0</v>
      </c>
      <c r="D25" s="27">
        <f t="shared" si="7"/>
        <v>250</v>
      </c>
      <c r="E25" s="27">
        <f t="shared" si="8"/>
        <v>5.4099042863087812</v>
      </c>
      <c r="F25" s="29">
        <f t="shared" si="9"/>
        <v>1.76</v>
      </c>
      <c r="G25" s="27">
        <f t="shared" si="10"/>
        <v>1.76</v>
      </c>
      <c r="H25" s="29">
        <f t="shared" si="3"/>
        <v>1.76</v>
      </c>
      <c r="I25" s="30">
        <f t="shared" si="11"/>
        <v>5.9003496503496396E-4</v>
      </c>
      <c r="J25" s="37">
        <f t="shared" si="15"/>
        <v>8.8505244755244759E-3</v>
      </c>
      <c r="K25" s="91">
        <f t="shared" si="12"/>
        <v>8.8505244755244767</v>
      </c>
      <c r="L25" s="68">
        <f t="shared" si="13"/>
        <v>1</v>
      </c>
      <c r="M25" s="28">
        <f t="shared" si="4"/>
        <v>1.3524760715771953</v>
      </c>
      <c r="N25" s="28">
        <f t="shared" si="17"/>
        <v>4.7988905325443691E-2</v>
      </c>
      <c r="O25" s="28">
        <f t="shared" si="16"/>
        <v>81.332307692307694</v>
      </c>
      <c r="P25" s="28">
        <f t="shared" si="5"/>
        <v>129.39230769230767</v>
      </c>
      <c r="Q25" s="28">
        <f t="shared" si="6"/>
        <v>55.45384615384615</v>
      </c>
    </row>
    <row r="26" spans="1:25" x14ac:dyDescent="0.2">
      <c r="A26" s="28">
        <f t="shared" si="0"/>
        <v>54</v>
      </c>
      <c r="B26" s="31">
        <f t="shared" si="1"/>
        <v>8.3076923076923084</v>
      </c>
      <c r="C26" s="29">
        <f t="shared" si="2"/>
        <v>0</v>
      </c>
      <c r="D26" s="27">
        <f t="shared" si="7"/>
        <v>250</v>
      </c>
      <c r="E26" s="27">
        <f t="shared" si="8"/>
        <v>5.4713804713804715</v>
      </c>
      <c r="F26" s="29">
        <f t="shared" si="9"/>
        <v>1.76</v>
      </c>
      <c r="G26" s="27">
        <f t="shared" si="10"/>
        <v>1.76</v>
      </c>
      <c r="H26" s="29">
        <f t="shared" si="3"/>
        <v>1.76</v>
      </c>
      <c r="I26" s="30">
        <f t="shared" si="11"/>
        <v>5.90034965034967E-4</v>
      </c>
      <c r="J26" s="37">
        <f t="shared" si="15"/>
        <v>9.4405594405594425E-3</v>
      </c>
      <c r="K26" s="91">
        <f t="shared" si="12"/>
        <v>9.4405594405594417</v>
      </c>
      <c r="L26" s="68">
        <f t="shared" si="13"/>
        <v>1</v>
      </c>
      <c r="M26" s="28">
        <f t="shared" si="4"/>
        <v>1.3678451178451179</v>
      </c>
      <c r="N26" s="28">
        <f t="shared" si="17"/>
        <v>4.7449704142011995E-2</v>
      </c>
      <c r="O26" s="28">
        <f t="shared" si="16"/>
        <v>80.418461538461543</v>
      </c>
      <c r="P26" s="28">
        <f t="shared" si="5"/>
        <v>127.93846153846154</v>
      </c>
      <c r="Q26" s="28">
        <f t="shared" si="6"/>
        <v>54.830769230769228</v>
      </c>
    </row>
    <row r="27" spans="1:25" x14ac:dyDescent="0.2">
      <c r="A27" s="28">
        <f t="shared" si="0"/>
        <v>54</v>
      </c>
      <c r="B27" s="31">
        <f t="shared" si="1"/>
        <v>8.8269230769230766</v>
      </c>
      <c r="C27" s="29">
        <f t="shared" si="2"/>
        <v>0</v>
      </c>
      <c r="D27" s="27">
        <f t="shared" si="7"/>
        <v>250</v>
      </c>
      <c r="E27" s="27">
        <f t="shared" si="8"/>
        <v>5.5342699020859945</v>
      </c>
      <c r="F27" s="29">
        <f t="shared" si="9"/>
        <v>1.76</v>
      </c>
      <c r="G27" s="27">
        <f t="shared" si="10"/>
        <v>1.76</v>
      </c>
      <c r="H27" s="29">
        <f t="shared" si="3"/>
        <v>1.76</v>
      </c>
      <c r="I27" s="30">
        <f t="shared" si="11"/>
        <v>5.9003496503496396E-4</v>
      </c>
      <c r="J27" s="37">
        <f t="shared" si="15"/>
        <v>1.0030594405594406E-2</v>
      </c>
      <c r="K27" s="91">
        <f t="shared" si="12"/>
        <v>10.030594405594405</v>
      </c>
      <c r="L27" s="68">
        <f t="shared" si="13"/>
        <v>1</v>
      </c>
      <c r="M27" s="28">
        <f t="shared" si="4"/>
        <v>1.3835674755214988</v>
      </c>
      <c r="N27" s="28">
        <f t="shared" si="17"/>
        <v>4.6910502958579792E-2</v>
      </c>
      <c r="O27" s="28">
        <f t="shared" si="16"/>
        <v>79.504615384615377</v>
      </c>
      <c r="P27" s="28">
        <f t="shared" si="5"/>
        <v>126.48461538461537</v>
      </c>
      <c r="Q27" s="28">
        <f t="shared" si="6"/>
        <v>54.207692307692305</v>
      </c>
    </row>
    <row r="28" spans="1:25" x14ac:dyDescent="0.2">
      <c r="A28" s="28">
        <f t="shared" si="0"/>
        <v>54</v>
      </c>
      <c r="B28" s="31">
        <f t="shared" si="1"/>
        <v>9.3461538461538467</v>
      </c>
      <c r="C28" s="29">
        <f t="shared" si="2"/>
        <v>0</v>
      </c>
      <c r="D28" s="27">
        <f t="shared" si="7"/>
        <v>250</v>
      </c>
      <c r="E28" s="27">
        <f t="shared" si="8"/>
        <v>5.5986218776916452</v>
      </c>
      <c r="F28" s="29">
        <f t="shared" si="9"/>
        <v>1.76</v>
      </c>
      <c r="G28" s="27">
        <f t="shared" si="10"/>
        <v>1.76</v>
      </c>
      <c r="H28" s="29">
        <f t="shared" si="3"/>
        <v>1.76</v>
      </c>
      <c r="I28" s="30">
        <f t="shared" si="11"/>
        <v>5.9003496503496602E-4</v>
      </c>
      <c r="J28" s="37">
        <f t="shared" si="15"/>
        <v>1.0620629370629372E-2</v>
      </c>
      <c r="K28" s="91">
        <f t="shared" si="12"/>
        <v>10.620629370629372</v>
      </c>
      <c r="L28" s="68">
        <f t="shared" si="13"/>
        <v>1</v>
      </c>
      <c r="M28" s="28">
        <f t="shared" si="4"/>
        <v>1.3996554694229115</v>
      </c>
      <c r="N28" s="28">
        <f t="shared" si="17"/>
        <v>4.6371301775148005E-2</v>
      </c>
      <c r="O28" s="28">
        <f t="shared" si="16"/>
        <v>78.590769230769226</v>
      </c>
      <c r="P28" s="28">
        <f t="shared" si="5"/>
        <v>125.03076923076922</v>
      </c>
      <c r="Q28" s="28">
        <f t="shared" si="6"/>
        <v>53.584615384615383</v>
      </c>
    </row>
    <row r="29" spans="1:25" x14ac:dyDescent="0.2">
      <c r="A29" s="28">
        <f t="shared" si="0"/>
        <v>54</v>
      </c>
      <c r="B29" s="31">
        <f t="shared" si="1"/>
        <v>9.865384615384615</v>
      </c>
      <c r="C29" s="29">
        <f t="shared" si="2"/>
        <v>0</v>
      </c>
      <c r="D29" s="27">
        <f t="shared" si="7"/>
        <v>250</v>
      </c>
      <c r="E29" s="27">
        <f t="shared" si="8"/>
        <v>5.6644880174291936</v>
      </c>
      <c r="F29" s="29">
        <f t="shared" si="9"/>
        <v>1.76</v>
      </c>
      <c r="G29" s="27">
        <f t="shared" si="10"/>
        <v>1.76</v>
      </c>
      <c r="H29" s="29">
        <f t="shared" si="3"/>
        <v>1.76</v>
      </c>
      <c r="I29" s="30">
        <f t="shared" si="11"/>
        <v>5.9003496503496396E-4</v>
      </c>
      <c r="J29" s="37">
        <f t="shared" si="15"/>
        <v>1.1210664335664335E-2</v>
      </c>
      <c r="K29" s="91">
        <f t="shared" si="12"/>
        <v>11.210664335664335</v>
      </c>
      <c r="L29" s="68">
        <f t="shared" si="13"/>
        <v>1</v>
      </c>
      <c r="M29" s="28">
        <f t="shared" si="4"/>
        <v>1.4161220043572984</v>
      </c>
      <c r="N29" s="28">
        <f t="shared" si="17"/>
        <v>4.5832100591715892E-2</v>
      </c>
      <c r="O29" s="28">
        <f t="shared" si="16"/>
        <v>77.676923076923075</v>
      </c>
      <c r="P29" s="28">
        <f t="shared" si="5"/>
        <v>123.57692307692308</v>
      </c>
      <c r="Q29" s="28">
        <f t="shared" si="6"/>
        <v>52.96153846153846</v>
      </c>
    </row>
    <row r="30" spans="1:25" x14ac:dyDescent="0.2">
      <c r="A30" s="28">
        <f t="shared" si="0"/>
        <v>54</v>
      </c>
      <c r="B30" s="31">
        <f t="shared" si="1"/>
        <v>10.384615384615385</v>
      </c>
      <c r="C30" s="29">
        <f t="shared" si="2"/>
        <v>0</v>
      </c>
      <c r="D30" s="27">
        <f t="shared" si="7"/>
        <v>250</v>
      </c>
      <c r="E30" s="27">
        <f t="shared" si="8"/>
        <v>5.7319223985890657</v>
      </c>
      <c r="F30" s="29">
        <f t="shared" si="9"/>
        <v>1.76</v>
      </c>
      <c r="G30" s="27">
        <f t="shared" si="10"/>
        <v>1.76</v>
      </c>
      <c r="H30" s="29">
        <f t="shared" si="3"/>
        <v>1.76</v>
      </c>
      <c r="I30" s="30">
        <f t="shared" si="11"/>
        <v>5.9003496503496602E-4</v>
      </c>
      <c r="J30" s="37">
        <f t="shared" si="15"/>
        <v>1.1800699300699302E-2</v>
      </c>
      <c r="K30" s="91">
        <f t="shared" si="12"/>
        <v>11.800699300699302</v>
      </c>
      <c r="L30" s="68">
        <f t="shared" si="13"/>
        <v>1</v>
      </c>
      <c r="M30" s="28">
        <f t="shared" si="4"/>
        <v>1.4329805996472664</v>
      </c>
      <c r="N30" s="28">
        <f t="shared" si="17"/>
        <v>4.5292899408284099E-2</v>
      </c>
      <c r="O30" s="28">
        <f t="shared" si="16"/>
        <v>76.763076923076923</v>
      </c>
      <c r="P30" s="28">
        <f t="shared" si="5"/>
        <v>122.12307692307691</v>
      </c>
      <c r="Q30" s="28">
        <f t="shared" si="6"/>
        <v>52.338461538461537</v>
      </c>
    </row>
    <row r="31" spans="1:25" x14ac:dyDescent="0.2">
      <c r="A31" s="28">
        <f t="shared" si="0"/>
        <v>54</v>
      </c>
      <c r="B31" s="31">
        <f t="shared" si="1"/>
        <v>10.903846153846153</v>
      </c>
      <c r="C31" s="29">
        <f t="shared" si="2"/>
        <v>0</v>
      </c>
      <c r="D31" s="27">
        <f t="shared" si="7"/>
        <v>250</v>
      </c>
      <c r="E31" s="27">
        <f t="shared" si="8"/>
        <v>5.800981704596162</v>
      </c>
      <c r="F31" s="29">
        <f t="shared" si="9"/>
        <v>1.76</v>
      </c>
      <c r="G31" s="27">
        <f t="shared" si="10"/>
        <v>1.76</v>
      </c>
      <c r="H31" s="29">
        <f t="shared" si="3"/>
        <v>1.76</v>
      </c>
      <c r="I31" s="30">
        <f t="shared" si="11"/>
        <v>5.9003496503496396E-4</v>
      </c>
      <c r="J31" s="37">
        <f t="shared" si="15"/>
        <v>1.2390734265734265E-2</v>
      </c>
      <c r="K31" s="91">
        <f t="shared" si="12"/>
        <v>12.390734265734265</v>
      </c>
      <c r="L31" s="68">
        <f t="shared" si="13"/>
        <v>1</v>
      </c>
      <c r="M31" s="28">
        <f t="shared" si="4"/>
        <v>1.4502454261490405</v>
      </c>
      <c r="N31" s="28">
        <f t="shared" si="17"/>
        <v>4.4753698224851986E-2</v>
      </c>
      <c r="O31" s="28">
        <f t="shared" si="16"/>
        <v>75.849230769230772</v>
      </c>
      <c r="P31" s="28">
        <f t="shared" si="5"/>
        <v>120.66923076923077</v>
      </c>
      <c r="Q31" s="28">
        <f t="shared" si="6"/>
        <v>51.715384615384615</v>
      </c>
    </row>
    <row r="32" spans="1:25" x14ac:dyDescent="0.2">
      <c r="A32" s="28">
        <f t="shared" si="0"/>
        <v>54</v>
      </c>
      <c r="B32" s="31">
        <f t="shared" si="1"/>
        <v>11.423076923076923</v>
      </c>
      <c r="C32" s="29">
        <f t="shared" si="2"/>
        <v>0</v>
      </c>
      <c r="D32" s="27">
        <f t="shared" si="7"/>
        <v>250</v>
      </c>
      <c r="E32" s="27">
        <f t="shared" si="8"/>
        <v>5.8717253839205057</v>
      </c>
      <c r="F32" s="29">
        <f t="shared" si="9"/>
        <v>1.76</v>
      </c>
      <c r="G32" s="27">
        <f t="shared" si="10"/>
        <v>1.76</v>
      </c>
      <c r="H32" s="29">
        <f t="shared" si="3"/>
        <v>1.76</v>
      </c>
      <c r="I32" s="30">
        <f t="shared" si="11"/>
        <v>5.9003496503496602E-4</v>
      </c>
      <c r="J32" s="37">
        <f t="shared" si="15"/>
        <v>1.2980769230769231E-2</v>
      </c>
      <c r="K32" s="91">
        <f t="shared" si="12"/>
        <v>12.980769230769232</v>
      </c>
      <c r="L32" s="68">
        <f t="shared" si="13"/>
        <v>1</v>
      </c>
      <c r="M32" s="28">
        <f t="shared" si="4"/>
        <v>1.4679313459801264</v>
      </c>
      <c r="N32" s="28">
        <f t="shared" si="17"/>
        <v>4.4214497041420192E-2</v>
      </c>
      <c r="O32" s="28">
        <f t="shared" si="16"/>
        <v>74.935384615384621</v>
      </c>
      <c r="P32" s="28">
        <f t="shared" si="5"/>
        <v>119.21538461538462</v>
      </c>
      <c r="Q32" s="28">
        <f t="shared" si="6"/>
        <v>51.092307692307692</v>
      </c>
    </row>
    <row r="33" spans="1:17" x14ac:dyDescent="0.2">
      <c r="A33" s="28">
        <f t="shared" si="0"/>
        <v>54</v>
      </c>
      <c r="B33" s="31">
        <f t="shared" si="1"/>
        <v>11.942307692307692</v>
      </c>
      <c r="C33" s="29">
        <f t="shared" si="2"/>
        <v>0</v>
      </c>
      <c r="D33" s="27">
        <f t="shared" si="7"/>
        <v>250</v>
      </c>
      <c r="E33" s="27">
        <f t="shared" si="8"/>
        <v>5.9442158207590312</v>
      </c>
      <c r="F33" s="29">
        <f t="shared" si="9"/>
        <v>1.76</v>
      </c>
      <c r="G33" s="27">
        <f t="shared" si="10"/>
        <v>1.76</v>
      </c>
      <c r="H33" s="29">
        <f t="shared" si="3"/>
        <v>1.76</v>
      </c>
      <c r="I33" s="30">
        <f t="shared" si="11"/>
        <v>5.9003496503496396E-4</v>
      </c>
      <c r="J33" s="37">
        <f t="shared" si="15"/>
        <v>1.3570804195804195E-2</v>
      </c>
      <c r="K33" s="91">
        <f t="shared" si="12"/>
        <v>13.570804195804195</v>
      </c>
      <c r="L33" s="68">
        <f t="shared" si="13"/>
        <v>1</v>
      </c>
      <c r="M33" s="28">
        <f t="shared" si="4"/>
        <v>1.4860539551897578</v>
      </c>
      <c r="N33" s="28">
        <f t="shared" si="17"/>
        <v>4.3675295857988079E-2</v>
      </c>
      <c r="O33" s="28">
        <f t="shared" si="16"/>
        <v>74.021538461538455</v>
      </c>
      <c r="P33" s="28">
        <f t="shared" si="5"/>
        <v>117.76153846153845</v>
      </c>
      <c r="Q33" s="28">
        <f t="shared" si="6"/>
        <v>50.469230769230769</v>
      </c>
    </row>
    <row r="34" spans="1:17" x14ac:dyDescent="0.2">
      <c r="A34" s="28">
        <f t="shared" si="0"/>
        <v>54</v>
      </c>
      <c r="B34" s="31">
        <f t="shared" si="1"/>
        <v>12.461538461538462</v>
      </c>
      <c r="C34" s="29">
        <f t="shared" si="2"/>
        <v>1</v>
      </c>
      <c r="D34" s="27">
        <f t="shared" si="7"/>
        <v>250</v>
      </c>
      <c r="E34" s="27">
        <f t="shared" si="8"/>
        <v>6.0185185185185182</v>
      </c>
      <c r="F34" s="29">
        <f t="shared" si="9"/>
        <v>2.76</v>
      </c>
      <c r="G34" s="27">
        <f t="shared" si="10"/>
        <v>2.76</v>
      </c>
      <c r="H34" s="29">
        <f t="shared" si="3"/>
        <v>1.7599999999999998</v>
      </c>
      <c r="I34" s="30">
        <f t="shared" si="11"/>
        <v>5.9003496503496613E-4</v>
      </c>
      <c r="J34" s="37">
        <f t="shared" si="15"/>
        <v>1.4160839160839161E-2</v>
      </c>
      <c r="K34" s="91">
        <f t="shared" si="12"/>
        <v>14.160839160839162</v>
      </c>
      <c r="L34" s="68">
        <f t="shared" si="13"/>
        <v>0.6376811594202898</v>
      </c>
      <c r="M34" s="28">
        <f t="shared" si="4"/>
        <v>1.0046296296296295</v>
      </c>
      <c r="N34" s="28">
        <f t="shared" si="17"/>
        <v>6.764523937600872E-2</v>
      </c>
      <c r="O34" s="28">
        <f t="shared" si="16"/>
        <v>114.64615384615384</v>
      </c>
      <c r="P34" s="28">
        <f t="shared" si="5"/>
        <v>157.84615384615384</v>
      </c>
      <c r="Q34" s="28">
        <f t="shared" si="6"/>
        <v>91.384615384615401</v>
      </c>
    </row>
    <row r="35" spans="1:17" x14ac:dyDescent="0.2">
      <c r="A35" s="28">
        <f t="shared" si="0"/>
        <v>54</v>
      </c>
      <c r="B35" s="31">
        <f t="shared" si="1"/>
        <v>12.980769230769232</v>
      </c>
      <c r="C35" s="29">
        <f t="shared" si="2"/>
        <v>1</v>
      </c>
      <c r="D35" s="27">
        <f t="shared" si="7"/>
        <v>250</v>
      </c>
      <c r="E35" s="27">
        <f t="shared" si="8"/>
        <v>6.0947022972339431</v>
      </c>
      <c r="F35" s="29">
        <f t="shared" si="9"/>
        <v>2.76</v>
      </c>
      <c r="G35" s="27">
        <f t="shared" si="10"/>
        <v>2.76</v>
      </c>
      <c r="H35" s="29">
        <f t="shared" si="3"/>
        <v>1.7599999999999998</v>
      </c>
      <c r="I35" s="30">
        <f t="shared" si="11"/>
        <v>5.9003496503496613E-4</v>
      </c>
      <c r="J35" s="37">
        <f t="shared" si="15"/>
        <v>1.4750874125874128E-2</v>
      </c>
      <c r="K35" s="91">
        <f t="shared" si="12"/>
        <v>14.750874125874128</v>
      </c>
      <c r="L35" s="68">
        <f t="shared" si="13"/>
        <v>0.6376811594202898</v>
      </c>
      <c r="M35" s="28">
        <f t="shared" si="4"/>
        <v>1.0236755743084858</v>
      </c>
      <c r="N35" s="28">
        <f t="shared" si="17"/>
        <v>6.6799673883808613E-2</v>
      </c>
      <c r="O35" s="28">
        <f t="shared" si="16"/>
        <v>113.21307692307691</v>
      </c>
      <c r="P35" s="28">
        <f t="shared" si="5"/>
        <v>155.87307692307689</v>
      </c>
      <c r="Q35" s="28">
        <f t="shared" si="6"/>
        <v>90.242307692307691</v>
      </c>
    </row>
    <row r="36" spans="1:17" x14ac:dyDescent="0.2">
      <c r="A36" s="28">
        <f t="shared" si="0"/>
        <v>54</v>
      </c>
      <c r="B36" s="31">
        <f t="shared" si="1"/>
        <v>13.5</v>
      </c>
      <c r="C36" s="29">
        <f t="shared" si="2"/>
        <v>1</v>
      </c>
      <c r="D36" s="27">
        <f t="shared" si="7"/>
        <v>250</v>
      </c>
      <c r="E36" s="27">
        <f t="shared" si="8"/>
        <v>6.1728395061728394</v>
      </c>
      <c r="F36" s="29">
        <f t="shared" si="9"/>
        <v>2.76</v>
      </c>
      <c r="G36" s="27">
        <f t="shared" si="10"/>
        <v>2.76</v>
      </c>
      <c r="H36" s="29">
        <f t="shared" si="3"/>
        <v>1.7599999999999998</v>
      </c>
      <c r="I36" s="30">
        <f t="shared" si="11"/>
        <v>5.9003496503496396E-4</v>
      </c>
      <c r="J36" s="37">
        <f t="shared" si="15"/>
        <v>1.5340909090909093E-2</v>
      </c>
      <c r="K36" s="91">
        <f t="shared" si="12"/>
        <v>15.340909090909092</v>
      </c>
      <c r="L36" s="68">
        <f t="shared" si="13"/>
        <v>0.6376811594202898</v>
      </c>
      <c r="M36" s="28">
        <f t="shared" si="4"/>
        <v>1.0432098765432098</v>
      </c>
      <c r="N36" s="28">
        <f t="shared" si="17"/>
        <v>6.5954108391608271E-2</v>
      </c>
      <c r="O36" s="28">
        <f t="shared" si="16"/>
        <v>111.77999999999999</v>
      </c>
      <c r="P36" s="28">
        <f t="shared" si="5"/>
        <v>153.9</v>
      </c>
      <c r="Q36" s="28">
        <f t="shared" si="6"/>
        <v>89.100000000000009</v>
      </c>
    </row>
    <row r="37" spans="1:17" x14ac:dyDescent="0.2">
      <c r="A37" s="28">
        <f t="shared" si="0"/>
        <v>54</v>
      </c>
      <c r="B37" s="31">
        <f t="shared" si="1"/>
        <v>14.01923076923077</v>
      </c>
      <c r="C37" s="29">
        <f t="shared" si="2"/>
        <v>1</v>
      </c>
      <c r="D37" s="27">
        <f t="shared" si="7"/>
        <v>250</v>
      </c>
      <c r="E37" s="27">
        <f t="shared" si="8"/>
        <v>6.2530062530062533</v>
      </c>
      <c r="F37" s="29">
        <f t="shared" si="9"/>
        <v>2.76</v>
      </c>
      <c r="G37" s="27">
        <f t="shared" si="10"/>
        <v>2.76</v>
      </c>
      <c r="H37" s="29">
        <f t="shared" si="3"/>
        <v>1.7599999999999998</v>
      </c>
      <c r="I37" s="30">
        <f t="shared" si="11"/>
        <v>5.9003496503496613E-4</v>
      </c>
      <c r="J37" s="37">
        <f t="shared" si="15"/>
        <v>1.5930944055944057E-2</v>
      </c>
      <c r="K37" s="91">
        <f t="shared" si="12"/>
        <v>15.930944055944057</v>
      </c>
      <c r="L37" s="68">
        <f t="shared" si="13"/>
        <v>0.6376811594202898</v>
      </c>
      <c r="M37" s="28">
        <f t="shared" si="4"/>
        <v>1.0632515632515633</v>
      </c>
      <c r="N37" s="28">
        <f t="shared" si="17"/>
        <v>6.5108542899408386E-2</v>
      </c>
      <c r="O37" s="28">
        <f t="shared" si="16"/>
        <v>110.34692307692306</v>
      </c>
      <c r="P37" s="28">
        <f t="shared" si="5"/>
        <v>151.92692307692306</v>
      </c>
      <c r="Q37" s="28">
        <f t="shared" si="6"/>
        <v>87.957692307692298</v>
      </c>
    </row>
    <row r="38" spans="1:17" x14ac:dyDescent="0.2">
      <c r="A38" s="28">
        <f t="shared" si="0"/>
        <v>54</v>
      </c>
      <c r="B38" s="31">
        <f t="shared" si="1"/>
        <v>14.538461538461538</v>
      </c>
      <c r="C38" s="29">
        <f t="shared" si="2"/>
        <v>1</v>
      </c>
      <c r="D38" s="27">
        <f t="shared" si="7"/>
        <v>250</v>
      </c>
      <c r="E38" s="27">
        <f t="shared" si="8"/>
        <v>6.3352826510721254</v>
      </c>
      <c r="F38" s="29">
        <f t="shared" si="9"/>
        <v>2.76</v>
      </c>
      <c r="G38" s="27">
        <f t="shared" si="10"/>
        <v>2.76</v>
      </c>
      <c r="H38" s="29">
        <f t="shared" si="3"/>
        <v>1.7599999999999998</v>
      </c>
      <c r="I38" s="30">
        <f t="shared" si="11"/>
        <v>5.9003496503496396E-4</v>
      </c>
      <c r="J38" s="37">
        <f t="shared" si="15"/>
        <v>1.6520979020979022E-2</v>
      </c>
      <c r="K38" s="91">
        <f t="shared" si="12"/>
        <v>16.520979020979023</v>
      </c>
      <c r="L38" s="68">
        <f t="shared" si="13"/>
        <v>0.6376811594202898</v>
      </c>
      <c r="M38" s="28">
        <f t="shared" si="4"/>
        <v>1.0838206627680314</v>
      </c>
      <c r="N38" s="28">
        <f t="shared" si="17"/>
        <v>6.4262977407208058E-2</v>
      </c>
      <c r="O38" s="28">
        <f t="shared" si="16"/>
        <v>108.91384615384614</v>
      </c>
      <c r="P38" s="28">
        <f t="shared" si="5"/>
        <v>149.95384615384614</v>
      </c>
      <c r="Q38" s="28">
        <f t="shared" si="6"/>
        <v>86.815384615384616</v>
      </c>
    </row>
    <row r="39" spans="1:17" x14ac:dyDescent="0.2">
      <c r="A39" s="28">
        <f t="shared" si="0"/>
        <v>54</v>
      </c>
      <c r="B39" s="31">
        <f t="shared" si="1"/>
        <v>15.057692307692308</v>
      </c>
      <c r="C39" s="29">
        <f t="shared" si="2"/>
        <v>1</v>
      </c>
      <c r="D39" s="27">
        <f t="shared" si="7"/>
        <v>250</v>
      </c>
      <c r="E39" s="27">
        <f t="shared" si="8"/>
        <v>6.4197530864197532</v>
      </c>
      <c r="F39" s="29">
        <f t="shared" si="9"/>
        <v>2.76</v>
      </c>
      <c r="G39" s="27">
        <f t="shared" si="10"/>
        <v>2.76</v>
      </c>
      <c r="H39" s="29">
        <f t="shared" si="3"/>
        <v>1.7599999999999998</v>
      </c>
      <c r="I39" s="30">
        <f t="shared" si="11"/>
        <v>5.9003496503496613E-4</v>
      </c>
      <c r="J39" s="37">
        <f t="shared" si="15"/>
        <v>1.7111013986013987E-2</v>
      </c>
      <c r="K39" s="91">
        <f t="shared" si="12"/>
        <v>17.111013986013987</v>
      </c>
      <c r="L39" s="68">
        <f t="shared" si="13"/>
        <v>0.6376811594202898</v>
      </c>
      <c r="M39" s="28">
        <f t="shared" si="4"/>
        <v>1.1049382716049383</v>
      </c>
      <c r="N39" s="28">
        <f t="shared" si="17"/>
        <v>6.3417411915008187E-2</v>
      </c>
      <c r="O39" s="28">
        <f t="shared" si="16"/>
        <v>107.48076923076923</v>
      </c>
      <c r="P39" s="28">
        <f t="shared" si="5"/>
        <v>147.98076923076923</v>
      </c>
      <c r="Q39" s="28">
        <f t="shared" si="6"/>
        <v>85.673076923076934</v>
      </c>
    </row>
    <row r="40" spans="1:17" x14ac:dyDescent="0.2">
      <c r="A40" s="28">
        <f t="shared" si="0"/>
        <v>54</v>
      </c>
      <c r="B40" s="31">
        <f t="shared" si="1"/>
        <v>15.576923076923075</v>
      </c>
      <c r="C40" s="29">
        <f t="shared" si="2"/>
        <v>1</v>
      </c>
      <c r="D40" s="27">
        <f t="shared" si="7"/>
        <v>250</v>
      </c>
      <c r="E40" s="27">
        <f t="shared" si="8"/>
        <v>6.506506506506506</v>
      </c>
      <c r="F40" s="29">
        <f t="shared" si="9"/>
        <v>2.76</v>
      </c>
      <c r="G40" s="27">
        <f t="shared" si="10"/>
        <v>2.76</v>
      </c>
      <c r="H40" s="29">
        <f t="shared" si="3"/>
        <v>1.7599999999999998</v>
      </c>
      <c r="I40" s="30">
        <f t="shared" si="11"/>
        <v>5.9003496503496201E-4</v>
      </c>
      <c r="J40" s="37">
        <f t="shared" si="15"/>
        <v>1.7701048951048948E-2</v>
      </c>
      <c r="K40" s="91">
        <f t="shared" si="12"/>
        <v>17.70104895104895</v>
      </c>
      <c r="L40" s="68">
        <f t="shared" si="13"/>
        <v>0.6376811594202898</v>
      </c>
      <c r="M40" s="28">
        <f t="shared" si="4"/>
        <v>1.1266266266266265</v>
      </c>
      <c r="N40" s="28">
        <f t="shared" si="17"/>
        <v>6.2571846422807637E-2</v>
      </c>
      <c r="O40" s="28">
        <f t="shared" si="16"/>
        <v>106.04769230769232</v>
      </c>
      <c r="P40" s="28">
        <f t="shared" si="5"/>
        <v>146.00769230769231</v>
      </c>
      <c r="Q40" s="28">
        <f t="shared" si="6"/>
        <v>84.530769230769252</v>
      </c>
    </row>
    <row r="41" spans="1:17" x14ac:dyDescent="0.2">
      <c r="A41" s="28">
        <f t="shared" si="0"/>
        <v>54</v>
      </c>
      <c r="B41" s="31">
        <f t="shared" si="1"/>
        <v>16.096153846153847</v>
      </c>
      <c r="C41" s="29">
        <f t="shared" si="2"/>
        <v>1</v>
      </c>
      <c r="D41" s="27">
        <f t="shared" si="7"/>
        <v>250</v>
      </c>
      <c r="E41" s="27">
        <f t="shared" si="8"/>
        <v>6.5956367326230341</v>
      </c>
      <c r="F41" s="29">
        <f t="shared" si="9"/>
        <v>2.76</v>
      </c>
      <c r="G41" s="27">
        <f t="shared" si="10"/>
        <v>2.76</v>
      </c>
      <c r="H41" s="29">
        <f t="shared" si="3"/>
        <v>1.7599999999999998</v>
      </c>
      <c r="I41" s="30">
        <f t="shared" si="11"/>
        <v>5.9003496503496808E-4</v>
      </c>
      <c r="J41" s="37">
        <f t="shared" si="15"/>
        <v>1.8291083916083917E-2</v>
      </c>
      <c r="K41" s="91">
        <f t="shared" si="12"/>
        <v>18.291083916083917</v>
      </c>
      <c r="L41" s="68">
        <f t="shared" si="13"/>
        <v>0.6376811594202898</v>
      </c>
      <c r="M41" s="28">
        <f t="shared" si="4"/>
        <v>1.1489091831557585</v>
      </c>
      <c r="N41" s="28">
        <f t="shared" si="17"/>
        <v>6.1726280930608168E-2</v>
      </c>
      <c r="O41" s="28">
        <f t="shared" si="16"/>
        <v>104.61461538461538</v>
      </c>
      <c r="P41" s="28">
        <f t="shared" si="5"/>
        <v>144.03461538461536</v>
      </c>
      <c r="Q41" s="28">
        <f t="shared" si="6"/>
        <v>83.388461538461542</v>
      </c>
    </row>
    <row r="42" spans="1:17" x14ac:dyDescent="0.2">
      <c r="A42" s="28">
        <f t="shared" ref="A42:A73" si="18">VINMAX</f>
        <v>54</v>
      </c>
      <c r="B42" s="31">
        <f t="shared" ref="B42:B73" si="19">VINMAX*((ROW()-10)/104)</f>
        <v>16.615384615384617</v>
      </c>
      <c r="C42" s="29">
        <f t="shared" ref="C42:C73" si="20">IF(B42&gt;=$H$2,IF($D$2="CC", $G$2, B42/$G$2), 0)</f>
        <v>1</v>
      </c>
      <c r="D42" s="27">
        <f t="shared" ref="D42:D73" si="21">$B$2-B42*$J$2/($I$2*0.001)</f>
        <v>250</v>
      </c>
      <c r="E42" s="27">
        <f t="shared" si="8"/>
        <v>6.6872427983539087</v>
      </c>
      <c r="F42" s="29">
        <f t="shared" ref="F42:F73" si="22">I_Cout_ss+C42</f>
        <v>2.76</v>
      </c>
      <c r="G42" s="27">
        <f t="shared" si="10"/>
        <v>2.76</v>
      </c>
      <c r="H42" s="29">
        <f t="shared" ref="H42:H73" si="23">G42-C42</f>
        <v>1.7599999999999998</v>
      </c>
      <c r="I42" s="30">
        <f t="shared" si="11"/>
        <v>5.9003496503496613E-4</v>
      </c>
      <c r="J42" s="37">
        <f t="shared" si="15"/>
        <v>1.8881118881118882E-2</v>
      </c>
      <c r="K42" s="91">
        <f t="shared" si="12"/>
        <v>18.88111888111888</v>
      </c>
      <c r="L42" s="68">
        <f t="shared" si="13"/>
        <v>0.6376811594202898</v>
      </c>
      <c r="M42" s="28">
        <f t="shared" ref="M42:M73" si="24">1/COUTMAX*(E42/2-C42)*1000</f>
        <v>1.1718106995884772</v>
      </c>
      <c r="N42" s="28">
        <f t="shared" si="17"/>
        <v>6.0880715438407854E-2</v>
      </c>
      <c r="O42" s="28">
        <f t="shared" si="16"/>
        <v>103.18153846153847</v>
      </c>
      <c r="P42" s="28">
        <f t="shared" ref="P42:P73" si="25">(A42-B42)*(I_Cout_ss*$Q$2+C42)</f>
        <v>142.06153846153848</v>
      </c>
      <c r="Q42" s="28">
        <f t="shared" ref="Q42:Q73" si="26">(A42-B42)*(I_Cout_ss*$R$2+C42)</f>
        <v>82.246153846153859</v>
      </c>
    </row>
    <row r="43" spans="1:17" x14ac:dyDescent="0.2">
      <c r="A43" s="28">
        <f t="shared" si="18"/>
        <v>54</v>
      </c>
      <c r="B43" s="31">
        <f t="shared" si="19"/>
        <v>17.134615384615383</v>
      </c>
      <c r="C43" s="29">
        <f t="shared" si="20"/>
        <v>1</v>
      </c>
      <c r="D43" s="27">
        <f t="shared" si="21"/>
        <v>250</v>
      </c>
      <c r="E43" s="27">
        <f t="shared" si="8"/>
        <v>6.781429316640585</v>
      </c>
      <c r="F43" s="29">
        <f t="shared" si="22"/>
        <v>2.76</v>
      </c>
      <c r="G43" s="27">
        <f t="shared" si="10"/>
        <v>2.76</v>
      </c>
      <c r="H43" s="29">
        <f t="shared" si="23"/>
        <v>1.7599999999999998</v>
      </c>
      <c r="I43" s="30">
        <f t="shared" ref="I43:I74" si="27">(COUTMAX/1000000)*(B43-B42)/H43</f>
        <v>5.9003496503496201E-4</v>
      </c>
      <c r="J43" s="37">
        <f t="shared" si="15"/>
        <v>1.9471153846153843E-2</v>
      </c>
      <c r="K43" s="91">
        <f t="shared" si="12"/>
        <v>19.471153846153843</v>
      </c>
      <c r="L43" s="68">
        <f t="shared" si="13"/>
        <v>0.6376811594202898</v>
      </c>
      <c r="M43" s="28">
        <f t="shared" si="24"/>
        <v>1.1953573291601465</v>
      </c>
      <c r="N43" s="28">
        <f t="shared" si="17"/>
        <v>6.0035149946207324E-2</v>
      </c>
      <c r="O43" s="28">
        <f t="shared" si="16"/>
        <v>101.74846153846153</v>
      </c>
      <c r="P43" s="28">
        <f t="shared" si="25"/>
        <v>140.08846153846153</v>
      </c>
      <c r="Q43" s="28">
        <f t="shared" si="26"/>
        <v>81.103846153846149</v>
      </c>
    </row>
    <row r="44" spans="1:17" x14ac:dyDescent="0.2">
      <c r="A44" s="28">
        <f t="shared" si="18"/>
        <v>54</v>
      </c>
      <c r="B44" s="31">
        <f t="shared" si="19"/>
        <v>17.653846153846153</v>
      </c>
      <c r="C44" s="29">
        <f t="shared" si="20"/>
        <v>1</v>
      </c>
      <c r="D44" s="27">
        <f t="shared" si="21"/>
        <v>250</v>
      </c>
      <c r="E44" s="27">
        <f t="shared" si="8"/>
        <v>6.8783068783068781</v>
      </c>
      <c r="F44" s="29">
        <f t="shared" si="22"/>
        <v>2.76</v>
      </c>
      <c r="G44" s="27">
        <f t="shared" si="10"/>
        <v>2.76</v>
      </c>
      <c r="H44" s="29">
        <f t="shared" si="23"/>
        <v>1.7599999999999998</v>
      </c>
      <c r="I44" s="30">
        <f t="shared" si="27"/>
        <v>5.9003496503496613E-4</v>
      </c>
      <c r="J44" s="37">
        <f t="shared" si="15"/>
        <v>2.0061188811188808E-2</v>
      </c>
      <c r="K44" s="91">
        <f t="shared" si="12"/>
        <v>20.061188811188806</v>
      </c>
      <c r="L44" s="68">
        <f t="shared" si="13"/>
        <v>0.6376811594202898</v>
      </c>
      <c r="M44" s="28">
        <f t="shared" si="24"/>
        <v>1.2195767195767195</v>
      </c>
      <c r="N44" s="28">
        <f t="shared" si="17"/>
        <v>5.9189584454007634E-2</v>
      </c>
      <c r="O44" s="28">
        <f t="shared" si="16"/>
        <v>100.31538461538462</v>
      </c>
      <c r="P44" s="28">
        <f t="shared" si="25"/>
        <v>138.11538461538461</v>
      </c>
      <c r="Q44" s="28">
        <f t="shared" si="26"/>
        <v>79.961538461538467</v>
      </c>
    </row>
    <row r="45" spans="1:17" x14ac:dyDescent="0.2">
      <c r="A45" s="28">
        <f t="shared" si="18"/>
        <v>54</v>
      </c>
      <c r="B45" s="31">
        <f t="shared" si="19"/>
        <v>18.173076923076923</v>
      </c>
      <c r="C45" s="29">
        <f t="shared" si="20"/>
        <v>1</v>
      </c>
      <c r="D45" s="27">
        <f t="shared" si="21"/>
        <v>250</v>
      </c>
      <c r="E45" s="27">
        <f t="shared" si="8"/>
        <v>6.9779924852388611</v>
      </c>
      <c r="F45" s="29">
        <f t="shared" si="22"/>
        <v>2.76</v>
      </c>
      <c r="G45" s="27">
        <f t="shared" si="10"/>
        <v>2.76</v>
      </c>
      <c r="H45" s="29">
        <f t="shared" si="23"/>
        <v>1.7599999999999998</v>
      </c>
      <c r="I45" s="30">
        <f t="shared" si="27"/>
        <v>5.9003496503496613E-4</v>
      </c>
      <c r="J45" s="37">
        <f t="shared" si="15"/>
        <v>2.0651223776223773E-2</v>
      </c>
      <c r="K45" s="91">
        <f t="shared" si="12"/>
        <v>20.651223776223773</v>
      </c>
      <c r="L45" s="68">
        <f t="shared" si="13"/>
        <v>0.6376811594202898</v>
      </c>
      <c r="M45" s="28">
        <f t="shared" si="24"/>
        <v>1.2444981213097153</v>
      </c>
      <c r="N45" s="28">
        <f t="shared" si="17"/>
        <v>5.8344018961807527E-2</v>
      </c>
      <c r="O45" s="28">
        <f t="shared" si="16"/>
        <v>98.882307692307691</v>
      </c>
      <c r="P45" s="28">
        <f t="shared" si="25"/>
        <v>136.1423076923077</v>
      </c>
      <c r="Q45" s="28">
        <f t="shared" si="26"/>
        <v>78.819230769230785</v>
      </c>
    </row>
    <row r="46" spans="1:17" x14ac:dyDescent="0.2">
      <c r="A46" s="28">
        <f t="shared" si="18"/>
        <v>54</v>
      </c>
      <c r="B46" s="31">
        <f t="shared" si="19"/>
        <v>18.692307692307693</v>
      </c>
      <c r="C46" s="29">
        <f t="shared" si="20"/>
        <v>1</v>
      </c>
      <c r="D46" s="27">
        <f t="shared" si="21"/>
        <v>250</v>
      </c>
      <c r="E46" s="27">
        <f t="shared" si="8"/>
        <v>7.0806100217864927</v>
      </c>
      <c r="F46" s="29">
        <f t="shared" si="22"/>
        <v>2.76</v>
      </c>
      <c r="G46" s="27">
        <f t="shared" si="10"/>
        <v>2.76</v>
      </c>
      <c r="H46" s="29">
        <f t="shared" si="23"/>
        <v>1.7599999999999998</v>
      </c>
      <c r="I46" s="30">
        <f t="shared" si="27"/>
        <v>5.9003496503496613E-4</v>
      </c>
      <c r="J46" s="37">
        <f t="shared" si="15"/>
        <v>2.1241258741258737E-2</v>
      </c>
      <c r="K46" s="91">
        <f t="shared" si="12"/>
        <v>21.241258741258736</v>
      </c>
      <c r="L46" s="68">
        <f t="shared" si="13"/>
        <v>0.6376811594202898</v>
      </c>
      <c r="M46" s="28">
        <f t="shared" si="24"/>
        <v>1.2701525054466232</v>
      </c>
      <c r="N46" s="28">
        <f t="shared" si="17"/>
        <v>5.7498453469607413E-2</v>
      </c>
      <c r="O46" s="28">
        <f t="shared" si="16"/>
        <v>97.449230769230752</v>
      </c>
      <c r="P46" s="28">
        <f t="shared" si="25"/>
        <v>134.16923076923075</v>
      </c>
      <c r="Q46" s="28">
        <f t="shared" si="26"/>
        <v>77.676923076923075</v>
      </c>
    </row>
    <row r="47" spans="1:17" x14ac:dyDescent="0.2">
      <c r="A47" s="28">
        <f t="shared" si="18"/>
        <v>54</v>
      </c>
      <c r="B47" s="31">
        <f t="shared" si="19"/>
        <v>19.211538461538463</v>
      </c>
      <c r="C47" s="29">
        <f t="shared" si="20"/>
        <v>1</v>
      </c>
      <c r="D47" s="27">
        <f t="shared" si="21"/>
        <v>250</v>
      </c>
      <c r="E47" s="27">
        <f t="shared" si="8"/>
        <v>7.1862907683803217</v>
      </c>
      <c r="F47" s="29">
        <f t="shared" si="22"/>
        <v>2.76</v>
      </c>
      <c r="G47" s="27">
        <f t="shared" si="10"/>
        <v>2.76</v>
      </c>
      <c r="H47" s="29">
        <f t="shared" si="23"/>
        <v>1.7599999999999998</v>
      </c>
      <c r="I47" s="30">
        <f t="shared" si="27"/>
        <v>5.9003496503496613E-4</v>
      </c>
      <c r="J47" s="37">
        <f t="shared" si="15"/>
        <v>2.1831293706293702E-2</v>
      </c>
      <c r="K47" s="91">
        <f t="shared" si="12"/>
        <v>21.831293706293703</v>
      </c>
      <c r="L47" s="68">
        <f t="shared" si="13"/>
        <v>0.6376811594202898</v>
      </c>
      <c r="M47" s="28">
        <f t="shared" si="24"/>
        <v>1.2965726920950804</v>
      </c>
      <c r="N47" s="28">
        <f t="shared" si="17"/>
        <v>5.66528879774073E-2</v>
      </c>
      <c r="O47" s="28">
        <f t="shared" si="16"/>
        <v>96.016153846153827</v>
      </c>
      <c r="P47" s="28">
        <f t="shared" si="25"/>
        <v>132.19615384615381</v>
      </c>
      <c r="Q47" s="28">
        <f t="shared" si="26"/>
        <v>76.534615384615378</v>
      </c>
    </row>
    <row r="48" spans="1:17" x14ac:dyDescent="0.2">
      <c r="A48" s="28">
        <f t="shared" si="18"/>
        <v>54</v>
      </c>
      <c r="B48" s="31">
        <f t="shared" si="19"/>
        <v>19.73076923076923</v>
      </c>
      <c r="C48" s="29">
        <f t="shared" si="20"/>
        <v>1</v>
      </c>
      <c r="D48" s="27">
        <f t="shared" si="21"/>
        <v>250</v>
      </c>
      <c r="E48" s="27">
        <f t="shared" si="8"/>
        <v>7.2951739618406277</v>
      </c>
      <c r="F48" s="29">
        <f t="shared" si="22"/>
        <v>2.76</v>
      </c>
      <c r="G48" s="27">
        <f t="shared" si="10"/>
        <v>2.76</v>
      </c>
      <c r="H48" s="29">
        <f t="shared" si="23"/>
        <v>1.7599999999999998</v>
      </c>
      <c r="I48" s="30">
        <f t="shared" si="27"/>
        <v>5.9003496503496201E-4</v>
      </c>
      <c r="J48" s="37">
        <f t="shared" si="15"/>
        <v>2.2421328671328664E-2</v>
      </c>
      <c r="K48" s="91">
        <f t="shared" si="12"/>
        <v>22.421328671328663</v>
      </c>
      <c r="L48" s="68">
        <f t="shared" si="13"/>
        <v>0.6376811594202898</v>
      </c>
      <c r="M48" s="28">
        <f t="shared" si="24"/>
        <v>1.3237934904601572</v>
      </c>
      <c r="N48" s="28">
        <f t="shared" si="17"/>
        <v>5.5807322485206819E-2</v>
      </c>
      <c r="O48" s="28">
        <f t="shared" si="16"/>
        <v>94.583076923076931</v>
      </c>
      <c r="P48" s="28">
        <f t="shared" si="25"/>
        <v>130.22307692307695</v>
      </c>
      <c r="Q48" s="28">
        <f t="shared" si="26"/>
        <v>75.39230769230771</v>
      </c>
    </row>
    <row r="49" spans="1:17" x14ac:dyDescent="0.2">
      <c r="A49" s="28">
        <f t="shared" si="18"/>
        <v>54</v>
      </c>
      <c r="B49" s="31">
        <f t="shared" si="19"/>
        <v>20.25</v>
      </c>
      <c r="C49" s="29">
        <f t="shared" si="20"/>
        <v>1</v>
      </c>
      <c r="D49" s="27">
        <f t="shared" si="21"/>
        <v>250</v>
      </c>
      <c r="E49" s="27">
        <f t="shared" si="8"/>
        <v>7.4074074074074074</v>
      </c>
      <c r="F49" s="29">
        <f t="shared" si="22"/>
        <v>2.76</v>
      </c>
      <c r="G49" s="27">
        <f t="shared" si="10"/>
        <v>2.76</v>
      </c>
      <c r="H49" s="29">
        <f t="shared" si="23"/>
        <v>1.7599999999999998</v>
      </c>
      <c r="I49" s="30">
        <f t="shared" si="27"/>
        <v>5.9003496503496613E-4</v>
      </c>
      <c r="J49" s="37">
        <f t="shared" si="15"/>
        <v>2.3011363636363628E-2</v>
      </c>
      <c r="K49" s="91">
        <f t="shared" si="12"/>
        <v>23.01136363636363</v>
      </c>
      <c r="L49" s="68">
        <f t="shared" si="13"/>
        <v>0.6376811594202898</v>
      </c>
      <c r="M49" s="28">
        <f t="shared" si="24"/>
        <v>1.3518518518518519</v>
      </c>
      <c r="N49" s="28">
        <f t="shared" si="17"/>
        <v>5.4961756993007087E-2</v>
      </c>
      <c r="O49" s="28">
        <f t="shared" si="16"/>
        <v>93.149999999999991</v>
      </c>
      <c r="P49" s="28">
        <f t="shared" si="25"/>
        <v>128.25</v>
      </c>
      <c r="Q49" s="28">
        <f t="shared" si="26"/>
        <v>74.25</v>
      </c>
    </row>
    <row r="50" spans="1:17" x14ac:dyDescent="0.2">
      <c r="A50" s="28">
        <f t="shared" si="18"/>
        <v>54</v>
      </c>
      <c r="B50" s="31">
        <f t="shared" si="19"/>
        <v>20.76923076923077</v>
      </c>
      <c r="C50" s="29">
        <f t="shared" si="20"/>
        <v>1</v>
      </c>
      <c r="D50" s="27">
        <f t="shared" si="21"/>
        <v>250</v>
      </c>
      <c r="E50" s="27">
        <f t="shared" si="8"/>
        <v>7.5231481481481488</v>
      </c>
      <c r="F50" s="29">
        <f t="shared" si="22"/>
        <v>2.76</v>
      </c>
      <c r="G50" s="27">
        <f t="shared" si="10"/>
        <v>2.76</v>
      </c>
      <c r="H50" s="29">
        <f t="shared" si="23"/>
        <v>1.7599999999999998</v>
      </c>
      <c r="I50" s="30">
        <f t="shared" si="27"/>
        <v>5.9003496503496613E-4</v>
      </c>
      <c r="J50" s="37">
        <f t="shared" si="15"/>
        <v>2.3601398601398593E-2</v>
      </c>
      <c r="K50" s="91">
        <f t="shared" si="12"/>
        <v>23.601398601398593</v>
      </c>
      <c r="L50" s="68">
        <f t="shared" si="13"/>
        <v>0.6376811594202898</v>
      </c>
      <c r="M50" s="28">
        <f t="shared" si="24"/>
        <v>1.3807870370370372</v>
      </c>
      <c r="N50" s="28">
        <f t="shared" si="17"/>
        <v>5.4116191500806973E-2</v>
      </c>
      <c r="O50" s="28">
        <f t="shared" si="16"/>
        <v>91.716923076923052</v>
      </c>
      <c r="P50" s="28">
        <f t="shared" si="25"/>
        <v>126.27692307692305</v>
      </c>
      <c r="Q50" s="28">
        <f t="shared" si="26"/>
        <v>73.107692307692304</v>
      </c>
    </row>
    <row r="51" spans="1:17" x14ac:dyDescent="0.2">
      <c r="A51" s="28">
        <f t="shared" si="18"/>
        <v>54</v>
      </c>
      <c r="B51" s="31">
        <f t="shared" si="19"/>
        <v>21.288461538461537</v>
      </c>
      <c r="C51" s="29">
        <f t="shared" si="20"/>
        <v>1</v>
      </c>
      <c r="D51" s="27">
        <f t="shared" si="21"/>
        <v>250</v>
      </c>
      <c r="E51" s="27">
        <f t="shared" si="8"/>
        <v>7.6425631981187525</v>
      </c>
      <c r="F51" s="29">
        <f t="shared" si="22"/>
        <v>2.76</v>
      </c>
      <c r="G51" s="27">
        <f t="shared" si="10"/>
        <v>2.76</v>
      </c>
      <c r="H51" s="29">
        <f t="shared" si="23"/>
        <v>1.7599999999999998</v>
      </c>
      <c r="I51" s="30">
        <f t="shared" si="27"/>
        <v>5.9003496503496201E-4</v>
      </c>
      <c r="J51" s="37">
        <f t="shared" si="15"/>
        <v>2.4191433566433555E-2</v>
      </c>
      <c r="K51" s="91">
        <f t="shared" si="12"/>
        <v>24.191433566433556</v>
      </c>
      <c r="L51" s="68">
        <f t="shared" si="13"/>
        <v>0.6376811594202898</v>
      </c>
      <c r="M51" s="28">
        <f t="shared" si="24"/>
        <v>1.4106407995296881</v>
      </c>
      <c r="N51" s="28">
        <f t="shared" si="17"/>
        <v>5.3270626008606513E-2</v>
      </c>
      <c r="O51" s="28">
        <f t="shared" si="16"/>
        <v>90.283846153846156</v>
      </c>
      <c r="P51" s="28">
        <f t="shared" si="25"/>
        <v>124.30384615384617</v>
      </c>
      <c r="Q51" s="28">
        <f t="shared" si="26"/>
        <v>71.965384615384636</v>
      </c>
    </row>
    <row r="52" spans="1:17" x14ac:dyDescent="0.2">
      <c r="A52" s="28">
        <f t="shared" si="18"/>
        <v>54</v>
      </c>
      <c r="B52" s="31">
        <f t="shared" si="19"/>
        <v>21.807692307692307</v>
      </c>
      <c r="C52" s="29">
        <f t="shared" si="20"/>
        <v>1</v>
      </c>
      <c r="D52" s="27">
        <f t="shared" si="21"/>
        <v>250</v>
      </c>
      <c r="E52" s="27">
        <f t="shared" si="8"/>
        <v>7.7658303464755072</v>
      </c>
      <c r="F52" s="29">
        <f t="shared" si="22"/>
        <v>2.76</v>
      </c>
      <c r="G52" s="27">
        <f t="shared" si="10"/>
        <v>2.76</v>
      </c>
      <c r="H52" s="29">
        <f t="shared" si="23"/>
        <v>1.7599999999999998</v>
      </c>
      <c r="I52" s="30">
        <f t="shared" si="27"/>
        <v>5.9003496503496613E-4</v>
      </c>
      <c r="J52" s="37">
        <f t="shared" si="15"/>
        <v>2.4781468531468519E-2</v>
      </c>
      <c r="K52" s="91">
        <f t="shared" si="12"/>
        <v>24.781468531468519</v>
      </c>
      <c r="L52" s="68">
        <f t="shared" si="13"/>
        <v>0.6376811594202898</v>
      </c>
      <c r="M52" s="28">
        <f t="shared" si="24"/>
        <v>1.4414575866188768</v>
      </c>
      <c r="N52" s="28">
        <f t="shared" si="17"/>
        <v>5.242506051640676E-2</v>
      </c>
      <c r="O52" s="28">
        <f t="shared" si="16"/>
        <v>88.850769230769231</v>
      </c>
      <c r="P52" s="28">
        <f t="shared" si="25"/>
        <v>122.33076923076923</v>
      </c>
      <c r="Q52" s="28">
        <f t="shared" si="26"/>
        <v>70.823076923076925</v>
      </c>
    </row>
    <row r="53" spans="1:17" x14ac:dyDescent="0.2">
      <c r="A53" s="28">
        <f t="shared" si="18"/>
        <v>54</v>
      </c>
      <c r="B53" s="31">
        <f t="shared" si="19"/>
        <v>22.326923076923077</v>
      </c>
      <c r="C53" s="29">
        <f t="shared" si="20"/>
        <v>1</v>
      </c>
      <c r="D53" s="27">
        <f t="shared" si="21"/>
        <v>250</v>
      </c>
      <c r="E53" s="27">
        <f t="shared" si="8"/>
        <v>7.8931390406800244</v>
      </c>
      <c r="F53" s="29">
        <f t="shared" si="22"/>
        <v>2.76</v>
      </c>
      <c r="G53" s="27">
        <f t="shared" si="10"/>
        <v>2.76</v>
      </c>
      <c r="H53" s="29">
        <f t="shared" si="23"/>
        <v>1.7599999999999998</v>
      </c>
      <c r="I53" s="30">
        <f t="shared" si="27"/>
        <v>5.9003496503496613E-4</v>
      </c>
      <c r="J53" s="37">
        <f t="shared" si="15"/>
        <v>2.5371503496503484E-2</v>
      </c>
      <c r="K53" s="91">
        <f t="shared" si="12"/>
        <v>25.371503496503486</v>
      </c>
      <c r="L53" s="68">
        <f t="shared" si="13"/>
        <v>0.6376811594202898</v>
      </c>
      <c r="M53" s="28">
        <f t="shared" si="24"/>
        <v>1.4732847601700063</v>
      </c>
      <c r="N53" s="28">
        <f t="shared" si="17"/>
        <v>5.1579495024206654E-2</v>
      </c>
      <c r="O53" s="28">
        <f t="shared" si="16"/>
        <v>87.417692307692306</v>
      </c>
      <c r="P53" s="28">
        <f t="shared" si="25"/>
        <v>120.3576923076923</v>
      </c>
      <c r="Q53" s="28">
        <f t="shared" si="26"/>
        <v>69.680769230769243</v>
      </c>
    </row>
    <row r="54" spans="1:17" x14ac:dyDescent="0.2">
      <c r="A54" s="28">
        <f t="shared" si="18"/>
        <v>54</v>
      </c>
      <c r="B54" s="31">
        <f t="shared" si="19"/>
        <v>22.846153846153847</v>
      </c>
      <c r="C54" s="29">
        <f t="shared" si="20"/>
        <v>1</v>
      </c>
      <c r="D54" s="27">
        <f t="shared" si="21"/>
        <v>250</v>
      </c>
      <c r="E54" s="27">
        <f t="shared" si="8"/>
        <v>8.0246913580246915</v>
      </c>
      <c r="F54" s="29">
        <f t="shared" si="22"/>
        <v>2.76</v>
      </c>
      <c r="G54" s="27">
        <f t="shared" si="10"/>
        <v>2.76</v>
      </c>
      <c r="H54" s="29">
        <f t="shared" si="23"/>
        <v>1.7599999999999998</v>
      </c>
      <c r="I54" s="30">
        <f t="shared" si="27"/>
        <v>5.9003496503496613E-4</v>
      </c>
      <c r="J54" s="37">
        <f t="shared" si="15"/>
        <v>2.5961538461538449E-2</v>
      </c>
      <c r="K54" s="91">
        <f t="shared" si="12"/>
        <v>25.961538461538449</v>
      </c>
      <c r="L54" s="68">
        <f t="shared" si="13"/>
        <v>0.6376811594202898</v>
      </c>
      <c r="M54" s="28">
        <f t="shared" si="24"/>
        <v>1.5061728395061729</v>
      </c>
      <c r="N54" s="28">
        <f t="shared" si="17"/>
        <v>5.073392953200654E-2</v>
      </c>
      <c r="O54" s="28">
        <f t="shared" si="16"/>
        <v>85.984615384615381</v>
      </c>
      <c r="P54" s="28">
        <f t="shared" si="25"/>
        <v>118.38461538461537</v>
      </c>
      <c r="Q54" s="28">
        <f t="shared" si="26"/>
        <v>68.538461538461547</v>
      </c>
    </row>
    <row r="55" spans="1:17" x14ac:dyDescent="0.2">
      <c r="A55" s="28">
        <f t="shared" si="18"/>
        <v>54</v>
      </c>
      <c r="B55" s="31">
        <f t="shared" si="19"/>
        <v>23.365384615384617</v>
      </c>
      <c r="C55" s="29">
        <f t="shared" si="20"/>
        <v>1</v>
      </c>
      <c r="D55" s="27">
        <f t="shared" si="21"/>
        <v>250</v>
      </c>
      <c r="E55" s="27">
        <f t="shared" si="8"/>
        <v>8.1607030759573131</v>
      </c>
      <c r="F55" s="29">
        <f t="shared" si="22"/>
        <v>2.76</v>
      </c>
      <c r="G55" s="27">
        <f t="shared" si="10"/>
        <v>2.76</v>
      </c>
      <c r="H55" s="29">
        <f t="shared" si="23"/>
        <v>1.7599999999999998</v>
      </c>
      <c r="I55" s="30">
        <f t="shared" si="27"/>
        <v>5.9003496503496613E-4</v>
      </c>
      <c r="J55" s="37">
        <f t="shared" si="15"/>
        <v>2.6551573426573414E-2</v>
      </c>
      <c r="K55" s="91">
        <f t="shared" si="12"/>
        <v>26.551573426573412</v>
      </c>
      <c r="L55" s="68">
        <f t="shared" si="13"/>
        <v>0.6376811594202898</v>
      </c>
      <c r="M55" s="28">
        <f t="shared" si="24"/>
        <v>1.5401757689893283</v>
      </c>
      <c r="N55" s="28">
        <f t="shared" si="17"/>
        <v>4.9888364039806433E-2</v>
      </c>
      <c r="O55" s="28">
        <f t="shared" si="16"/>
        <v>84.551538461538456</v>
      </c>
      <c r="P55" s="28">
        <f t="shared" si="25"/>
        <v>116.41153846153846</v>
      </c>
      <c r="Q55" s="28">
        <f t="shared" si="26"/>
        <v>67.396153846153851</v>
      </c>
    </row>
    <row r="56" spans="1:17" x14ac:dyDescent="0.2">
      <c r="A56" s="28">
        <f t="shared" si="18"/>
        <v>54</v>
      </c>
      <c r="B56" s="31">
        <f t="shared" si="19"/>
        <v>23.884615384615383</v>
      </c>
      <c r="C56" s="29">
        <f t="shared" si="20"/>
        <v>1</v>
      </c>
      <c r="D56" s="27">
        <f t="shared" si="21"/>
        <v>250</v>
      </c>
      <c r="E56" s="27">
        <f t="shared" si="8"/>
        <v>8.3014048531289912</v>
      </c>
      <c r="F56" s="29">
        <f t="shared" si="22"/>
        <v>2.76</v>
      </c>
      <c r="G56" s="27">
        <f t="shared" si="10"/>
        <v>2.76</v>
      </c>
      <c r="H56" s="29">
        <f t="shared" si="23"/>
        <v>1.7599999999999998</v>
      </c>
      <c r="I56" s="30">
        <f t="shared" si="27"/>
        <v>5.9003496503496201E-4</v>
      </c>
      <c r="J56" s="37">
        <f t="shared" si="15"/>
        <v>2.7141608391608375E-2</v>
      </c>
      <c r="K56" s="91">
        <f t="shared" si="12"/>
        <v>27.141608391608376</v>
      </c>
      <c r="L56" s="68">
        <f t="shared" si="13"/>
        <v>0.6376811594202898</v>
      </c>
      <c r="M56" s="28">
        <f t="shared" si="24"/>
        <v>1.5753512132822478</v>
      </c>
      <c r="N56" s="28">
        <f t="shared" si="17"/>
        <v>4.9042798547605987E-2</v>
      </c>
      <c r="O56" s="28">
        <f t="shared" si="16"/>
        <v>83.118461538461531</v>
      </c>
      <c r="P56" s="28">
        <f t="shared" si="25"/>
        <v>114.43846153846154</v>
      </c>
      <c r="Q56" s="28">
        <f t="shared" si="26"/>
        <v>66.253846153846169</v>
      </c>
    </row>
    <row r="57" spans="1:17" x14ac:dyDescent="0.2">
      <c r="A57" s="28">
        <f t="shared" si="18"/>
        <v>54</v>
      </c>
      <c r="B57" s="31">
        <f t="shared" si="19"/>
        <v>24.403846153846153</v>
      </c>
      <c r="C57" s="29">
        <f t="shared" si="20"/>
        <v>1</v>
      </c>
      <c r="D57" s="27">
        <f t="shared" si="21"/>
        <v>250</v>
      </c>
      <c r="E57" s="27">
        <f t="shared" si="8"/>
        <v>8.4470435347628321</v>
      </c>
      <c r="F57" s="29">
        <f t="shared" si="22"/>
        <v>2.76</v>
      </c>
      <c r="G57" s="27">
        <f t="shared" si="10"/>
        <v>2.76</v>
      </c>
      <c r="H57" s="29">
        <f t="shared" si="23"/>
        <v>1.7599999999999998</v>
      </c>
      <c r="I57" s="30">
        <f t="shared" si="27"/>
        <v>5.9003496503496613E-4</v>
      </c>
      <c r="J57" s="37">
        <f t="shared" si="15"/>
        <v>2.773164335664334E-2</v>
      </c>
      <c r="K57" s="91">
        <f t="shared" si="12"/>
        <v>27.731643356643339</v>
      </c>
      <c r="L57" s="68">
        <f t="shared" si="13"/>
        <v>0.6376811594202898</v>
      </c>
      <c r="M57" s="28">
        <f t="shared" si="24"/>
        <v>1.611760883690708</v>
      </c>
      <c r="N57" s="28">
        <f t="shared" si="17"/>
        <v>4.8197233055406213E-2</v>
      </c>
      <c r="O57" s="28">
        <f t="shared" si="16"/>
        <v>81.685384615384606</v>
      </c>
      <c r="P57" s="28">
        <f t="shared" si="25"/>
        <v>112.46538461538461</v>
      </c>
      <c r="Q57" s="28">
        <f t="shared" si="26"/>
        <v>65.111538461538473</v>
      </c>
    </row>
    <row r="58" spans="1:17" x14ac:dyDescent="0.2">
      <c r="A58" s="28">
        <f t="shared" si="18"/>
        <v>54</v>
      </c>
      <c r="B58" s="31">
        <f t="shared" si="19"/>
        <v>24.923076923076923</v>
      </c>
      <c r="C58" s="29">
        <f t="shared" si="20"/>
        <v>1</v>
      </c>
      <c r="D58" s="27">
        <f t="shared" si="21"/>
        <v>250</v>
      </c>
      <c r="E58" s="27">
        <f t="shared" si="8"/>
        <v>8.5978835978835981</v>
      </c>
      <c r="F58" s="29">
        <f t="shared" si="22"/>
        <v>2.76</v>
      </c>
      <c r="G58" s="27">
        <f t="shared" si="10"/>
        <v>2.76</v>
      </c>
      <c r="H58" s="29">
        <f t="shared" si="23"/>
        <v>1.7599999999999998</v>
      </c>
      <c r="I58" s="30">
        <f t="shared" si="27"/>
        <v>5.9003496503496613E-4</v>
      </c>
      <c r="J58" s="37">
        <f t="shared" si="15"/>
        <v>2.8321678321678305E-2</v>
      </c>
      <c r="K58" s="91">
        <f t="shared" si="12"/>
        <v>28.321678321678306</v>
      </c>
      <c r="L58" s="68">
        <f t="shared" si="13"/>
        <v>0.6376811594202898</v>
      </c>
      <c r="M58" s="28">
        <f t="shared" si="24"/>
        <v>1.6494708994708995</v>
      </c>
      <c r="N58" s="28">
        <f t="shared" si="17"/>
        <v>4.7351667563206107E-2</v>
      </c>
      <c r="O58" s="28">
        <f t="shared" si="16"/>
        <v>80.252307692307681</v>
      </c>
      <c r="P58" s="28">
        <f t="shared" si="25"/>
        <v>110.49230769230769</v>
      </c>
      <c r="Q58" s="28">
        <f t="shared" si="26"/>
        <v>63.969230769230776</v>
      </c>
    </row>
    <row r="59" spans="1:17" x14ac:dyDescent="0.2">
      <c r="A59" s="28">
        <f t="shared" si="18"/>
        <v>54</v>
      </c>
      <c r="B59" s="31">
        <f t="shared" si="19"/>
        <v>25.442307692307693</v>
      </c>
      <c r="C59" s="29">
        <f t="shared" si="20"/>
        <v>1</v>
      </c>
      <c r="D59" s="27">
        <f t="shared" si="21"/>
        <v>250</v>
      </c>
      <c r="E59" s="27">
        <f t="shared" si="8"/>
        <v>8.7542087542087543</v>
      </c>
      <c r="F59" s="29">
        <f t="shared" si="22"/>
        <v>2.76</v>
      </c>
      <c r="G59" s="27">
        <f t="shared" si="10"/>
        <v>2.76</v>
      </c>
      <c r="H59" s="29">
        <f t="shared" si="23"/>
        <v>1.7599999999999998</v>
      </c>
      <c r="I59" s="30">
        <f t="shared" si="27"/>
        <v>5.9003496503496613E-4</v>
      </c>
      <c r="J59" s="37">
        <f t="shared" si="15"/>
        <v>2.891171328671327E-2</v>
      </c>
      <c r="K59" s="91">
        <f t="shared" si="12"/>
        <v>28.911713286713269</v>
      </c>
      <c r="L59" s="68">
        <f t="shared" si="13"/>
        <v>0.6376811594202898</v>
      </c>
      <c r="M59" s="28">
        <f t="shared" si="24"/>
        <v>1.6885521885521886</v>
      </c>
      <c r="N59" s="28">
        <f t="shared" si="17"/>
        <v>4.6506102071005993E-2</v>
      </c>
      <c r="O59" s="28">
        <f t="shared" si="16"/>
        <v>78.819230769230757</v>
      </c>
      <c r="P59" s="28">
        <f t="shared" si="25"/>
        <v>108.51923076923076</v>
      </c>
      <c r="Q59" s="28">
        <f t="shared" si="26"/>
        <v>62.82692307692308</v>
      </c>
    </row>
    <row r="60" spans="1:17" x14ac:dyDescent="0.2">
      <c r="A60" s="28">
        <f t="shared" si="18"/>
        <v>54</v>
      </c>
      <c r="B60" s="31">
        <f t="shared" si="19"/>
        <v>25.961538461538463</v>
      </c>
      <c r="C60" s="29">
        <f t="shared" si="20"/>
        <v>1</v>
      </c>
      <c r="D60" s="27">
        <f t="shared" si="21"/>
        <v>250</v>
      </c>
      <c r="E60" s="27">
        <f t="shared" si="8"/>
        <v>8.9163237311385473</v>
      </c>
      <c r="F60" s="29">
        <f t="shared" si="22"/>
        <v>2.76</v>
      </c>
      <c r="G60" s="27">
        <f t="shared" si="10"/>
        <v>2.76</v>
      </c>
      <c r="H60" s="29">
        <f t="shared" si="23"/>
        <v>1.7599999999999998</v>
      </c>
      <c r="I60" s="30">
        <f t="shared" si="27"/>
        <v>5.9003496503496613E-4</v>
      </c>
      <c r="J60" s="37">
        <f t="shared" si="15"/>
        <v>2.9501748251748235E-2</v>
      </c>
      <c r="K60" s="91">
        <f t="shared" si="12"/>
        <v>29.501748251748236</v>
      </c>
      <c r="L60" s="68">
        <f t="shared" si="13"/>
        <v>0.6376811594202898</v>
      </c>
      <c r="M60" s="28">
        <f t="shared" si="24"/>
        <v>1.7290809327846368</v>
      </c>
      <c r="N60" s="28">
        <f t="shared" si="17"/>
        <v>4.5660536578805887E-2</v>
      </c>
      <c r="O60" s="28">
        <f t="shared" si="16"/>
        <v>77.386153846153832</v>
      </c>
      <c r="P60" s="28">
        <f t="shared" si="25"/>
        <v>106.54615384615383</v>
      </c>
      <c r="Q60" s="28">
        <f t="shared" si="26"/>
        <v>61.684615384615384</v>
      </c>
    </row>
    <row r="61" spans="1:17" x14ac:dyDescent="0.2">
      <c r="A61" s="28">
        <f t="shared" si="18"/>
        <v>54</v>
      </c>
      <c r="B61" s="31">
        <f t="shared" si="19"/>
        <v>26.48076923076923</v>
      </c>
      <c r="C61" s="29">
        <f t="shared" si="20"/>
        <v>1</v>
      </c>
      <c r="D61" s="27">
        <f t="shared" si="21"/>
        <v>250</v>
      </c>
      <c r="E61" s="27">
        <f t="shared" si="8"/>
        <v>9.0845562543675751</v>
      </c>
      <c r="F61" s="29">
        <f t="shared" si="22"/>
        <v>2.76</v>
      </c>
      <c r="G61" s="27">
        <f t="shared" si="10"/>
        <v>2.76</v>
      </c>
      <c r="H61" s="29">
        <f t="shared" si="23"/>
        <v>1.7599999999999998</v>
      </c>
      <c r="I61" s="30">
        <f t="shared" si="27"/>
        <v>5.9003496503496201E-4</v>
      </c>
      <c r="J61" s="37">
        <f t="shared" si="15"/>
        <v>3.0091783216783196E-2</v>
      </c>
      <c r="K61" s="91">
        <f t="shared" si="12"/>
        <v>30.091783216783195</v>
      </c>
      <c r="L61" s="68">
        <f t="shared" si="13"/>
        <v>0.6376811594202898</v>
      </c>
      <c r="M61" s="28">
        <f t="shared" si="24"/>
        <v>1.7711390635918938</v>
      </c>
      <c r="N61" s="28">
        <f>I61*G61*(A61-B61)</f>
        <v>4.4814971086605468E-2</v>
      </c>
      <c r="O61" s="28">
        <f t="shared" si="16"/>
        <v>75.953076923076921</v>
      </c>
      <c r="P61" s="28">
        <f t="shared" si="25"/>
        <v>104.57307692307693</v>
      </c>
      <c r="Q61" s="28">
        <f t="shared" si="26"/>
        <v>60.542307692307702</v>
      </c>
    </row>
    <row r="62" spans="1:17" x14ac:dyDescent="0.2">
      <c r="A62" s="28">
        <f t="shared" si="18"/>
        <v>54</v>
      </c>
      <c r="B62" s="31">
        <f t="shared" si="19"/>
        <v>27</v>
      </c>
      <c r="C62" s="29">
        <f t="shared" si="20"/>
        <v>1</v>
      </c>
      <c r="D62" s="27">
        <f t="shared" si="21"/>
        <v>250</v>
      </c>
      <c r="E62" s="27">
        <f t="shared" si="8"/>
        <v>9.2592592592592595</v>
      </c>
      <c r="F62" s="29">
        <f t="shared" si="22"/>
        <v>2.76</v>
      </c>
      <c r="G62" s="27">
        <f t="shared" si="10"/>
        <v>2.76</v>
      </c>
      <c r="H62" s="29">
        <f t="shared" si="23"/>
        <v>1.7599999999999998</v>
      </c>
      <c r="I62" s="30">
        <f t="shared" si="27"/>
        <v>5.9003496503496613E-4</v>
      </c>
      <c r="J62" s="37">
        <f t="shared" si="15"/>
        <v>3.0681818181818161E-2</v>
      </c>
      <c r="K62" s="91">
        <f t="shared" si="12"/>
        <v>30.681818181818162</v>
      </c>
      <c r="L62" s="68">
        <f t="shared" si="13"/>
        <v>0.6376811594202898</v>
      </c>
      <c r="M62" s="28">
        <f t="shared" si="24"/>
        <v>1.8148148148148149</v>
      </c>
      <c r="N62" s="28">
        <f t="shared" si="17"/>
        <v>4.3969405594405674E-2</v>
      </c>
      <c r="O62" s="28">
        <f t="shared" si="16"/>
        <v>74.52</v>
      </c>
      <c r="P62" s="28">
        <f t="shared" si="25"/>
        <v>102.6</v>
      </c>
      <c r="Q62" s="28">
        <f t="shared" si="26"/>
        <v>59.400000000000006</v>
      </c>
    </row>
    <row r="63" spans="1:17" x14ac:dyDescent="0.2">
      <c r="A63" s="28">
        <f t="shared" si="18"/>
        <v>54</v>
      </c>
      <c r="B63" s="31">
        <f t="shared" si="19"/>
        <v>27.519230769230766</v>
      </c>
      <c r="C63" s="29">
        <f t="shared" si="20"/>
        <v>1</v>
      </c>
      <c r="D63" s="27">
        <f t="shared" si="21"/>
        <v>250</v>
      </c>
      <c r="E63" s="27">
        <f t="shared" si="8"/>
        <v>9.4408133623819896</v>
      </c>
      <c r="F63" s="29">
        <f t="shared" si="22"/>
        <v>2.76</v>
      </c>
      <c r="G63" s="27">
        <f t="shared" si="10"/>
        <v>2.76</v>
      </c>
      <c r="H63" s="29">
        <f t="shared" si="23"/>
        <v>1.7599999999999998</v>
      </c>
      <c r="I63" s="30">
        <f t="shared" si="27"/>
        <v>5.9003496503496201E-4</v>
      </c>
      <c r="J63" s="37">
        <f t="shared" si="15"/>
        <v>3.1271853146853122E-2</v>
      </c>
      <c r="K63" s="91">
        <f t="shared" si="12"/>
        <v>31.271853146853122</v>
      </c>
      <c r="L63" s="68">
        <f t="shared" si="13"/>
        <v>0.6376811594202898</v>
      </c>
      <c r="M63" s="28">
        <f t="shared" si="24"/>
        <v>1.8602033405954974</v>
      </c>
      <c r="N63" s="28">
        <f t="shared" si="17"/>
        <v>4.3123840102205269E-2</v>
      </c>
      <c r="O63" s="28">
        <f t="shared" si="16"/>
        <v>73.086923076923085</v>
      </c>
      <c r="P63" s="28">
        <f t="shared" si="25"/>
        <v>100.62692307692308</v>
      </c>
      <c r="Q63" s="28">
        <f t="shared" si="26"/>
        <v>58.257692307692317</v>
      </c>
    </row>
    <row r="64" spans="1:17" x14ac:dyDescent="0.2">
      <c r="A64" s="28">
        <f t="shared" si="18"/>
        <v>54</v>
      </c>
      <c r="B64" s="31">
        <f t="shared" si="19"/>
        <v>28.03846153846154</v>
      </c>
      <c r="C64" s="29">
        <f t="shared" si="20"/>
        <v>1</v>
      </c>
      <c r="D64" s="27">
        <f t="shared" si="21"/>
        <v>250</v>
      </c>
      <c r="E64" s="27">
        <f t="shared" si="8"/>
        <v>9.6296296296296298</v>
      </c>
      <c r="F64" s="29">
        <f t="shared" si="22"/>
        <v>2.76</v>
      </c>
      <c r="G64" s="27">
        <f t="shared" si="10"/>
        <v>2.76</v>
      </c>
      <c r="H64" s="29">
        <f t="shared" si="23"/>
        <v>1.7599999999999998</v>
      </c>
      <c r="I64" s="30">
        <f t="shared" si="27"/>
        <v>5.9003496503497004E-4</v>
      </c>
      <c r="J64" s="37">
        <f t="shared" si="15"/>
        <v>3.1861888111888094E-2</v>
      </c>
      <c r="K64" s="91">
        <f t="shared" si="12"/>
        <v>31.861888111888096</v>
      </c>
      <c r="L64" s="68">
        <f t="shared" si="13"/>
        <v>0.6376811594202898</v>
      </c>
      <c r="M64" s="28">
        <f t="shared" si="24"/>
        <v>1.9074074074074077</v>
      </c>
      <c r="N64" s="28">
        <f t="shared" si="17"/>
        <v>4.2278274610005731E-2</v>
      </c>
      <c r="O64" s="28">
        <f t="shared" si="16"/>
        <v>71.653846153846146</v>
      </c>
      <c r="P64" s="28">
        <f t="shared" si="25"/>
        <v>98.653846153846146</v>
      </c>
      <c r="Q64" s="28">
        <f t="shared" si="26"/>
        <v>57.115384615384613</v>
      </c>
    </row>
    <row r="65" spans="1:17" x14ac:dyDescent="0.2">
      <c r="A65" s="28">
        <f t="shared" si="18"/>
        <v>54</v>
      </c>
      <c r="B65" s="31">
        <f t="shared" si="19"/>
        <v>28.557692307692307</v>
      </c>
      <c r="C65" s="29">
        <f t="shared" si="20"/>
        <v>1</v>
      </c>
      <c r="D65" s="27">
        <f t="shared" si="21"/>
        <v>250</v>
      </c>
      <c r="E65" s="27">
        <f t="shared" si="8"/>
        <v>9.8261526832955397</v>
      </c>
      <c r="F65" s="29">
        <f t="shared" si="22"/>
        <v>2.76</v>
      </c>
      <c r="G65" s="27">
        <f t="shared" si="10"/>
        <v>2.76</v>
      </c>
      <c r="H65" s="29">
        <f t="shared" si="23"/>
        <v>1.7599999999999998</v>
      </c>
      <c r="I65" s="30">
        <f t="shared" si="27"/>
        <v>5.9003496503496201E-4</v>
      </c>
      <c r="J65" s="37">
        <f t="shared" si="15"/>
        <v>3.2451923076923059E-2</v>
      </c>
      <c r="K65" s="91">
        <f t="shared" si="12"/>
        <v>32.451923076923059</v>
      </c>
      <c r="L65" s="68">
        <f t="shared" si="13"/>
        <v>0.6376811594202898</v>
      </c>
      <c r="M65" s="28">
        <f t="shared" si="24"/>
        <v>1.9565381708238849</v>
      </c>
      <c r="N65" s="28">
        <f t="shared" si="17"/>
        <v>4.1432709117805055E-2</v>
      </c>
      <c r="O65" s="28">
        <f t="shared" si="16"/>
        <v>70.220769230769221</v>
      </c>
      <c r="P65" s="28">
        <f t="shared" si="25"/>
        <v>96.680769230769229</v>
      </c>
      <c r="Q65" s="28">
        <f t="shared" si="26"/>
        <v>55.973076923076931</v>
      </c>
    </row>
    <row r="66" spans="1:17" x14ac:dyDescent="0.2">
      <c r="A66" s="28">
        <f t="shared" si="18"/>
        <v>54</v>
      </c>
      <c r="B66" s="31">
        <f t="shared" si="19"/>
        <v>29.076923076923077</v>
      </c>
      <c r="C66" s="29">
        <f t="shared" si="20"/>
        <v>1</v>
      </c>
      <c r="D66" s="27">
        <f t="shared" si="21"/>
        <v>250</v>
      </c>
      <c r="E66" s="27">
        <f t="shared" si="8"/>
        <v>10.030864197530864</v>
      </c>
      <c r="F66" s="29">
        <f t="shared" si="22"/>
        <v>2.76</v>
      </c>
      <c r="G66" s="27">
        <f t="shared" si="10"/>
        <v>2.76</v>
      </c>
      <c r="H66" s="29">
        <f t="shared" si="23"/>
        <v>1.7599999999999998</v>
      </c>
      <c r="I66" s="30">
        <f t="shared" si="27"/>
        <v>5.9003496503496613E-4</v>
      </c>
      <c r="J66" s="37">
        <f t="shared" si="15"/>
        <v>3.3041958041958024E-2</v>
      </c>
      <c r="K66" s="91">
        <f t="shared" si="12"/>
        <v>33.041958041958026</v>
      </c>
      <c r="L66" s="68">
        <f t="shared" si="13"/>
        <v>0.6376811594202898</v>
      </c>
      <c r="M66" s="28">
        <f t="shared" si="24"/>
        <v>2.007716049382716</v>
      </c>
      <c r="N66" s="28">
        <f t="shared" si="17"/>
        <v>4.0587143625605233E-2</v>
      </c>
      <c r="O66" s="28">
        <f t="shared" si="16"/>
        <v>68.787692307692296</v>
      </c>
      <c r="P66" s="28">
        <f t="shared" si="25"/>
        <v>94.707692307692298</v>
      </c>
      <c r="Q66" s="28">
        <f t="shared" si="26"/>
        <v>54.830769230769235</v>
      </c>
    </row>
    <row r="67" spans="1:17" x14ac:dyDescent="0.2">
      <c r="A67" s="28">
        <f t="shared" si="18"/>
        <v>54</v>
      </c>
      <c r="B67" s="31">
        <f t="shared" si="19"/>
        <v>29.59615384615385</v>
      </c>
      <c r="C67" s="29">
        <f t="shared" si="20"/>
        <v>1</v>
      </c>
      <c r="D67" s="27">
        <f t="shared" si="21"/>
        <v>250</v>
      </c>
      <c r="E67" s="27">
        <f t="shared" si="8"/>
        <v>10.244286840031522</v>
      </c>
      <c r="F67" s="29">
        <f t="shared" si="22"/>
        <v>2.76</v>
      </c>
      <c r="G67" s="27">
        <f t="shared" si="10"/>
        <v>2.76</v>
      </c>
      <c r="H67" s="29">
        <f t="shared" si="23"/>
        <v>1.7599999999999998</v>
      </c>
      <c r="I67" s="30">
        <f t="shared" si="27"/>
        <v>5.9003496503497004E-4</v>
      </c>
      <c r="J67" s="37">
        <f t="shared" si="15"/>
        <v>3.3631993006992995E-2</v>
      </c>
      <c r="K67" s="91">
        <f t="shared" si="12"/>
        <v>33.631993006992992</v>
      </c>
      <c r="L67" s="68">
        <f t="shared" si="13"/>
        <v>0.6376811594202898</v>
      </c>
      <c r="M67" s="28">
        <f t="shared" si="24"/>
        <v>2.0610717100078806</v>
      </c>
      <c r="N67" s="28">
        <f t="shared" si="17"/>
        <v>3.9741578133405384E-2</v>
      </c>
      <c r="O67" s="28">
        <f t="shared" si="16"/>
        <v>67.354615384615371</v>
      </c>
      <c r="P67" s="28">
        <f t="shared" si="25"/>
        <v>92.734615384615367</v>
      </c>
      <c r="Q67" s="28">
        <f t="shared" si="26"/>
        <v>53.688461538461532</v>
      </c>
    </row>
    <row r="68" spans="1:17" x14ac:dyDescent="0.2">
      <c r="A68" s="28">
        <f t="shared" si="18"/>
        <v>54</v>
      </c>
      <c r="B68" s="31">
        <f t="shared" si="19"/>
        <v>30.115384615384617</v>
      </c>
      <c r="C68" s="29">
        <f t="shared" si="20"/>
        <v>1</v>
      </c>
      <c r="D68" s="27">
        <f t="shared" si="21"/>
        <v>250</v>
      </c>
      <c r="E68" s="27">
        <f t="shared" si="8"/>
        <v>10.466988727858293</v>
      </c>
      <c r="F68" s="29">
        <f t="shared" si="22"/>
        <v>2.76</v>
      </c>
      <c r="G68" s="27">
        <f t="shared" si="10"/>
        <v>2.76</v>
      </c>
      <c r="H68" s="29">
        <f t="shared" si="23"/>
        <v>1.7599999999999998</v>
      </c>
      <c r="I68" s="30">
        <f t="shared" si="27"/>
        <v>5.9003496503496201E-4</v>
      </c>
      <c r="J68" s="37">
        <f t="shared" si="15"/>
        <v>3.422202797202796E-2</v>
      </c>
      <c r="K68" s="91">
        <f t="shared" si="12"/>
        <v>34.222027972027959</v>
      </c>
      <c r="L68" s="68">
        <f t="shared" si="13"/>
        <v>0.6376811594202898</v>
      </c>
      <c r="M68" s="28">
        <f t="shared" si="24"/>
        <v>2.1167471819645738</v>
      </c>
      <c r="N68" s="28">
        <f t="shared" si="17"/>
        <v>3.8896012641204743E-2</v>
      </c>
      <c r="O68" s="28">
        <f t="shared" si="16"/>
        <v>65.921538461538447</v>
      </c>
      <c r="P68" s="28">
        <f t="shared" si="25"/>
        <v>90.76153846153845</v>
      </c>
      <c r="Q68" s="28">
        <f t="shared" si="26"/>
        <v>52.54615384615385</v>
      </c>
    </row>
    <row r="69" spans="1:17" x14ac:dyDescent="0.2">
      <c r="A69" s="28">
        <f t="shared" si="18"/>
        <v>54</v>
      </c>
      <c r="B69" s="31">
        <f t="shared" si="19"/>
        <v>30.634615384615383</v>
      </c>
      <c r="C69" s="29">
        <f t="shared" si="20"/>
        <v>1</v>
      </c>
      <c r="D69" s="27">
        <f t="shared" si="21"/>
        <v>250</v>
      </c>
      <c r="E69" s="27">
        <f t="shared" si="8"/>
        <v>10.699588477366255</v>
      </c>
      <c r="F69" s="29">
        <f t="shared" si="22"/>
        <v>2.76</v>
      </c>
      <c r="G69" s="27">
        <f t="shared" si="10"/>
        <v>2.76</v>
      </c>
      <c r="H69" s="29">
        <f t="shared" si="23"/>
        <v>1.7599999999999998</v>
      </c>
      <c r="I69" s="30">
        <f t="shared" si="27"/>
        <v>5.9003496503496201E-4</v>
      </c>
      <c r="J69" s="37">
        <f t="shared" si="15"/>
        <v>3.4812062937062925E-2</v>
      </c>
      <c r="K69" s="91">
        <f t="shared" si="12"/>
        <v>34.812062937062926</v>
      </c>
      <c r="L69" s="68">
        <f t="shared" si="13"/>
        <v>0.6376811594202898</v>
      </c>
      <c r="M69" s="28">
        <f t="shared" si="24"/>
        <v>2.1748971193415638</v>
      </c>
      <c r="N69" s="28">
        <f t="shared" si="17"/>
        <v>3.8050447149004643E-2</v>
      </c>
      <c r="O69" s="28">
        <f t="shared" si="16"/>
        <v>64.488461538461536</v>
      </c>
      <c r="P69" s="28">
        <f t="shared" si="25"/>
        <v>88.788461538461533</v>
      </c>
      <c r="Q69" s="28">
        <f t="shared" si="26"/>
        <v>51.40384615384616</v>
      </c>
    </row>
    <row r="70" spans="1:17" x14ac:dyDescent="0.2">
      <c r="A70" s="28">
        <f t="shared" si="18"/>
        <v>54</v>
      </c>
      <c r="B70" s="31">
        <f t="shared" si="19"/>
        <v>31.15384615384615</v>
      </c>
      <c r="C70" s="29">
        <f t="shared" si="20"/>
        <v>1</v>
      </c>
      <c r="D70" s="27">
        <f t="shared" si="21"/>
        <v>250</v>
      </c>
      <c r="E70" s="27">
        <f t="shared" si="8"/>
        <v>10.942760942760941</v>
      </c>
      <c r="F70" s="29">
        <f t="shared" si="22"/>
        <v>2.76</v>
      </c>
      <c r="G70" s="27">
        <f t="shared" si="10"/>
        <v>2.76</v>
      </c>
      <c r="H70" s="29">
        <f t="shared" si="23"/>
        <v>1.7599999999999998</v>
      </c>
      <c r="I70" s="30">
        <f t="shared" si="27"/>
        <v>5.9003496503496201E-4</v>
      </c>
      <c r="J70" s="37">
        <f t="shared" si="15"/>
        <v>3.540209790209789E-2</v>
      </c>
      <c r="K70" s="91">
        <f t="shared" si="12"/>
        <v>35.402097902097893</v>
      </c>
      <c r="L70" s="68">
        <f t="shared" si="13"/>
        <v>0.6376811594202898</v>
      </c>
      <c r="M70" s="28">
        <f t="shared" si="24"/>
        <v>2.2356902356902353</v>
      </c>
      <c r="N70" s="28">
        <f t="shared" si="17"/>
        <v>3.720488165680455E-2</v>
      </c>
      <c r="O70" s="28">
        <f t="shared" si="16"/>
        <v>63.055384615384625</v>
      </c>
      <c r="P70" s="28">
        <f t="shared" si="25"/>
        <v>86.81538461538463</v>
      </c>
      <c r="Q70" s="28">
        <f t="shared" si="26"/>
        <v>50.261538461538471</v>
      </c>
    </row>
    <row r="71" spans="1:17" x14ac:dyDescent="0.2">
      <c r="A71" s="28">
        <f t="shared" si="18"/>
        <v>54</v>
      </c>
      <c r="B71" s="31">
        <f t="shared" si="19"/>
        <v>31.673076923076923</v>
      </c>
      <c r="C71" s="29">
        <f t="shared" si="20"/>
        <v>1</v>
      </c>
      <c r="D71" s="27">
        <f t="shared" si="21"/>
        <v>250</v>
      </c>
      <c r="E71" s="27">
        <f t="shared" si="8"/>
        <v>11.19724375538329</v>
      </c>
      <c r="F71" s="29">
        <f t="shared" si="22"/>
        <v>2.76</v>
      </c>
      <c r="G71" s="27">
        <f t="shared" si="10"/>
        <v>2.76</v>
      </c>
      <c r="H71" s="29">
        <f t="shared" si="23"/>
        <v>1.7599999999999998</v>
      </c>
      <c r="I71" s="30">
        <f t="shared" si="27"/>
        <v>5.9003496503497004E-4</v>
      </c>
      <c r="J71" s="37">
        <f t="shared" si="15"/>
        <v>3.5992132867132862E-2</v>
      </c>
      <c r="K71" s="91">
        <f t="shared" si="12"/>
        <v>35.99213286713286</v>
      </c>
      <c r="L71" s="68">
        <f t="shared" si="13"/>
        <v>0.6376811594202898</v>
      </c>
      <c r="M71" s="28">
        <f t="shared" si="24"/>
        <v>2.299310938845823</v>
      </c>
      <c r="N71" s="28">
        <f t="shared" si="17"/>
        <v>3.635931616460493E-2</v>
      </c>
      <c r="O71" s="28">
        <f t="shared" si="16"/>
        <v>61.622307692307686</v>
      </c>
      <c r="P71" s="28">
        <f t="shared" si="25"/>
        <v>84.842307692307685</v>
      </c>
      <c r="Q71" s="28">
        <f t="shared" si="26"/>
        <v>49.119230769230775</v>
      </c>
    </row>
    <row r="72" spans="1:17" x14ac:dyDescent="0.2">
      <c r="A72" s="28">
        <f t="shared" si="18"/>
        <v>54</v>
      </c>
      <c r="B72" s="31">
        <f t="shared" si="19"/>
        <v>32.192307692307693</v>
      </c>
      <c r="C72" s="29">
        <f t="shared" si="20"/>
        <v>1</v>
      </c>
      <c r="D72" s="27">
        <f t="shared" si="21"/>
        <v>250</v>
      </c>
      <c r="E72" s="27">
        <f t="shared" si="8"/>
        <v>11.463844797178131</v>
      </c>
      <c r="F72" s="29">
        <f t="shared" si="22"/>
        <v>2.76</v>
      </c>
      <c r="G72" s="27">
        <f t="shared" si="10"/>
        <v>2.76</v>
      </c>
      <c r="H72" s="29">
        <f t="shared" si="23"/>
        <v>1.7599999999999998</v>
      </c>
      <c r="I72" s="30">
        <f t="shared" si="27"/>
        <v>5.9003496503496613E-4</v>
      </c>
      <c r="J72" s="37">
        <f t="shared" si="15"/>
        <v>3.6582167832167826E-2</v>
      </c>
      <c r="K72" s="91">
        <f t="shared" si="12"/>
        <v>36.582167832167826</v>
      </c>
      <c r="L72" s="68">
        <f t="shared" si="13"/>
        <v>0.6376811594202898</v>
      </c>
      <c r="M72" s="28">
        <f t="shared" si="24"/>
        <v>2.3659611992945329</v>
      </c>
      <c r="N72" s="28">
        <f t="shared" si="17"/>
        <v>3.551375067240458E-2</v>
      </c>
      <c r="O72" s="28">
        <f t="shared" si="16"/>
        <v>60.189230769230761</v>
      </c>
      <c r="P72" s="28">
        <f t="shared" si="25"/>
        <v>82.869230769230768</v>
      </c>
      <c r="Q72" s="28">
        <f t="shared" si="26"/>
        <v>47.976923076923079</v>
      </c>
    </row>
    <row r="73" spans="1:17" x14ac:dyDescent="0.2">
      <c r="A73" s="28">
        <f t="shared" si="18"/>
        <v>54</v>
      </c>
      <c r="B73" s="31">
        <f t="shared" si="19"/>
        <v>32.71153846153846</v>
      </c>
      <c r="C73" s="29">
        <f t="shared" si="20"/>
        <v>1</v>
      </c>
      <c r="D73" s="27">
        <f t="shared" si="21"/>
        <v>250</v>
      </c>
      <c r="E73" s="27">
        <f t="shared" si="8"/>
        <v>11.743450767841011</v>
      </c>
      <c r="F73" s="29">
        <f t="shared" si="22"/>
        <v>2.76</v>
      </c>
      <c r="G73" s="27">
        <f t="shared" si="10"/>
        <v>2.76</v>
      </c>
      <c r="H73" s="29">
        <f t="shared" si="23"/>
        <v>1.7599999999999998</v>
      </c>
      <c r="I73" s="30">
        <f t="shared" si="27"/>
        <v>5.9003496503496201E-4</v>
      </c>
      <c r="J73" s="37">
        <f t="shared" si="15"/>
        <v>3.7172202797202791E-2</v>
      </c>
      <c r="K73" s="91">
        <f t="shared" si="12"/>
        <v>37.172202797202793</v>
      </c>
      <c r="L73" s="68">
        <f t="shared" si="13"/>
        <v>0.6376811594202898</v>
      </c>
      <c r="M73" s="28">
        <f t="shared" si="24"/>
        <v>2.4358626919602528</v>
      </c>
      <c r="N73" s="28">
        <f t="shared" si="17"/>
        <v>3.4668185180204231E-2</v>
      </c>
      <c r="O73" s="28">
        <f t="shared" si="16"/>
        <v>58.756153846153843</v>
      </c>
      <c r="P73" s="28">
        <f t="shared" si="25"/>
        <v>80.896153846153851</v>
      </c>
      <c r="Q73" s="28">
        <f t="shared" si="26"/>
        <v>46.83461538461539</v>
      </c>
    </row>
    <row r="74" spans="1:17" x14ac:dyDescent="0.2">
      <c r="A74" s="28">
        <f t="shared" ref="A74:A105" si="28">VINMAX</f>
        <v>54</v>
      </c>
      <c r="B74" s="31">
        <f t="shared" ref="B74:B105" si="29">VINMAX*((ROW()-10)/104)</f>
        <v>33.230769230769234</v>
      </c>
      <c r="C74" s="29">
        <f t="shared" ref="C74:C105" si="30">IF(B74&gt;=$H$2,IF($D$2="CC", $G$2, B74/$G$2), 0)</f>
        <v>1</v>
      </c>
      <c r="D74" s="27">
        <f t="shared" ref="D74:D105" si="31">$B$2-B74*$J$2/($I$2*0.001)</f>
        <v>250</v>
      </c>
      <c r="E74" s="27">
        <f t="shared" si="8"/>
        <v>12.037037037037038</v>
      </c>
      <c r="F74" s="29">
        <f t="shared" ref="F74:F105" si="32">I_Cout_ss+C74</f>
        <v>2.76</v>
      </c>
      <c r="G74" s="27">
        <f t="shared" si="10"/>
        <v>2.76</v>
      </c>
      <c r="H74" s="29">
        <f t="shared" ref="H74:H105" si="33">G74-C74</f>
        <v>1.7599999999999998</v>
      </c>
      <c r="I74" s="30">
        <f t="shared" si="27"/>
        <v>5.9003496503497004E-4</v>
      </c>
      <c r="J74" s="37">
        <f t="shared" si="15"/>
        <v>3.7762237762237763E-2</v>
      </c>
      <c r="K74" s="91">
        <f t="shared" si="12"/>
        <v>37.76223776223776</v>
      </c>
      <c r="L74" s="68">
        <f t="shared" si="13"/>
        <v>0.6376811594202898</v>
      </c>
      <c r="M74" s="28">
        <f t="shared" ref="M74:M105" si="34">1/COUTMAX*(E74/2-C74)*1000</f>
        <v>2.5092592592592595</v>
      </c>
      <c r="N74" s="28">
        <f t="shared" si="17"/>
        <v>3.3822619688004582E-2</v>
      </c>
      <c r="O74" s="28">
        <f t="shared" si="16"/>
        <v>57.323076923076911</v>
      </c>
      <c r="P74" s="28">
        <f t="shared" ref="P74:P105" si="35">(A74-B74)*(I_Cout_ss*$Q$2+C74)</f>
        <v>78.923076923076906</v>
      </c>
      <c r="Q74" s="28">
        <f t="shared" ref="Q74:Q105" si="36">(A74-B74)*(I_Cout_ss*$R$2+C74)</f>
        <v>45.692307692307693</v>
      </c>
    </row>
    <row r="75" spans="1:17" x14ac:dyDescent="0.2">
      <c r="A75" s="28">
        <f t="shared" si="28"/>
        <v>54</v>
      </c>
      <c r="B75" s="31">
        <f t="shared" si="29"/>
        <v>33.75</v>
      </c>
      <c r="C75" s="29">
        <f t="shared" si="30"/>
        <v>1</v>
      </c>
      <c r="D75" s="27">
        <f t="shared" si="31"/>
        <v>250</v>
      </c>
      <c r="E75" s="27">
        <f t="shared" ref="E75:E110" si="37">MIN(D75/(A75-B75),$C$2)</f>
        <v>12.345679012345679</v>
      </c>
      <c r="F75" s="29">
        <f t="shared" si="32"/>
        <v>2.76</v>
      </c>
      <c r="G75" s="27">
        <f t="shared" ref="G75:G110" si="38">IF($F$2="YES", F75, E75)</f>
        <v>2.76</v>
      </c>
      <c r="H75" s="29">
        <f t="shared" si="33"/>
        <v>1.7599999999999998</v>
      </c>
      <c r="I75" s="30">
        <f t="shared" ref="I75:I106" si="39">(COUTMAX/1000000)*(B75-B74)/H75</f>
        <v>5.9003496503496201E-4</v>
      </c>
      <c r="J75" s="37">
        <f t="shared" si="15"/>
        <v>3.8352272727272728E-2</v>
      </c>
      <c r="K75" s="91">
        <f t="shared" ref="K75:K114" si="40">J75*1000</f>
        <v>38.352272727272727</v>
      </c>
      <c r="L75" s="68">
        <f t="shared" ref="L75:L110" si="41">H75/G75</f>
        <v>0.6376811594202898</v>
      </c>
      <c r="M75" s="28">
        <f t="shared" si="34"/>
        <v>2.5864197530864197</v>
      </c>
      <c r="N75" s="28">
        <f t="shared" ref="N75:N110" si="42">I75*G75*(A75-B75)</f>
        <v>3.2977054195804024E-2</v>
      </c>
      <c r="O75" s="28">
        <f t="shared" ref="O75:O114" si="43">G75*(A75-B75)</f>
        <v>55.889999999999993</v>
      </c>
      <c r="P75" s="28">
        <f t="shared" si="35"/>
        <v>76.95</v>
      </c>
      <c r="Q75" s="28">
        <f t="shared" si="36"/>
        <v>44.550000000000004</v>
      </c>
    </row>
    <row r="76" spans="1:17" x14ac:dyDescent="0.2">
      <c r="A76" s="28">
        <f t="shared" si="28"/>
        <v>54</v>
      </c>
      <c r="B76" s="31">
        <f t="shared" si="29"/>
        <v>34.269230769230766</v>
      </c>
      <c r="C76" s="29">
        <f t="shared" si="30"/>
        <v>1</v>
      </c>
      <c r="D76" s="27">
        <f t="shared" si="31"/>
        <v>250</v>
      </c>
      <c r="E76" s="27">
        <f t="shared" si="37"/>
        <v>12.670565302144247</v>
      </c>
      <c r="F76" s="29">
        <f t="shared" si="32"/>
        <v>2.76</v>
      </c>
      <c r="G76" s="27">
        <f t="shared" si="38"/>
        <v>2.76</v>
      </c>
      <c r="H76" s="29">
        <f t="shared" si="33"/>
        <v>1.7599999999999998</v>
      </c>
      <c r="I76" s="30">
        <f t="shared" si="39"/>
        <v>5.9003496503496201E-4</v>
      </c>
      <c r="J76" s="37">
        <f t="shared" ref="J76:J110" si="44">J75+I76</f>
        <v>3.8942307692307693E-2</v>
      </c>
      <c r="K76" s="91">
        <f t="shared" si="40"/>
        <v>38.942307692307693</v>
      </c>
      <c r="L76" s="68">
        <f t="shared" si="41"/>
        <v>0.6376811594202898</v>
      </c>
      <c r="M76" s="28">
        <f t="shared" si="34"/>
        <v>2.6676413255360618</v>
      </c>
      <c r="N76" s="28">
        <f t="shared" si="42"/>
        <v>3.2131488703603925E-2</v>
      </c>
      <c r="O76" s="28">
        <f t="shared" si="43"/>
        <v>54.456923076923083</v>
      </c>
      <c r="P76" s="28">
        <f t="shared" si="35"/>
        <v>74.976923076923086</v>
      </c>
      <c r="Q76" s="28">
        <f t="shared" si="36"/>
        <v>43.407692307692315</v>
      </c>
    </row>
    <row r="77" spans="1:17" x14ac:dyDescent="0.2">
      <c r="A77" s="28">
        <f t="shared" si="28"/>
        <v>54</v>
      </c>
      <c r="B77" s="31">
        <f t="shared" si="29"/>
        <v>34.78846153846154</v>
      </c>
      <c r="C77" s="29">
        <f t="shared" si="30"/>
        <v>1</v>
      </c>
      <c r="D77" s="27">
        <f t="shared" si="31"/>
        <v>250</v>
      </c>
      <c r="E77" s="27">
        <f t="shared" si="37"/>
        <v>13.013013013013014</v>
      </c>
      <c r="F77" s="29">
        <f t="shared" si="32"/>
        <v>2.76</v>
      </c>
      <c r="G77" s="27">
        <f t="shared" si="38"/>
        <v>2.76</v>
      </c>
      <c r="H77" s="29">
        <f t="shared" si="33"/>
        <v>1.7599999999999998</v>
      </c>
      <c r="I77" s="30">
        <f t="shared" si="39"/>
        <v>5.9003496503497004E-4</v>
      </c>
      <c r="J77" s="37">
        <f t="shared" si="44"/>
        <v>3.9532342657342665E-2</v>
      </c>
      <c r="K77" s="91">
        <f t="shared" si="40"/>
        <v>39.532342657342667</v>
      </c>
      <c r="L77" s="68">
        <f t="shared" si="41"/>
        <v>0.6376811594202898</v>
      </c>
      <c r="M77" s="28">
        <f t="shared" si="34"/>
        <v>2.7532532532532534</v>
      </c>
      <c r="N77" s="28">
        <f t="shared" si="42"/>
        <v>3.1285923211404242E-2</v>
      </c>
      <c r="O77" s="28">
        <f t="shared" si="43"/>
        <v>53.023846153846144</v>
      </c>
      <c r="P77" s="28">
        <f t="shared" si="35"/>
        <v>73.003846153846141</v>
      </c>
      <c r="Q77" s="28">
        <f t="shared" si="36"/>
        <v>42.265384615384612</v>
      </c>
    </row>
    <row r="78" spans="1:17" x14ac:dyDescent="0.2">
      <c r="A78" s="28">
        <f t="shared" si="28"/>
        <v>54</v>
      </c>
      <c r="B78" s="31">
        <f t="shared" si="29"/>
        <v>35.307692307692307</v>
      </c>
      <c r="C78" s="29">
        <f t="shared" si="30"/>
        <v>1</v>
      </c>
      <c r="D78" s="27">
        <f t="shared" si="31"/>
        <v>250</v>
      </c>
      <c r="E78" s="27">
        <f t="shared" si="37"/>
        <v>13.374485596707817</v>
      </c>
      <c r="F78" s="29">
        <f t="shared" si="32"/>
        <v>2.76</v>
      </c>
      <c r="G78" s="27">
        <f t="shared" si="38"/>
        <v>2.76</v>
      </c>
      <c r="H78" s="29">
        <f t="shared" si="33"/>
        <v>1.7599999999999998</v>
      </c>
      <c r="I78" s="30">
        <f t="shared" si="39"/>
        <v>5.9003496503496201E-4</v>
      </c>
      <c r="J78" s="37">
        <f t="shared" si="44"/>
        <v>4.0122377622377629E-2</v>
      </c>
      <c r="K78" s="91">
        <f t="shared" si="40"/>
        <v>40.122377622377627</v>
      </c>
      <c r="L78" s="68">
        <f t="shared" si="41"/>
        <v>0.6376811594202898</v>
      </c>
      <c r="M78" s="28">
        <f t="shared" si="34"/>
        <v>2.8436213991769543</v>
      </c>
      <c r="N78" s="28">
        <f t="shared" si="42"/>
        <v>3.0440357719203715E-2</v>
      </c>
      <c r="O78" s="28">
        <f t="shared" si="43"/>
        <v>51.590769230769233</v>
      </c>
      <c r="P78" s="28">
        <f t="shared" si="35"/>
        <v>71.030769230769238</v>
      </c>
      <c r="Q78" s="28">
        <f t="shared" si="36"/>
        <v>41.12307692307693</v>
      </c>
    </row>
    <row r="79" spans="1:17" x14ac:dyDescent="0.2">
      <c r="A79" s="28">
        <f t="shared" si="28"/>
        <v>54</v>
      </c>
      <c r="B79" s="31">
        <f t="shared" si="29"/>
        <v>35.826923076923073</v>
      </c>
      <c r="C79" s="29">
        <f t="shared" si="30"/>
        <v>1</v>
      </c>
      <c r="D79" s="27">
        <f t="shared" si="31"/>
        <v>250</v>
      </c>
      <c r="E79" s="27">
        <f t="shared" si="37"/>
        <v>13.756613756613755</v>
      </c>
      <c r="F79" s="29">
        <f t="shared" si="32"/>
        <v>2.76</v>
      </c>
      <c r="G79" s="27">
        <f t="shared" si="38"/>
        <v>2.76</v>
      </c>
      <c r="H79" s="29">
        <f t="shared" si="33"/>
        <v>1.7599999999999998</v>
      </c>
      <c r="I79" s="30">
        <f t="shared" si="39"/>
        <v>5.9003496503496201E-4</v>
      </c>
      <c r="J79" s="37">
        <f t="shared" si="44"/>
        <v>4.0712412587412594E-2</v>
      </c>
      <c r="K79" s="91">
        <f t="shared" si="40"/>
        <v>40.712412587412594</v>
      </c>
      <c r="L79" s="68">
        <f t="shared" si="41"/>
        <v>0.6376811594202898</v>
      </c>
      <c r="M79" s="28">
        <f t="shared" si="34"/>
        <v>2.9391534391534386</v>
      </c>
      <c r="N79" s="28">
        <f t="shared" si="42"/>
        <v>2.9594792227003619E-2</v>
      </c>
      <c r="O79" s="28">
        <f t="shared" si="43"/>
        <v>50.157692307692315</v>
      </c>
      <c r="P79" s="28">
        <f t="shared" si="35"/>
        <v>69.057692307692321</v>
      </c>
      <c r="Q79" s="28">
        <f t="shared" si="36"/>
        <v>39.980769230769241</v>
      </c>
    </row>
    <row r="80" spans="1:17" x14ac:dyDescent="0.2">
      <c r="A80" s="28">
        <f t="shared" si="28"/>
        <v>54</v>
      </c>
      <c r="B80" s="31">
        <f t="shared" si="29"/>
        <v>36.346153846153847</v>
      </c>
      <c r="C80" s="29">
        <f t="shared" si="30"/>
        <v>1</v>
      </c>
      <c r="D80" s="27">
        <f t="shared" si="31"/>
        <v>250</v>
      </c>
      <c r="E80" s="27">
        <f t="shared" si="37"/>
        <v>14.161220043572985</v>
      </c>
      <c r="F80" s="29">
        <f t="shared" si="32"/>
        <v>2.76</v>
      </c>
      <c r="G80" s="27">
        <f t="shared" si="38"/>
        <v>2.76</v>
      </c>
      <c r="H80" s="29">
        <f t="shared" si="33"/>
        <v>1.7599999999999998</v>
      </c>
      <c r="I80" s="30">
        <f t="shared" si="39"/>
        <v>5.9003496503497004E-4</v>
      </c>
      <c r="J80" s="37">
        <f t="shared" si="44"/>
        <v>4.1302447552447566E-2</v>
      </c>
      <c r="K80" s="91">
        <f t="shared" si="40"/>
        <v>41.302447552447568</v>
      </c>
      <c r="L80" s="68">
        <f t="shared" si="41"/>
        <v>0.6376811594202898</v>
      </c>
      <c r="M80" s="28">
        <f t="shared" si="34"/>
        <v>3.0403050108932463</v>
      </c>
      <c r="N80" s="28">
        <f t="shared" si="42"/>
        <v>2.8749226734803898E-2</v>
      </c>
      <c r="O80" s="28">
        <f t="shared" si="43"/>
        <v>48.724615384615376</v>
      </c>
      <c r="P80" s="28">
        <f t="shared" si="35"/>
        <v>67.084615384615375</v>
      </c>
      <c r="Q80" s="28">
        <f t="shared" si="36"/>
        <v>38.838461538461537</v>
      </c>
    </row>
    <row r="81" spans="1:17" x14ac:dyDescent="0.2">
      <c r="A81" s="28">
        <f t="shared" si="28"/>
        <v>54</v>
      </c>
      <c r="B81" s="31">
        <f t="shared" si="29"/>
        <v>36.865384615384613</v>
      </c>
      <c r="C81" s="29">
        <f t="shared" si="30"/>
        <v>1</v>
      </c>
      <c r="D81" s="27">
        <f t="shared" si="31"/>
        <v>250</v>
      </c>
      <c r="E81" s="27">
        <f t="shared" si="37"/>
        <v>14.590347923681255</v>
      </c>
      <c r="F81" s="29">
        <f t="shared" si="32"/>
        <v>2.76</v>
      </c>
      <c r="G81" s="27">
        <f t="shared" si="38"/>
        <v>2.76</v>
      </c>
      <c r="H81" s="29">
        <f t="shared" si="33"/>
        <v>1.7599999999999998</v>
      </c>
      <c r="I81" s="30">
        <f t="shared" si="39"/>
        <v>5.9003496503496201E-4</v>
      </c>
      <c r="J81" s="37">
        <f t="shared" si="44"/>
        <v>4.1892482517482531E-2</v>
      </c>
      <c r="K81" s="91">
        <f t="shared" si="40"/>
        <v>41.892482517482527</v>
      </c>
      <c r="L81" s="68">
        <f t="shared" si="41"/>
        <v>0.6376811594202898</v>
      </c>
      <c r="M81" s="28">
        <f t="shared" si="34"/>
        <v>3.1475869809203143</v>
      </c>
      <c r="N81" s="28">
        <f t="shared" si="42"/>
        <v>2.7903661242603409E-2</v>
      </c>
      <c r="O81" s="28">
        <f t="shared" si="43"/>
        <v>47.291538461538465</v>
      </c>
      <c r="P81" s="28">
        <f t="shared" si="35"/>
        <v>65.111538461538473</v>
      </c>
      <c r="Q81" s="28">
        <f t="shared" si="36"/>
        <v>37.696153846153855</v>
      </c>
    </row>
    <row r="82" spans="1:17" x14ac:dyDescent="0.2">
      <c r="A82" s="28">
        <f t="shared" si="28"/>
        <v>54</v>
      </c>
      <c r="B82" s="31">
        <f t="shared" si="29"/>
        <v>37.384615384615387</v>
      </c>
      <c r="C82" s="29">
        <f t="shared" si="30"/>
        <v>1</v>
      </c>
      <c r="D82" s="27">
        <f t="shared" si="31"/>
        <v>250</v>
      </c>
      <c r="E82" s="27">
        <f t="shared" si="37"/>
        <v>15.046296296296298</v>
      </c>
      <c r="F82" s="29">
        <f t="shared" si="32"/>
        <v>2.76</v>
      </c>
      <c r="G82" s="27">
        <f t="shared" si="38"/>
        <v>2.76</v>
      </c>
      <c r="H82" s="29">
        <f t="shared" si="33"/>
        <v>1.7599999999999998</v>
      </c>
      <c r="I82" s="30">
        <f t="shared" si="39"/>
        <v>5.9003496503497004E-4</v>
      </c>
      <c r="J82" s="37">
        <f t="shared" si="44"/>
        <v>4.2482517482517503E-2</v>
      </c>
      <c r="K82" s="91">
        <f t="shared" si="40"/>
        <v>42.482517482517501</v>
      </c>
      <c r="L82" s="68">
        <f t="shared" si="41"/>
        <v>0.6376811594202898</v>
      </c>
      <c r="M82" s="28">
        <f t="shared" si="34"/>
        <v>3.2615740740740744</v>
      </c>
      <c r="N82" s="28">
        <f t="shared" si="42"/>
        <v>2.7058095750403667E-2</v>
      </c>
      <c r="O82" s="28">
        <f t="shared" si="43"/>
        <v>45.858461538461526</v>
      </c>
      <c r="P82" s="28">
        <f t="shared" si="35"/>
        <v>63.138461538461527</v>
      </c>
      <c r="Q82" s="28">
        <f t="shared" si="36"/>
        <v>36.553846153846152</v>
      </c>
    </row>
    <row r="83" spans="1:17" x14ac:dyDescent="0.2">
      <c r="A83" s="28">
        <f t="shared" si="28"/>
        <v>54</v>
      </c>
      <c r="B83" s="31">
        <f t="shared" si="29"/>
        <v>37.903846153846153</v>
      </c>
      <c r="C83" s="29">
        <f t="shared" si="30"/>
        <v>1</v>
      </c>
      <c r="D83" s="27">
        <f t="shared" si="31"/>
        <v>250</v>
      </c>
      <c r="E83" s="27">
        <f t="shared" si="37"/>
        <v>15.531660692951014</v>
      </c>
      <c r="F83" s="29">
        <f t="shared" si="32"/>
        <v>2.76</v>
      </c>
      <c r="G83" s="27">
        <f t="shared" si="38"/>
        <v>2.76</v>
      </c>
      <c r="H83" s="29">
        <f t="shared" si="33"/>
        <v>1.7599999999999998</v>
      </c>
      <c r="I83" s="30">
        <f t="shared" si="39"/>
        <v>5.9003496503496201E-4</v>
      </c>
      <c r="J83" s="37">
        <f t="shared" si="44"/>
        <v>4.3072552447552467E-2</v>
      </c>
      <c r="K83" s="91">
        <f t="shared" si="40"/>
        <v>43.072552447552468</v>
      </c>
      <c r="L83" s="68">
        <f t="shared" si="41"/>
        <v>0.6376811594202898</v>
      </c>
      <c r="M83" s="28">
        <f t="shared" si="34"/>
        <v>3.3829151732377536</v>
      </c>
      <c r="N83" s="28">
        <f t="shared" si="42"/>
        <v>2.62125302582032E-2</v>
      </c>
      <c r="O83" s="28">
        <f t="shared" si="43"/>
        <v>44.425384615384615</v>
      </c>
      <c r="P83" s="28">
        <f t="shared" si="35"/>
        <v>61.165384615384617</v>
      </c>
      <c r="Q83" s="28">
        <f t="shared" si="36"/>
        <v>35.411538461538463</v>
      </c>
    </row>
    <row r="84" spans="1:17" x14ac:dyDescent="0.2">
      <c r="A84" s="28">
        <f t="shared" si="28"/>
        <v>54</v>
      </c>
      <c r="B84" s="31">
        <f t="shared" si="29"/>
        <v>38.423076923076927</v>
      </c>
      <c r="C84" s="29">
        <f t="shared" si="30"/>
        <v>1</v>
      </c>
      <c r="D84" s="27">
        <f t="shared" si="31"/>
        <v>250</v>
      </c>
      <c r="E84" s="27">
        <f t="shared" si="37"/>
        <v>16.049382716049386</v>
      </c>
      <c r="F84" s="29">
        <f t="shared" si="32"/>
        <v>2.76</v>
      </c>
      <c r="G84" s="27">
        <f t="shared" si="38"/>
        <v>2.76</v>
      </c>
      <c r="H84" s="29">
        <f t="shared" si="33"/>
        <v>1.7599999999999998</v>
      </c>
      <c r="I84" s="30">
        <f t="shared" si="39"/>
        <v>5.9003496503497004E-4</v>
      </c>
      <c r="J84" s="37">
        <f t="shared" si="44"/>
        <v>4.3662587412587439E-2</v>
      </c>
      <c r="K84" s="91">
        <f t="shared" si="40"/>
        <v>43.662587412587442</v>
      </c>
      <c r="L84" s="68">
        <f t="shared" si="41"/>
        <v>0.6376811594202898</v>
      </c>
      <c r="M84" s="28">
        <f t="shared" si="34"/>
        <v>3.5123456790123466</v>
      </c>
      <c r="N84" s="28">
        <f t="shared" si="42"/>
        <v>2.5366964766003433E-2</v>
      </c>
      <c r="O84" s="28">
        <f t="shared" si="43"/>
        <v>42.992307692307676</v>
      </c>
      <c r="P84" s="28">
        <f t="shared" si="35"/>
        <v>59.192307692307672</v>
      </c>
      <c r="Q84" s="28">
        <f t="shared" si="36"/>
        <v>34.269230769230766</v>
      </c>
    </row>
    <row r="85" spans="1:17" x14ac:dyDescent="0.2">
      <c r="A85" s="28">
        <f t="shared" si="28"/>
        <v>54</v>
      </c>
      <c r="B85" s="31">
        <f t="shared" si="29"/>
        <v>38.942307692307693</v>
      </c>
      <c r="C85" s="29">
        <f t="shared" si="30"/>
        <v>1</v>
      </c>
      <c r="D85" s="27">
        <f t="shared" si="31"/>
        <v>250</v>
      </c>
      <c r="E85" s="27">
        <f t="shared" si="37"/>
        <v>16.602809706257982</v>
      </c>
      <c r="F85" s="29">
        <f t="shared" si="32"/>
        <v>2.76</v>
      </c>
      <c r="G85" s="27">
        <f t="shared" si="38"/>
        <v>2.76</v>
      </c>
      <c r="H85" s="29">
        <f t="shared" si="33"/>
        <v>1.7599999999999998</v>
      </c>
      <c r="I85" s="30">
        <f t="shared" si="39"/>
        <v>5.9003496503496201E-4</v>
      </c>
      <c r="J85" s="37">
        <f t="shared" si="44"/>
        <v>4.4252622377622404E-2</v>
      </c>
      <c r="K85" s="91">
        <f t="shared" si="40"/>
        <v>44.252622377622401</v>
      </c>
      <c r="L85" s="68">
        <f t="shared" si="41"/>
        <v>0.6376811594202898</v>
      </c>
      <c r="M85" s="28">
        <f t="shared" si="34"/>
        <v>3.6507024265644956</v>
      </c>
      <c r="N85" s="28">
        <f t="shared" si="42"/>
        <v>2.452139927380299E-2</v>
      </c>
      <c r="O85" s="28">
        <f t="shared" si="43"/>
        <v>41.559230769230766</v>
      </c>
      <c r="P85" s="28">
        <f t="shared" si="35"/>
        <v>57.219230769230762</v>
      </c>
      <c r="Q85" s="28">
        <f t="shared" si="36"/>
        <v>33.126923076923077</v>
      </c>
    </row>
    <row r="86" spans="1:17" x14ac:dyDescent="0.2">
      <c r="A86" s="28">
        <f t="shared" si="28"/>
        <v>54</v>
      </c>
      <c r="B86" s="31">
        <f t="shared" si="29"/>
        <v>39.46153846153846</v>
      </c>
      <c r="C86" s="29">
        <f t="shared" si="30"/>
        <v>1</v>
      </c>
      <c r="D86" s="27">
        <f t="shared" si="31"/>
        <v>250</v>
      </c>
      <c r="E86" s="27">
        <f t="shared" si="37"/>
        <v>17.195767195767193</v>
      </c>
      <c r="F86" s="29">
        <f t="shared" si="32"/>
        <v>2.76</v>
      </c>
      <c r="G86" s="27">
        <f t="shared" si="38"/>
        <v>2.76</v>
      </c>
      <c r="H86" s="29">
        <f t="shared" si="33"/>
        <v>1.7599999999999998</v>
      </c>
      <c r="I86" s="30">
        <f t="shared" si="39"/>
        <v>5.9003496503496201E-4</v>
      </c>
      <c r="J86" s="37">
        <f t="shared" si="44"/>
        <v>4.4842657342657369E-2</v>
      </c>
      <c r="K86" s="91">
        <f t="shared" si="40"/>
        <v>44.842657342657368</v>
      </c>
      <c r="L86" s="68">
        <f t="shared" si="41"/>
        <v>0.6376811594202898</v>
      </c>
      <c r="M86" s="28">
        <f t="shared" si="34"/>
        <v>3.7989417989417982</v>
      </c>
      <c r="N86" s="28">
        <f t="shared" si="42"/>
        <v>2.3675833781602894E-2</v>
      </c>
      <c r="O86" s="28">
        <f t="shared" si="43"/>
        <v>40.126153846153848</v>
      </c>
      <c r="P86" s="28">
        <f t="shared" si="35"/>
        <v>55.246153846153852</v>
      </c>
      <c r="Q86" s="28">
        <f t="shared" si="36"/>
        <v>31.984615384615392</v>
      </c>
    </row>
    <row r="87" spans="1:17" x14ac:dyDescent="0.2">
      <c r="A87" s="28">
        <f t="shared" si="28"/>
        <v>54</v>
      </c>
      <c r="B87" s="31">
        <f t="shared" si="29"/>
        <v>39.980769230769234</v>
      </c>
      <c r="C87" s="29">
        <f t="shared" si="30"/>
        <v>1</v>
      </c>
      <c r="D87" s="27">
        <f t="shared" si="31"/>
        <v>250</v>
      </c>
      <c r="E87" s="27">
        <f t="shared" si="37"/>
        <v>17.832647462277095</v>
      </c>
      <c r="F87" s="29">
        <f t="shared" si="32"/>
        <v>2.76</v>
      </c>
      <c r="G87" s="27">
        <f t="shared" si="38"/>
        <v>2.76</v>
      </c>
      <c r="H87" s="29">
        <f t="shared" si="33"/>
        <v>1.7599999999999998</v>
      </c>
      <c r="I87" s="30">
        <f t="shared" si="39"/>
        <v>5.9003496503497004E-4</v>
      </c>
      <c r="J87" s="37">
        <f t="shared" si="44"/>
        <v>4.5432692307692341E-2</v>
      </c>
      <c r="K87" s="91">
        <f t="shared" si="40"/>
        <v>45.432692307692342</v>
      </c>
      <c r="L87" s="68">
        <f t="shared" si="41"/>
        <v>0.6376811594202898</v>
      </c>
      <c r="M87" s="28">
        <f t="shared" si="34"/>
        <v>3.9581618655692732</v>
      </c>
      <c r="N87" s="28">
        <f t="shared" si="42"/>
        <v>2.2830268289403093E-2</v>
      </c>
      <c r="O87" s="28">
        <f t="shared" si="43"/>
        <v>38.693076923076916</v>
      </c>
      <c r="P87" s="28">
        <f t="shared" si="35"/>
        <v>53.273076923076907</v>
      </c>
      <c r="Q87" s="28">
        <f t="shared" si="36"/>
        <v>30.842307692307688</v>
      </c>
    </row>
    <row r="88" spans="1:17" x14ac:dyDescent="0.2">
      <c r="A88" s="28">
        <f t="shared" si="28"/>
        <v>54</v>
      </c>
      <c r="B88" s="31">
        <f t="shared" si="29"/>
        <v>40.5</v>
      </c>
      <c r="C88" s="29">
        <f t="shared" si="30"/>
        <v>1</v>
      </c>
      <c r="D88" s="27">
        <f t="shared" si="31"/>
        <v>250</v>
      </c>
      <c r="E88" s="27">
        <f t="shared" si="37"/>
        <v>18.518518518518519</v>
      </c>
      <c r="F88" s="29">
        <f t="shared" si="32"/>
        <v>2.76</v>
      </c>
      <c r="G88" s="27">
        <f t="shared" si="38"/>
        <v>2.76</v>
      </c>
      <c r="H88" s="29">
        <f t="shared" si="33"/>
        <v>1.7599999999999998</v>
      </c>
      <c r="I88" s="30">
        <f t="shared" si="39"/>
        <v>5.9003496503496201E-4</v>
      </c>
      <c r="J88" s="37">
        <f t="shared" si="44"/>
        <v>4.6022727272727305E-2</v>
      </c>
      <c r="K88" s="91">
        <f t="shared" si="40"/>
        <v>46.022727272727309</v>
      </c>
      <c r="L88" s="68">
        <f t="shared" si="41"/>
        <v>0.6376811594202898</v>
      </c>
      <c r="M88" s="28">
        <f t="shared" si="34"/>
        <v>4.1296296296296298</v>
      </c>
      <c r="N88" s="28">
        <f t="shared" si="42"/>
        <v>2.1984702797202684E-2</v>
      </c>
      <c r="O88" s="28">
        <f t="shared" si="43"/>
        <v>37.26</v>
      </c>
      <c r="P88" s="28">
        <f t="shared" si="35"/>
        <v>51.3</v>
      </c>
      <c r="Q88" s="28">
        <f t="shared" si="36"/>
        <v>29.700000000000003</v>
      </c>
    </row>
    <row r="89" spans="1:17" x14ac:dyDescent="0.2">
      <c r="A89" s="28">
        <f t="shared" si="28"/>
        <v>54</v>
      </c>
      <c r="B89" s="31">
        <f t="shared" si="29"/>
        <v>41.019230769230766</v>
      </c>
      <c r="C89" s="29">
        <f t="shared" si="30"/>
        <v>1</v>
      </c>
      <c r="D89" s="27">
        <f t="shared" si="31"/>
        <v>250</v>
      </c>
      <c r="E89" s="27">
        <f t="shared" si="37"/>
        <v>19.259259259259256</v>
      </c>
      <c r="F89" s="29">
        <f t="shared" si="32"/>
        <v>2.76</v>
      </c>
      <c r="G89" s="27">
        <f t="shared" si="38"/>
        <v>2.76</v>
      </c>
      <c r="H89" s="29">
        <f t="shared" si="33"/>
        <v>1.7599999999999998</v>
      </c>
      <c r="I89" s="30">
        <f t="shared" si="39"/>
        <v>5.9003496503496201E-4</v>
      </c>
      <c r="J89" s="37">
        <f t="shared" si="44"/>
        <v>4.661276223776227E-2</v>
      </c>
      <c r="K89" s="91">
        <f t="shared" si="40"/>
        <v>46.612762237762269</v>
      </c>
      <c r="L89" s="68">
        <f t="shared" si="41"/>
        <v>0.6376811594202898</v>
      </c>
      <c r="M89" s="28">
        <f t="shared" si="34"/>
        <v>4.314814814814814</v>
      </c>
      <c r="N89" s="28">
        <f t="shared" si="42"/>
        <v>2.1139137305002585E-2</v>
      </c>
      <c r="O89" s="28">
        <f t="shared" si="43"/>
        <v>35.82692307692308</v>
      </c>
      <c r="P89" s="28">
        <f t="shared" si="35"/>
        <v>49.326923076923087</v>
      </c>
      <c r="Q89" s="28">
        <f t="shared" si="36"/>
        <v>28.557692307692317</v>
      </c>
    </row>
    <row r="90" spans="1:17" x14ac:dyDescent="0.2">
      <c r="A90" s="28">
        <f t="shared" si="28"/>
        <v>54</v>
      </c>
      <c r="B90" s="31">
        <f t="shared" si="29"/>
        <v>41.53846153846154</v>
      </c>
      <c r="C90" s="29">
        <f t="shared" si="30"/>
        <v>1</v>
      </c>
      <c r="D90" s="27">
        <f t="shared" si="31"/>
        <v>250</v>
      </c>
      <c r="E90" s="27">
        <f t="shared" si="37"/>
        <v>20.061728395061731</v>
      </c>
      <c r="F90" s="29">
        <f t="shared" si="32"/>
        <v>2.76</v>
      </c>
      <c r="G90" s="27">
        <f t="shared" si="38"/>
        <v>2.76</v>
      </c>
      <c r="H90" s="29">
        <f t="shared" si="33"/>
        <v>1.7599999999999998</v>
      </c>
      <c r="I90" s="30">
        <f t="shared" si="39"/>
        <v>5.9003496503497004E-4</v>
      </c>
      <c r="J90" s="37">
        <f t="shared" si="44"/>
        <v>4.7202797202797242E-2</v>
      </c>
      <c r="K90" s="91">
        <f t="shared" si="40"/>
        <v>47.202797202797242</v>
      </c>
      <c r="L90" s="68">
        <f t="shared" si="41"/>
        <v>0.6376811594202898</v>
      </c>
      <c r="M90" s="28">
        <f t="shared" si="34"/>
        <v>4.5154320987654328</v>
      </c>
      <c r="N90" s="28">
        <f t="shared" si="42"/>
        <v>2.0293571812802749E-2</v>
      </c>
      <c r="O90" s="28">
        <f t="shared" si="43"/>
        <v>34.393846153846148</v>
      </c>
      <c r="P90" s="28">
        <f t="shared" si="35"/>
        <v>47.353846153846142</v>
      </c>
      <c r="Q90" s="28">
        <f t="shared" si="36"/>
        <v>27.415384615384614</v>
      </c>
    </row>
    <row r="91" spans="1:17" x14ac:dyDescent="0.2">
      <c r="A91" s="28">
        <f t="shared" si="28"/>
        <v>54</v>
      </c>
      <c r="B91" s="31">
        <f t="shared" si="29"/>
        <v>42.057692307692307</v>
      </c>
      <c r="C91" s="29">
        <f t="shared" si="30"/>
        <v>1</v>
      </c>
      <c r="D91" s="27">
        <f t="shared" si="31"/>
        <v>250</v>
      </c>
      <c r="E91" s="27">
        <f t="shared" si="37"/>
        <v>20.933977455716583</v>
      </c>
      <c r="F91" s="29">
        <f t="shared" si="32"/>
        <v>2.76</v>
      </c>
      <c r="G91" s="27">
        <f t="shared" si="38"/>
        <v>2.76</v>
      </c>
      <c r="H91" s="29">
        <f t="shared" si="33"/>
        <v>1.7599999999999998</v>
      </c>
      <c r="I91" s="30">
        <f t="shared" si="39"/>
        <v>5.9003496503496201E-4</v>
      </c>
      <c r="J91" s="37">
        <f t="shared" si="44"/>
        <v>4.7792832167832207E-2</v>
      </c>
      <c r="K91" s="91">
        <f t="shared" si="40"/>
        <v>47.792832167832209</v>
      </c>
      <c r="L91" s="68">
        <f t="shared" si="41"/>
        <v>0.6376811594202898</v>
      </c>
      <c r="M91" s="28">
        <f t="shared" si="34"/>
        <v>4.7334943639291458</v>
      </c>
      <c r="N91" s="28">
        <f t="shared" si="42"/>
        <v>1.9448006320602375E-2</v>
      </c>
      <c r="O91" s="28">
        <f t="shared" si="43"/>
        <v>32.96076923076923</v>
      </c>
      <c r="P91" s="28">
        <f t="shared" si="35"/>
        <v>45.380769230769232</v>
      </c>
      <c r="Q91" s="28">
        <f t="shared" si="36"/>
        <v>26.273076923076928</v>
      </c>
    </row>
    <row r="92" spans="1:17" x14ac:dyDescent="0.2">
      <c r="A92" s="28">
        <f t="shared" si="28"/>
        <v>54</v>
      </c>
      <c r="B92" s="31">
        <f t="shared" si="29"/>
        <v>42.576923076923073</v>
      </c>
      <c r="C92" s="29">
        <f t="shared" si="30"/>
        <v>1</v>
      </c>
      <c r="D92" s="27">
        <f t="shared" si="31"/>
        <v>250</v>
      </c>
      <c r="E92" s="27">
        <f t="shared" si="37"/>
        <v>21.885521885521879</v>
      </c>
      <c r="F92" s="29">
        <f t="shared" si="32"/>
        <v>2.76</v>
      </c>
      <c r="G92" s="27">
        <f t="shared" si="38"/>
        <v>2.76</v>
      </c>
      <c r="H92" s="29">
        <f t="shared" si="33"/>
        <v>1.7599999999999998</v>
      </c>
      <c r="I92" s="30">
        <f t="shared" si="39"/>
        <v>5.9003496503496201E-4</v>
      </c>
      <c r="J92" s="37">
        <f t="shared" si="44"/>
        <v>4.8382867132867172E-2</v>
      </c>
      <c r="K92" s="91">
        <f t="shared" si="40"/>
        <v>48.382867132867169</v>
      </c>
      <c r="L92" s="68">
        <f t="shared" si="41"/>
        <v>0.6376811594202898</v>
      </c>
      <c r="M92" s="28">
        <f t="shared" si="34"/>
        <v>4.9713804713804697</v>
      </c>
      <c r="N92" s="28">
        <f t="shared" si="42"/>
        <v>1.8602440828402275E-2</v>
      </c>
      <c r="O92" s="28">
        <f t="shared" si="43"/>
        <v>31.527692307692316</v>
      </c>
      <c r="P92" s="28">
        <f t="shared" si="35"/>
        <v>43.407692307692322</v>
      </c>
      <c r="Q92" s="28">
        <f t="shared" si="36"/>
        <v>25.130769230769243</v>
      </c>
    </row>
    <row r="93" spans="1:17" x14ac:dyDescent="0.2">
      <c r="A93" s="28">
        <f t="shared" si="28"/>
        <v>54</v>
      </c>
      <c r="B93" s="31">
        <f t="shared" si="29"/>
        <v>43.096153846153847</v>
      </c>
      <c r="C93" s="29">
        <f t="shared" si="30"/>
        <v>1</v>
      </c>
      <c r="D93" s="27">
        <f t="shared" si="31"/>
        <v>250</v>
      </c>
      <c r="E93" s="27">
        <f t="shared" si="37"/>
        <v>22.927689594356263</v>
      </c>
      <c r="F93" s="29">
        <f t="shared" si="32"/>
        <v>2.76</v>
      </c>
      <c r="G93" s="27">
        <f t="shared" si="38"/>
        <v>2.76</v>
      </c>
      <c r="H93" s="29">
        <f t="shared" si="33"/>
        <v>1.7599999999999998</v>
      </c>
      <c r="I93" s="30">
        <f t="shared" si="39"/>
        <v>5.9003496503497004E-4</v>
      </c>
      <c r="J93" s="37">
        <f t="shared" si="44"/>
        <v>4.8972902097902143E-2</v>
      </c>
      <c r="K93" s="91">
        <f t="shared" si="40"/>
        <v>48.972902097902143</v>
      </c>
      <c r="L93" s="68">
        <f t="shared" si="41"/>
        <v>0.6376811594202898</v>
      </c>
      <c r="M93" s="28">
        <f t="shared" si="34"/>
        <v>5.2319223985890666</v>
      </c>
      <c r="N93" s="28">
        <f t="shared" si="42"/>
        <v>1.7756875336202408E-2</v>
      </c>
      <c r="O93" s="28">
        <f t="shared" si="43"/>
        <v>30.094615384615381</v>
      </c>
      <c r="P93" s="28">
        <f t="shared" si="35"/>
        <v>41.434615384615384</v>
      </c>
      <c r="Q93" s="28">
        <f t="shared" si="36"/>
        <v>23.988461538461539</v>
      </c>
    </row>
    <row r="94" spans="1:17" x14ac:dyDescent="0.2">
      <c r="A94" s="28">
        <f t="shared" si="28"/>
        <v>54</v>
      </c>
      <c r="B94" s="31">
        <f t="shared" si="29"/>
        <v>43.615384615384613</v>
      </c>
      <c r="C94" s="29">
        <f t="shared" si="30"/>
        <v>1</v>
      </c>
      <c r="D94" s="27">
        <f t="shared" si="31"/>
        <v>250</v>
      </c>
      <c r="E94" s="27">
        <f t="shared" si="37"/>
        <v>24.074074074074069</v>
      </c>
      <c r="F94" s="29">
        <f t="shared" si="32"/>
        <v>2.76</v>
      </c>
      <c r="G94" s="27">
        <f t="shared" si="38"/>
        <v>2.76</v>
      </c>
      <c r="H94" s="29">
        <f t="shared" si="33"/>
        <v>1.7599999999999998</v>
      </c>
      <c r="I94" s="30">
        <f t="shared" si="39"/>
        <v>5.9003496503496201E-4</v>
      </c>
      <c r="J94" s="37">
        <f t="shared" si="44"/>
        <v>4.9562937062937108E-2</v>
      </c>
      <c r="K94" s="91">
        <f t="shared" si="40"/>
        <v>49.56293706293711</v>
      </c>
      <c r="L94" s="68">
        <f t="shared" si="41"/>
        <v>0.6376811594202898</v>
      </c>
      <c r="M94" s="28">
        <f t="shared" si="34"/>
        <v>5.5185185185185173</v>
      </c>
      <c r="N94" s="28">
        <f t="shared" si="42"/>
        <v>1.6911309844002069E-2</v>
      </c>
      <c r="O94" s="28">
        <f t="shared" si="43"/>
        <v>28.661538461538466</v>
      </c>
      <c r="P94" s="28">
        <f t="shared" si="35"/>
        <v>39.461538461538467</v>
      </c>
      <c r="Q94" s="28">
        <f t="shared" si="36"/>
        <v>22.846153846153854</v>
      </c>
    </row>
    <row r="95" spans="1:17" x14ac:dyDescent="0.2">
      <c r="A95" s="28">
        <f t="shared" si="28"/>
        <v>54</v>
      </c>
      <c r="B95" s="31">
        <f t="shared" si="29"/>
        <v>44.134615384615387</v>
      </c>
      <c r="C95" s="29">
        <f t="shared" si="30"/>
        <v>1</v>
      </c>
      <c r="D95" s="27">
        <f t="shared" si="31"/>
        <v>250</v>
      </c>
      <c r="E95" s="27">
        <f t="shared" si="37"/>
        <v>25</v>
      </c>
      <c r="F95" s="29">
        <f t="shared" si="32"/>
        <v>2.76</v>
      </c>
      <c r="G95" s="27">
        <f t="shared" si="38"/>
        <v>2.76</v>
      </c>
      <c r="H95" s="29">
        <f t="shared" si="33"/>
        <v>1.7599999999999998</v>
      </c>
      <c r="I95" s="30">
        <f t="shared" si="39"/>
        <v>5.9003496503497004E-4</v>
      </c>
      <c r="J95" s="37">
        <f t="shared" si="44"/>
        <v>5.015297202797208E-2</v>
      </c>
      <c r="K95" s="91">
        <f t="shared" si="40"/>
        <v>50.152972027972083</v>
      </c>
      <c r="L95" s="68">
        <f t="shared" si="41"/>
        <v>0.6376811594202898</v>
      </c>
      <c r="M95" s="28">
        <f t="shared" si="34"/>
        <v>5.75</v>
      </c>
      <c r="N95" s="28">
        <f t="shared" si="42"/>
        <v>1.6065744351802174E-2</v>
      </c>
      <c r="O95" s="28">
        <f t="shared" si="43"/>
        <v>27.228461538461531</v>
      </c>
      <c r="P95" s="28">
        <f t="shared" si="35"/>
        <v>37.488461538461529</v>
      </c>
      <c r="Q95" s="28">
        <f t="shared" si="36"/>
        <v>21.70384615384615</v>
      </c>
    </row>
    <row r="96" spans="1:17" x14ac:dyDescent="0.2">
      <c r="A96" s="28">
        <f t="shared" si="28"/>
        <v>54</v>
      </c>
      <c r="B96" s="31">
        <f t="shared" si="29"/>
        <v>44.653846153846153</v>
      </c>
      <c r="C96" s="29">
        <f t="shared" si="30"/>
        <v>1</v>
      </c>
      <c r="D96" s="27">
        <f t="shared" si="31"/>
        <v>250</v>
      </c>
      <c r="E96" s="27">
        <f t="shared" si="37"/>
        <v>25</v>
      </c>
      <c r="F96" s="29">
        <f t="shared" si="32"/>
        <v>2.76</v>
      </c>
      <c r="G96" s="27">
        <f t="shared" si="38"/>
        <v>2.76</v>
      </c>
      <c r="H96" s="29">
        <f t="shared" si="33"/>
        <v>1.7599999999999998</v>
      </c>
      <c r="I96" s="30">
        <f t="shared" si="39"/>
        <v>5.9003496503496201E-4</v>
      </c>
      <c r="J96" s="37">
        <f t="shared" si="44"/>
        <v>5.0743006993007045E-2</v>
      </c>
      <c r="K96" s="91">
        <f t="shared" si="40"/>
        <v>50.743006993007043</v>
      </c>
      <c r="L96" s="68">
        <f t="shared" si="41"/>
        <v>0.6376811594202898</v>
      </c>
      <c r="M96" s="28">
        <f t="shared" si="34"/>
        <v>5.75</v>
      </c>
      <c r="N96" s="28">
        <f t="shared" si="42"/>
        <v>1.5220178859601858E-2</v>
      </c>
      <c r="O96" s="28">
        <f t="shared" si="43"/>
        <v>25.795384615384616</v>
      </c>
      <c r="P96" s="28">
        <f t="shared" si="35"/>
        <v>35.515384615384619</v>
      </c>
      <c r="Q96" s="28">
        <f t="shared" si="36"/>
        <v>20.561538461538465</v>
      </c>
    </row>
    <row r="97" spans="1:17" x14ac:dyDescent="0.2">
      <c r="A97" s="28">
        <f t="shared" si="28"/>
        <v>54</v>
      </c>
      <c r="B97" s="31">
        <f t="shared" si="29"/>
        <v>45.173076923076927</v>
      </c>
      <c r="C97" s="29">
        <f t="shared" si="30"/>
        <v>1</v>
      </c>
      <c r="D97" s="27">
        <f t="shared" si="31"/>
        <v>250</v>
      </c>
      <c r="E97" s="27">
        <f t="shared" si="37"/>
        <v>25</v>
      </c>
      <c r="F97" s="29">
        <f t="shared" si="32"/>
        <v>2.76</v>
      </c>
      <c r="G97" s="27">
        <f t="shared" si="38"/>
        <v>2.76</v>
      </c>
      <c r="H97" s="29">
        <f t="shared" si="33"/>
        <v>1.7599999999999998</v>
      </c>
      <c r="I97" s="30">
        <f t="shared" si="39"/>
        <v>5.9003496503497004E-4</v>
      </c>
      <c r="J97" s="37">
        <f t="shared" si="44"/>
        <v>5.1333041958042017E-2</v>
      </c>
      <c r="K97" s="91">
        <f t="shared" si="40"/>
        <v>51.333041958042017</v>
      </c>
      <c r="L97" s="68">
        <f t="shared" si="41"/>
        <v>0.6376811594202898</v>
      </c>
      <c r="M97" s="28">
        <f t="shared" si="34"/>
        <v>5.75</v>
      </c>
      <c r="N97" s="28">
        <f t="shared" si="42"/>
        <v>1.4374613367401944E-2</v>
      </c>
      <c r="O97" s="28">
        <f t="shared" si="43"/>
        <v>24.362307692307681</v>
      </c>
      <c r="P97" s="28">
        <f t="shared" si="35"/>
        <v>33.542307692307674</v>
      </c>
      <c r="Q97" s="28">
        <f t="shared" si="36"/>
        <v>19.419230769230762</v>
      </c>
    </row>
    <row r="98" spans="1:17" x14ac:dyDescent="0.2">
      <c r="A98" s="28">
        <f t="shared" si="28"/>
        <v>54</v>
      </c>
      <c r="B98" s="31">
        <f t="shared" si="29"/>
        <v>45.692307692307693</v>
      </c>
      <c r="C98" s="29">
        <f t="shared" si="30"/>
        <v>1</v>
      </c>
      <c r="D98" s="27">
        <f t="shared" si="31"/>
        <v>250</v>
      </c>
      <c r="E98" s="27">
        <f t="shared" si="37"/>
        <v>25</v>
      </c>
      <c r="F98" s="29">
        <f t="shared" si="32"/>
        <v>2.76</v>
      </c>
      <c r="G98" s="27">
        <f t="shared" si="38"/>
        <v>2.76</v>
      </c>
      <c r="H98" s="29">
        <f t="shared" si="33"/>
        <v>1.7599999999999998</v>
      </c>
      <c r="I98" s="30">
        <f t="shared" si="39"/>
        <v>5.9003496503496201E-4</v>
      </c>
      <c r="J98" s="37">
        <f t="shared" si="44"/>
        <v>5.1923076923076981E-2</v>
      </c>
      <c r="K98" s="91">
        <f t="shared" si="40"/>
        <v>51.923076923076984</v>
      </c>
      <c r="L98" s="68">
        <f t="shared" si="41"/>
        <v>0.6376811594202898</v>
      </c>
      <c r="M98" s="28">
        <f t="shared" si="34"/>
        <v>5.75</v>
      </c>
      <c r="N98" s="28">
        <f t="shared" si="42"/>
        <v>1.352904787520165E-2</v>
      </c>
      <c r="O98" s="28">
        <f t="shared" si="43"/>
        <v>22.929230769230763</v>
      </c>
      <c r="P98" s="28">
        <f t="shared" si="35"/>
        <v>31.569230769230764</v>
      </c>
      <c r="Q98" s="28">
        <f t="shared" si="36"/>
        <v>18.276923076923076</v>
      </c>
    </row>
    <row r="99" spans="1:17" x14ac:dyDescent="0.2">
      <c r="A99" s="28">
        <f t="shared" si="28"/>
        <v>54</v>
      </c>
      <c r="B99" s="31">
        <f t="shared" si="29"/>
        <v>46.21153846153846</v>
      </c>
      <c r="C99" s="29">
        <f t="shared" si="30"/>
        <v>1</v>
      </c>
      <c r="D99" s="27">
        <f t="shared" si="31"/>
        <v>250</v>
      </c>
      <c r="E99" s="27">
        <f t="shared" si="37"/>
        <v>25</v>
      </c>
      <c r="F99" s="29">
        <f t="shared" si="32"/>
        <v>2.76</v>
      </c>
      <c r="G99" s="27">
        <f t="shared" si="38"/>
        <v>2.76</v>
      </c>
      <c r="H99" s="29">
        <f t="shared" si="33"/>
        <v>1.7599999999999998</v>
      </c>
      <c r="I99" s="30">
        <f t="shared" si="39"/>
        <v>5.9003496503496201E-4</v>
      </c>
      <c r="J99" s="37">
        <f t="shared" si="44"/>
        <v>5.2513111888111946E-2</v>
      </c>
      <c r="K99" s="91">
        <f t="shared" si="40"/>
        <v>52.513111888111943</v>
      </c>
      <c r="L99" s="68">
        <f t="shared" si="41"/>
        <v>0.6376811594202898</v>
      </c>
      <c r="M99" s="28">
        <f t="shared" si="34"/>
        <v>5.75</v>
      </c>
      <c r="N99" s="28">
        <f t="shared" si="42"/>
        <v>1.268348238300155E-2</v>
      </c>
      <c r="O99" s="28">
        <f t="shared" si="43"/>
        <v>21.496153846153849</v>
      </c>
      <c r="P99" s="28">
        <f t="shared" si="35"/>
        <v>29.59615384615385</v>
      </c>
      <c r="Q99" s="28">
        <f t="shared" si="36"/>
        <v>17.13461538461539</v>
      </c>
    </row>
    <row r="100" spans="1:17" x14ac:dyDescent="0.2">
      <c r="A100" s="28">
        <f t="shared" si="28"/>
        <v>54</v>
      </c>
      <c r="B100" s="31">
        <f t="shared" si="29"/>
        <v>46.730769230769234</v>
      </c>
      <c r="C100" s="29">
        <f t="shared" si="30"/>
        <v>1</v>
      </c>
      <c r="D100" s="27">
        <f t="shared" si="31"/>
        <v>250</v>
      </c>
      <c r="E100" s="27">
        <f t="shared" si="37"/>
        <v>25</v>
      </c>
      <c r="F100" s="29">
        <f t="shared" si="32"/>
        <v>2.76</v>
      </c>
      <c r="G100" s="27">
        <f t="shared" si="38"/>
        <v>2.76</v>
      </c>
      <c r="H100" s="29">
        <f t="shared" si="33"/>
        <v>1.7599999999999998</v>
      </c>
      <c r="I100" s="30">
        <f t="shared" si="39"/>
        <v>5.9003496503497004E-4</v>
      </c>
      <c r="J100" s="37">
        <f t="shared" si="44"/>
        <v>5.3103146853146918E-2</v>
      </c>
      <c r="K100" s="91">
        <f t="shared" si="40"/>
        <v>53.103146853146917</v>
      </c>
      <c r="L100" s="68">
        <f t="shared" si="41"/>
        <v>0.6376811594202898</v>
      </c>
      <c r="M100" s="28">
        <f t="shared" si="34"/>
        <v>5.75</v>
      </c>
      <c r="N100" s="28">
        <f t="shared" si="42"/>
        <v>1.1837916890801601E-2</v>
      </c>
      <c r="O100" s="28">
        <f t="shared" si="43"/>
        <v>20.063076923076913</v>
      </c>
      <c r="P100" s="28">
        <f t="shared" si="35"/>
        <v>27.623076923076912</v>
      </c>
      <c r="Q100" s="28">
        <f t="shared" si="36"/>
        <v>15.992307692307687</v>
      </c>
    </row>
    <row r="101" spans="1:17" x14ac:dyDescent="0.2">
      <c r="A101" s="28">
        <f t="shared" si="28"/>
        <v>54</v>
      </c>
      <c r="B101" s="31">
        <f t="shared" si="29"/>
        <v>47.25</v>
      </c>
      <c r="C101" s="29">
        <f t="shared" si="30"/>
        <v>1</v>
      </c>
      <c r="D101" s="27">
        <f t="shared" si="31"/>
        <v>250</v>
      </c>
      <c r="E101" s="27">
        <f t="shared" si="37"/>
        <v>25</v>
      </c>
      <c r="F101" s="29">
        <f t="shared" si="32"/>
        <v>2.76</v>
      </c>
      <c r="G101" s="27">
        <f t="shared" si="38"/>
        <v>2.76</v>
      </c>
      <c r="H101" s="29">
        <f t="shared" si="33"/>
        <v>1.7599999999999998</v>
      </c>
      <c r="I101" s="30">
        <f t="shared" si="39"/>
        <v>5.9003496503496201E-4</v>
      </c>
      <c r="J101" s="37">
        <f t="shared" si="44"/>
        <v>5.3693181818181883E-2</v>
      </c>
      <c r="K101" s="91">
        <f t="shared" si="40"/>
        <v>53.693181818181884</v>
      </c>
      <c r="L101" s="68">
        <f t="shared" si="41"/>
        <v>0.6376811594202898</v>
      </c>
      <c r="M101" s="28">
        <f t="shared" si="34"/>
        <v>5.75</v>
      </c>
      <c r="N101" s="28">
        <f t="shared" si="42"/>
        <v>1.0992351398601342E-2</v>
      </c>
      <c r="O101" s="28">
        <f t="shared" si="43"/>
        <v>18.63</v>
      </c>
      <c r="P101" s="28">
        <f t="shared" si="35"/>
        <v>25.65</v>
      </c>
      <c r="Q101" s="28">
        <f t="shared" si="36"/>
        <v>14.850000000000001</v>
      </c>
    </row>
    <row r="102" spans="1:17" x14ac:dyDescent="0.2">
      <c r="A102" s="28">
        <f t="shared" si="28"/>
        <v>54</v>
      </c>
      <c r="B102" s="31">
        <f t="shared" si="29"/>
        <v>47.769230769230766</v>
      </c>
      <c r="C102" s="29">
        <f t="shared" si="30"/>
        <v>1</v>
      </c>
      <c r="D102" s="27">
        <f t="shared" si="31"/>
        <v>250</v>
      </c>
      <c r="E102" s="27">
        <f t="shared" si="37"/>
        <v>25</v>
      </c>
      <c r="F102" s="29">
        <f t="shared" si="32"/>
        <v>2.76</v>
      </c>
      <c r="G102" s="27">
        <f t="shared" si="38"/>
        <v>2.76</v>
      </c>
      <c r="H102" s="29">
        <f t="shared" si="33"/>
        <v>1.7599999999999998</v>
      </c>
      <c r="I102" s="30">
        <f t="shared" si="39"/>
        <v>5.9003496503496201E-4</v>
      </c>
      <c r="J102" s="37">
        <f t="shared" si="44"/>
        <v>5.4283216783216848E-2</v>
      </c>
      <c r="K102" s="91">
        <f t="shared" si="40"/>
        <v>54.283216783216851</v>
      </c>
      <c r="L102" s="68">
        <f t="shared" si="41"/>
        <v>0.6376811594202898</v>
      </c>
      <c r="M102" s="28">
        <f t="shared" si="34"/>
        <v>5.75</v>
      </c>
      <c r="N102" s="28">
        <f t="shared" si="42"/>
        <v>1.0146785906401242E-2</v>
      </c>
      <c r="O102" s="28">
        <f t="shared" si="43"/>
        <v>17.196923076923085</v>
      </c>
      <c r="P102" s="28">
        <f t="shared" si="35"/>
        <v>23.676923076923085</v>
      </c>
      <c r="Q102" s="28">
        <f t="shared" si="36"/>
        <v>13.707692307692314</v>
      </c>
    </row>
    <row r="103" spans="1:17" x14ac:dyDescent="0.2">
      <c r="A103" s="28">
        <f t="shared" si="28"/>
        <v>54</v>
      </c>
      <c r="B103" s="31">
        <f t="shared" si="29"/>
        <v>48.28846153846154</v>
      </c>
      <c r="C103" s="29">
        <f t="shared" si="30"/>
        <v>1</v>
      </c>
      <c r="D103" s="27">
        <f t="shared" si="31"/>
        <v>250</v>
      </c>
      <c r="E103" s="27">
        <f t="shared" si="37"/>
        <v>25</v>
      </c>
      <c r="F103" s="29">
        <f t="shared" si="32"/>
        <v>2.76</v>
      </c>
      <c r="G103" s="27">
        <f t="shared" si="38"/>
        <v>2.76</v>
      </c>
      <c r="H103" s="29">
        <f t="shared" si="33"/>
        <v>1.7599999999999998</v>
      </c>
      <c r="I103" s="30">
        <f t="shared" si="39"/>
        <v>5.9003496503497004E-4</v>
      </c>
      <c r="J103" s="37">
        <f t="shared" si="44"/>
        <v>5.487325174825182E-2</v>
      </c>
      <c r="K103" s="91">
        <f t="shared" si="40"/>
        <v>54.873251748251818</v>
      </c>
      <c r="L103" s="68">
        <f t="shared" si="41"/>
        <v>0.6376811594202898</v>
      </c>
      <c r="M103" s="28">
        <f t="shared" si="34"/>
        <v>5.75</v>
      </c>
      <c r="N103" s="28">
        <f t="shared" si="42"/>
        <v>9.301220414201259E-3</v>
      </c>
      <c r="O103" s="28">
        <f t="shared" si="43"/>
        <v>15.763846153846147</v>
      </c>
      <c r="P103" s="28">
        <f t="shared" si="35"/>
        <v>21.703846153846147</v>
      </c>
      <c r="Q103" s="28">
        <f t="shared" si="36"/>
        <v>12.565384615384612</v>
      </c>
    </row>
    <row r="104" spans="1:17" x14ac:dyDescent="0.2">
      <c r="A104" s="28">
        <f t="shared" si="28"/>
        <v>54</v>
      </c>
      <c r="B104" s="31">
        <f t="shared" si="29"/>
        <v>48.807692307692307</v>
      </c>
      <c r="C104" s="29">
        <f t="shared" si="30"/>
        <v>1</v>
      </c>
      <c r="D104" s="27">
        <f t="shared" si="31"/>
        <v>250</v>
      </c>
      <c r="E104" s="27">
        <f t="shared" si="37"/>
        <v>25</v>
      </c>
      <c r="F104" s="29">
        <f t="shared" si="32"/>
        <v>2.76</v>
      </c>
      <c r="G104" s="27">
        <f t="shared" si="38"/>
        <v>2.76</v>
      </c>
      <c r="H104" s="29">
        <f t="shared" si="33"/>
        <v>1.7599999999999998</v>
      </c>
      <c r="I104" s="30">
        <f t="shared" si="39"/>
        <v>5.9003496503496201E-4</v>
      </c>
      <c r="J104" s="37">
        <f t="shared" si="44"/>
        <v>5.5463286713286784E-2</v>
      </c>
      <c r="K104" s="91">
        <f t="shared" si="40"/>
        <v>55.463286713286784</v>
      </c>
      <c r="L104" s="68">
        <f t="shared" si="41"/>
        <v>0.6376811594202898</v>
      </c>
      <c r="M104" s="28">
        <f t="shared" si="34"/>
        <v>5.75</v>
      </c>
      <c r="N104" s="28">
        <f t="shared" si="42"/>
        <v>8.4556549220010345E-3</v>
      </c>
      <c r="O104" s="28">
        <f t="shared" si="43"/>
        <v>14.330769230769233</v>
      </c>
      <c r="P104" s="28">
        <f t="shared" si="35"/>
        <v>19.730769230769234</v>
      </c>
      <c r="Q104" s="28">
        <f t="shared" si="36"/>
        <v>11.423076923076927</v>
      </c>
    </row>
    <row r="105" spans="1:17" x14ac:dyDescent="0.2">
      <c r="A105" s="28">
        <f t="shared" si="28"/>
        <v>54</v>
      </c>
      <c r="B105" s="31">
        <f t="shared" si="29"/>
        <v>49.326923076923073</v>
      </c>
      <c r="C105" s="29">
        <f t="shared" si="30"/>
        <v>1</v>
      </c>
      <c r="D105" s="27">
        <f t="shared" si="31"/>
        <v>250</v>
      </c>
      <c r="E105" s="27">
        <f t="shared" si="37"/>
        <v>25</v>
      </c>
      <c r="F105" s="29">
        <f t="shared" si="32"/>
        <v>2.76</v>
      </c>
      <c r="G105" s="27">
        <f t="shared" si="38"/>
        <v>2.76</v>
      </c>
      <c r="H105" s="29">
        <f t="shared" si="33"/>
        <v>1.7599999999999998</v>
      </c>
      <c r="I105" s="30">
        <f t="shared" si="39"/>
        <v>5.9003496503496201E-4</v>
      </c>
      <c r="J105" s="37">
        <f t="shared" si="44"/>
        <v>5.6053321678321749E-2</v>
      </c>
      <c r="K105" s="91">
        <f t="shared" si="40"/>
        <v>56.053321678321751</v>
      </c>
      <c r="L105" s="68">
        <f t="shared" si="41"/>
        <v>0.6376811594202898</v>
      </c>
      <c r="M105" s="28">
        <f t="shared" si="34"/>
        <v>5.75</v>
      </c>
      <c r="N105" s="28">
        <f t="shared" si="42"/>
        <v>7.6100894298009349E-3</v>
      </c>
      <c r="O105" s="28">
        <f t="shared" si="43"/>
        <v>12.897692307692317</v>
      </c>
      <c r="P105" s="28">
        <f t="shared" si="35"/>
        <v>17.75769230769232</v>
      </c>
      <c r="Q105" s="28">
        <f t="shared" si="36"/>
        <v>10.28076923076924</v>
      </c>
    </row>
    <row r="106" spans="1:17" x14ac:dyDescent="0.2">
      <c r="A106" s="28">
        <f t="shared" ref="A106:A114" si="45">VINMAX</f>
        <v>54</v>
      </c>
      <c r="B106" s="31">
        <f t="shared" ref="B106:B114" si="46">VINMAX*((ROW()-10)/104)</f>
        <v>49.846153846153847</v>
      </c>
      <c r="C106" s="29">
        <f t="shared" ref="C106:C110" si="47">IF(B106&gt;=$H$2,IF($D$2="CC", $G$2, B106/$G$2), 0)</f>
        <v>1</v>
      </c>
      <c r="D106" s="27">
        <f t="shared" ref="D106:D110" si="48">$B$2-B106*$J$2/($I$2*0.001)</f>
        <v>250</v>
      </c>
      <c r="E106" s="27">
        <f t="shared" si="37"/>
        <v>25</v>
      </c>
      <c r="F106" s="29">
        <f t="shared" ref="F106:F110" si="49">I_Cout_ss+C106</f>
        <v>2.76</v>
      </c>
      <c r="G106" s="27">
        <f t="shared" si="38"/>
        <v>2.76</v>
      </c>
      <c r="H106" s="29">
        <f t="shared" ref="H106:H110" si="50">G106-C106</f>
        <v>1.7599999999999998</v>
      </c>
      <c r="I106" s="30">
        <f t="shared" si="39"/>
        <v>5.9003496503497004E-4</v>
      </c>
      <c r="J106" s="37">
        <f t="shared" si="44"/>
        <v>5.6643356643356721E-2</v>
      </c>
      <c r="K106" s="91">
        <f t="shared" si="40"/>
        <v>56.643356643356718</v>
      </c>
      <c r="L106" s="68">
        <f t="shared" si="41"/>
        <v>0.6376811594202898</v>
      </c>
      <c r="M106" s="28">
        <f t="shared" ref="M106:M114" si="51">1/COUTMAX*(E106/2-C106)*1000</f>
        <v>5.75</v>
      </c>
      <c r="N106" s="28">
        <f t="shared" si="42"/>
        <v>6.7645239376009168E-3</v>
      </c>
      <c r="O106" s="28">
        <f t="shared" si="43"/>
        <v>11.464615384615382</v>
      </c>
      <c r="P106" s="28">
        <f t="shared" ref="P106:P114" si="52">(A106-B106)*(I_Cout_ss*$Q$2+C106)</f>
        <v>15.784615384615382</v>
      </c>
      <c r="Q106" s="28">
        <f t="shared" ref="Q106:Q114" si="53">(A106-B106)*(I_Cout_ss*$R$2+C106)</f>
        <v>9.138461538461538</v>
      </c>
    </row>
    <row r="107" spans="1:17" x14ac:dyDescent="0.2">
      <c r="A107" s="28">
        <f t="shared" si="45"/>
        <v>54</v>
      </c>
      <c r="B107" s="31">
        <f t="shared" si="46"/>
        <v>50.365384615384613</v>
      </c>
      <c r="C107" s="29">
        <f t="shared" si="47"/>
        <v>1</v>
      </c>
      <c r="D107" s="27">
        <f t="shared" si="48"/>
        <v>250</v>
      </c>
      <c r="E107" s="27">
        <f t="shared" si="37"/>
        <v>25</v>
      </c>
      <c r="F107" s="29">
        <f t="shared" si="49"/>
        <v>2.76</v>
      </c>
      <c r="G107" s="27">
        <f t="shared" si="38"/>
        <v>2.76</v>
      </c>
      <c r="H107" s="29">
        <f t="shared" si="50"/>
        <v>1.7599999999999998</v>
      </c>
      <c r="I107" s="30">
        <f t="shared" ref="I107:I110" si="54">(COUTMAX/1000000)*(B107-B106)/H107</f>
        <v>5.9003496503496201E-4</v>
      </c>
      <c r="J107" s="37">
        <f t="shared" si="44"/>
        <v>5.7233391608391686E-2</v>
      </c>
      <c r="K107" s="91">
        <f t="shared" si="40"/>
        <v>57.233391608391685</v>
      </c>
      <c r="L107" s="68">
        <f t="shared" si="41"/>
        <v>0.6376811594202898</v>
      </c>
      <c r="M107" s="28">
        <f t="shared" si="51"/>
        <v>5.75</v>
      </c>
      <c r="N107" s="28">
        <f t="shared" si="42"/>
        <v>5.9189584454007261E-3</v>
      </c>
      <c r="O107" s="28">
        <f t="shared" si="43"/>
        <v>10.031538461538467</v>
      </c>
      <c r="P107" s="28">
        <f t="shared" si="52"/>
        <v>13.811538461538468</v>
      </c>
      <c r="Q107" s="28">
        <f t="shared" si="53"/>
        <v>7.9961538461538515</v>
      </c>
    </row>
    <row r="108" spans="1:17" x14ac:dyDescent="0.2">
      <c r="A108" s="28">
        <f t="shared" si="45"/>
        <v>54</v>
      </c>
      <c r="B108" s="31">
        <f t="shared" si="46"/>
        <v>50.884615384615387</v>
      </c>
      <c r="C108" s="29">
        <f t="shared" si="47"/>
        <v>1</v>
      </c>
      <c r="D108" s="27">
        <f t="shared" si="48"/>
        <v>250</v>
      </c>
      <c r="E108" s="27">
        <f t="shared" si="37"/>
        <v>25</v>
      </c>
      <c r="F108" s="29">
        <f t="shared" si="49"/>
        <v>2.76</v>
      </c>
      <c r="G108" s="27">
        <f t="shared" si="38"/>
        <v>2.76</v>
      </c>
      <c r="H108" s="29">
        <f t="shared" si="50"/>
        <v>1.7599999999999998</v>
      </c>
      <c r="I108" s="30">
        <f t="shared" si="54"/>
        <v>5.9003496503497004E-4</v>
      </c>
      <c r="J108" s="37">
        <f t="shared" si="44"/>
        <v>5.7823426573426658E-2</v>
      </c>
      <c r="K108" s="91">
        <f t="shared" si="40"/>
        <v>57.823426573426659</v>
      </c>
      <c r="L108" s="68">
        <f t="shared" si="41"/>
        <v>0.6376811594202898</v>
      </c>
      <c r="M108" s="28">
        <f t="shared" si="51"/>
        <v>5.75</v>
      </c>
      <c r="N108" s="28">
        <f t="shared" si="42"/>
        <v>5.0733929532006845E-3</v>
      </c>
      <c r="O108" s="28">
        <f t="shared" si="43"/>
        <v>8.5984615384615317</v>
      </c>
      <c r="P108" s="28">
        <f t="shared" si="52"/>
        <v>11.83846153846153</v>
      </c>
      <c r="Q108" s="28">
        <f t="shared" si="53"/>
        <v>6.8538461538461499</v>
      </c>
    </row>
    <row r="109" spans="1:17" x14ac:dyDescent="0.2">
      <c r="A109" s="28">
        <f t="shared" si="45"/>
        <v>54</v>
      </c>
      <c r="B109" s="31">
        <f t="shared" si="46"/>
        <v>51.403846153846153</v>
      </c>
      <c r="C109" s="29">
        <f t="shared" si="47"/>
        <v>1</v>
      </c>
      <c r="D109" s="27">
        <f t="shared" si="48"/>
        <v>250</v>
      </c>
      <c r="E109" s="27">
        <f t="shared" si="37"/>
        <v>25</v>
      </c>
      <c r="F109" s="29">
        <f t="shared" si="49"/>
        <v>2.76</v>
      </c>
      <c r="G109" s="27">
        <f t="shared" si="38"/>
        <v>2.76</v>
      </c>
      <c r="H109" s="29">
        <f t="shared" si="50"/>
        <v>1.7599999999999998</v>
      </c>
      <c r="I109" s="30">
        <f t="shared" si="54"/>
        <v>5.9003496503496201E-4</v>
      </c>
      <c r="J109" s="37">
        <f t="shared" si="44"/>
        <v>5.8413461538461622E-2</v>
      </c>
      <c r="K109" s="91">
        <f t="shared" si="40"/>
        <v>58.413461538461625</v>
      </c>
      <c r="L109" s="68">
        <f t="shared" si="41"/>
        <v>0.6376811594202898</v>
      </c>
      <c r="M109" s="28">
        <f t="shared" si="51"/>
        <v>5.75</v>
      </c>
      <c r="N109" s="28">
        <f t="shared" si="42"/>
        <v>4.2278274610005172E-3</v>
      </c>
      <c r="O109" s="28">
        <f t="shared" si="43"/>
        <v>7.1653846153846166</v>
      </c>
      <c r="P109" s="28">
        <f t="shared" si="52"/>
        <v>9.8653846153846168</v>
      </c>
      <c r="Q109" s="28">
        <f t="shared" si="53"/>
        <v>5.7115384615384635</v>
      </c>
    </row>
    <row r="110" spans="1:17" x14ac:dyDescent="0.2">
      <c r="A110" s="28">
        <f t="shared" si="45"/>
        <v>54</v>
      </c>
      <c r="B110" s="31">
        <f t="shared" si="46"/>
        <v>51.923076923076927</v>
      </c>
      <c r="C110" s="29">
        <f t="shared" si="47"/>
        <v>1</v>
      </c>
      <c r="D110" s="27">
        <f t="shared" si="48"/>
        <v>250</v>
      </c>
      <c r="E110" s="27">
        <f t="shared" si="37"/>
        <v>25</v>
      </c>
      <c r="F110" s="29">
        <f t="shared" si="49"/>
        <v>2.76</v>
      </c>
      <c r="G110" s="27">
        <f t="shared" si="38"/>
        <v>2.76</v>
      </c>
      <c r="H110" s="29">
        <f t="shared" si="50"/>
        <v>1.7599999999999998</v>
      </c>
      <c r="I110" s="30">
        <f t="shared" si="54"/>
        <v>5.9003496503497004E-4</v>
      </c>
      <c r="J110" s="37">
        <f t="shared" si="44"/>
        <v>5.9003496503496594E-2</v>
      </c>
      <c r="K110" s="91">
        <f t="shared" si="40"/>
        <v>59.003496503496592</v>
      </c>
      <c r="L110" s="68">
        <f t="shared" si="41"/>
        <v>0.6376811594202898</v>
      </c>
      <c r="M110" s="28">
        <f t="shared" si="51"/>
        <v>5.75</v>
      </c>
      <c r="N110" s="28">
        <f t="shared" si="42"/>
        <v>3.3822619688004523E-3</v>
      </c>
      <c r="O110" s="28">
        <f t="shared" si="43"/>
        <v>5.732307692307681</v>
      </c>
      <c r="P110" s="28">
        <f t="shared" si="52"/>
        <v>7.8923076923076776</v>
      </c>
      <c r="Q110" s="28">
        <f t="shared" si="53"/>
        <v>4.569230769230761</v>
      </c>
    </row>
    <row r="111" spans="1:17" x14ac:dyDescent="0.2">
      <c r="A111" s="28">
        <f t="shared" si="45"/>
        <v>54</v>
      </c>
      <c r="B111" s="31">
        <f t="shared" si="46"/>
        <v>52.442307692307693</v>
      </c>
      <c r="C111" s="29">
        <f>IF(B111&gt;=$H$2,IF($D$2="CC", $G$2, B111/$G$2), 0)</f>
        <v>1</v>
      </c>
      <c r="D111" s="27">
        <f>$B$2-B111*$J$2/($I$2*0.001)</f>
        <v>250</v>
      </c>
      <c r="E111" s="27">
        <f>$C$2</f>
        <v>25</v>
      </c>
      <c r="F111" s="29">
        <f>I_Cout_ss+C111</f>
        <v>2.76</v>
      </c>
      <c r="G111" s="27">
        <f>IF($F$2="YES", F111, E111)</f>
        <v>2.76</v>
      </c>
      <c r="H111" s="29">
        <f>G111-C111</f>
        <v>1.7599999999999998</v>
      </c>
      <c r="I111" s="30">
        <f>(COUTMAX/1000000)*(B111-B110)/H111</f>
        <v>5.9003496503496201E-4</v>
      </c>
      <c r="J111" s="37">
        <f>J110+I111</f>
        <v>5.9593531468531559E-2</v>
      </c>
      <c r="K111" s="91">
        <f t="shared" si="40"/>
        <v>59.593531468531559</v>
      </c>
      <c r="L111" s="68">
        <f>H111/G111</f>
        <v>0.6376811594202898</v>
      </c>
      <c r="M111" s="28">
        <f t="shared" si="51"/>
        <v>5.75</v>
      </c>
      <c r="N111" s="28">
        <f>I111*G111*(A111-B111)</f>
        <v>2.536696476600308E-3</v>
      </c>
      <c r="O111" s="28">
        <f t="shared" si="43"/>
        <v>4.2992307692307659</v>
      </c>
      <c r="P111" s="28">
        <f t="shared" si="52"/>
        <v>5.9192307692307651</v>
      </c>
      <c r="Q111" s="28">
        <f t="shared" si="53"/>
        <v>3.426923076923075</v>
      </c>
    </row>
    <row r="112" spans="1:17" x14ac:dyDescent="0.2">
      <c r="A112" s="28">
        <f t="shared" si="45"/>
        <v>54</v>
      </c>
      <c r="B112" s="31">
        <f t="shared" si="46"/>
        <v>52.96153846153846</v>
      </c>
      <c r="C112" s="29">
        <f>IF(B112&gt;=$H$2,IF($D$2="CC", $G$2, B112/$G$2), 0)</f>
        <v>1</v>
      </c>
      <c r="D112" s="27">
        <f t="shared" ref="D112:D113" si="55">$B$2-B112*$J$2/($I$2*0.001)</f>
        <v>250</v>
      </c>
      <c r="E112" s="27">
        <f>$C$2</f>
        <v>25</v>
      </c>
      <c r="F112" s="29">
        <f t="shared" ref="F112:F113" si="56">I_Cout_ss+C112</f>
        <v>2.76</v>
      </c>
      <c r="G112" s="27">
        <f t="shared" ref="G112:G113" si="57">IF($F$2="YES", F112, E112)</f>
        <v>2.76</v>
      </c>
      <c r="H112" s="29">
        <f t="shared" ref="H112:H113" si="58">G112-C112</f>
        <v>1.7599999999999998</v>
      </c>
      <c r="I112" s="30">
        <f t="shared" ref="I112:I113" si="59">(COUTMAX/1000000)*(B112-B111)/H112</f>
        <v>5.9003496503496201E-4</v>
      </c>
      <c r="J112" s="37">
        <f t="shared" ref="J112:J113" si="60">J111+I112</f>
        <v>6.0183566433566524E-2</v>
      </c>
      <c r="K112" s="91">
        <f t="shared" si="40"/>
        <v>60.183566433566526</v>
      </c>
      <c r="L112" s="68">
        <f t="shared" ref="L112:L113" si="61">H112/G112</f>
        <v>0.6376811594202898</v>
      </c>
      <c r="M112" s="28">
        <f t="shared" si="51"/>
        <v>5.75</v>
      </c>
      <c r="N112" s="28">
        <f t="shared" ref="N112:N113" si="62">I112*G112*(A112-B112)</f>
        <v>1.691130984400209E-3</v>
      </c>
      <c r="O112" s="28">
        <f t="shared" si="43"/>
        <v>2.8661538461538503</v>
      </c>
      <c r="P112" s="28">
        <f t="shared" si="52"/>
        <v>3.9461538461538521</v>
      </c>
      <c r="Q112" s="28">
        <f t="shared" si="53"/>
        <v>2.2846153846153885</v>
      </c>
    </row>
    <row r="113" spans="1:17" x14ac:dyDescent="0.2">
      <c r="A113" s="28">
        <f t="shared" si="45"/>
        <v>54</v>
      </c>
      <c r="B113" s="31">
        <f t="shared" si="46"/>
        <v>53.480769230769234</v>
      </c>
      <c r="C113" s="29">
        <f>IF(B113&gt;=$H$2,IF($D$2="CC", $G$2, B113/$G$2), 0)</f>
        <v>1</v>
      </c>
      <c r="D113" s="27">
        <f t="shared" si="55"/>
        <v>250</v>
      </c>
      <c r="E113" s="27">
        <f>$C$2</f>
        <v>25</v>
      </c>
      <c r="F113" s="29">
        <f t="shared" si="56"/>
        <v>2.76</v>
      </c>
      <c r="G113" s="27">
        <f t="shared" si="57"/>
        <v>2.76</v>
      </c>
      <c r="H113" s="29">
        <f t="shared" si="58"/>
        <v>1.7599999999999998</v>
      </c>
      <c r="I113" s="30">
        <f t="shared" si="59"/>
        <v>5.9003496503497004E-4</v>
      </c>
      <c r="J113" s="37">
        <f t="shared" si="60"/>
        <v>6.0773601398601496E-2</v>
      </c>
      <c r="K113" s="91">
        <f t="shared" si="40"/>
        <v>60.773601398601492</v>
      </c>
      <c r="L113" s="68">
        <f t="shared" si="61"/>
        <v>0.6376811594202898</v>
      </c>
      <c r="M113" s="28">
        <f t="shared" si="51"/>
        <v>5.75</v>
      </c>
      <c r="N113" s="28">
        <f t="shared" si="62"/>
        <v>8.4556549220011026E-4</v>
      </c>
      <c r="O113" s="28">
        <f t="shared" si="43"/>
        <v>1.4330769230769154</v>
      </c>
      <c r="P113" s="28">
        <f t="shared" si="52"/>
        <v>1.9730769230769125</v>
      </c>
      <c r="Q113" s="28">
        <f t="shared" si="53"/>
        <v>1.1423076923076865</v>
      </c>
    </row>
    <row r="114" spans="1:17" x14ac:dyDescent="0.2">
      <c r="A114" s="28">
        <f t="shared" si="45"/>
        <v>54</v>
      </c>
      <c r="B114" s="31">
        <f t="shared" si="46"/>
        <v>54</v>
      </c>
      <c r="C114" s="29">
        <f>IF(B114&gt;=$H$2,IF($D$2="CC", $G$2, B114/$G$2), 0)</f>
        <v>1</v>
      </c>
      <c r="D114" s="27">
        <f>$B$2-B114*$J$2/($I$2*0.001)</f>
        <v>250</v>
      </c>
      <c r="E114" s="27">
        <f>$C$2</f>
        <v>25</v>
      </c>
      <c r="F114" s="29">
        <f t="shared" ref="F114" si="63">I_Cout_ss+C114</f>
        <v>2.76</v>
      </c>
      <c r="G114" s="27">
        <f t="shared" ref="G114" si="64">IF($F$2="YES", F114, E114)</f>
        <v>2.76</v>
      </c>
      <c r="H114" s="29">
        <f t="shared" ref="H114" si="65">G114-C114</f>
        <v>1.7599999999999998</v>
      </c>
      <c r="I114" s="30">
        <f t="shared" ref="I114" si="66">(COUTMAX/1000000)*(B114-B113)/H114</f>
        <v>5.9003496503496201E-4</v>
      </c>
      <c r="J114" s="37">
        <f t="shared" ref="J114" si="67">J113+I114</f>
        <v>6.136363636363646E-2</v>
      </c>
      <c r="K114" s="91">
        <f t="shared" si="40"/>
        <v>61.363636363636459</v>
      </c>
      <c r="L114" s="68">
        <f t="shared" ref="L114" si="68">H114/G114</f>
        <v>0.6376811594202898</v>
      </c>
      <c r="M114" s="28">
        <f t="shared" si="51"/>
        <v>5.75</v>
      </c>
      <c r="N114" s="28">
        <f t="shared" ref="N114" si="69">I114*G114*(A114-B114)</f>
        <v>0</v>
      </c>
      <c r="O114" s="28">
        <f t="shared" si="43"/>
        <v>0</v>
      </c>
      <c r="P114" s="28">
        <f t="shared" si="52"/>
        <v>0</v>
      </c>
      <c r="Q114" s="28">
        <f t="shared" si="53"/>
        <v>0</v>
      </c>
    </row>
    <row r="115" spans="1:17" x14ac:dyDescent="0.2">
      <c r="K115" s="92">
        <f>K114+0.5</f>
        <v>61.863636363636459</v>
      </c>
      <c r="N115" s="28">
        <v>0</v>
      </c>
      <c r="O115" s="28">
        <v>0</v>
      </c>
    </row>
  </sheetData>
  <mergeCells count="1">
    <mergeCell ref="X12:Y12"/>
  </mergeCell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V70"/>
  <sheetViews>
    <sheetView topLeftCell="A14" zoomScale="85" zoomScaleNormal="85" workbookViewId="0">
      <selection activeCell="F39" sqref="F39"/>
    </sheetView>
  </sheetViews>
  <sheetFormatPr defaultRowHeight="12.75" x14ac:dyDescent="0.2"/>
  <cols>
    <col min="1" max="2" width="19.7109375" customWidth="1"/>
    <col min="3" max="3" width="13.140625" customWidth="1"/>
    <col min="4" max="4" width="16" customWidth="1"/>
    <col min="5" max="6" width="17.7109375" customWidth="1"/>
    <col min="7" max="7" width="31.5703125" customWidth="1"/>
    <col min="8" max="8" width="20" customWidth="1"/>
    <col min="13" max="13" width="12.85546875" customWidth="1"/>
    <col min="15" max="15" width="17.28515625" customWidth="1"/>
    <col min="17" max="17" width="13.28515625" customWidth="1"/>
    <col min="18" max="18" width="16.85546875" customWidth="1"/>
    <col min="20" max="20" width="13" customWidth="1"/>
    <col min="21" max="21" width="10.140625" customWidth="1"/>
  </cols>
  <sheetData>
    <row r="1" spans="1:22" x14ac:dyDescent="0.2">
      <c r="A1" s="127"/>
      <c r="B1" s="127"/>
      <c r="C1" s="129"/>
      <c r="D1" s="129"/>
      <c r="E1" s="129"/>
      <c r="F1" s="129"/>
      <c r="G1" s="129"/>
      <c r="H1" s="127"/>
      <c r="I1" s="127"/>
      <c r="J1" s="127"/>
      <c r="K1" s="127"/>
      <c r="L1" s="127"/>
      <c r="M1" s="127"/>
      <c r="N1" s="127"/>
      <c r="O1" s="127"/>
      <c r="P1" s="127"/>
      <c r="Q1" s="127"/>
      <c r="R1" s="127"/>
      <c r="S1" s="127"/>
      <c r="T1" s="127"/>
      <c r="U1" s="127"/>
      <c r="V1" s="127"/>
    </row>
    <row r="2" spans="1:22" x14ac:dyDescent="0.2">
      <c r="A2" s="134"/>
      <c r="B2" s="149"/>
      <c r="C2" s="299" t="s">
        <v>121</v>
      </c>
      <c r="D2" s="300"/>
      <c r="E2" s="300"/>
      <c r="F2" s="137"/>
      <c r="G2" s="137"/>
      <c r="H2" s="131" t="s">
        <v>142</v>
      </c>
      <c r="I2" s="129"/>
      <c r="J2" s="129"/>
      <c r="K2" s="129"/>
      <c r="L2" s="129"/>
      <c r="M2" s="129"/>
      <c r="N2" s="129"/>
      <c r="O2" s="135"/>
      <c r="P2" s="135"/>
      <c r="Q2" s="135"/>
      <c r="R2" s="135"/>
      <c r="S2" s="135"/>
      <c r="T2" s="135"/>
      <c r="U2" s="129"/>
      <c r="V2" s="129"/>
    </row>
    <row r="3" spans="1:22" x14ac:dyDescent="0.2">
      <c r="A3" s="134"/>
      <c r="B3" s="136" t="s">
        <v>168</v>
      </c>
      <c r="C3" s="136" t="s">
        <v>122</v>
      </c>
      <c r="D3" s="136" t="s">
        <v>123</v>
      </c>
      <c r="E3" s="136" t="s">
        <v>124</v>
      </c>
      <c r="F3" s="150" t="s">
        <v>266</v>
      </c>
      <c r="G3" s="140"/>
      <c r="H3" s="131" t="s">
        <v>140</v>
      </c>
      <c r="I3" s="137"/>
      <c r="J3" s="137"/>
      <c r="K3" s="137"/>
      <c r="L3" s="137"/>
      <c r="M3" s="137"/>
      <c r="N3" s="129"/>
      <c r="O3" s="137"/>
      <c r="P3" s="137"/>
      <c r="Q3" s="138"/>
      <c r="R3" s="138"/>
      <c r="S3" s="138"/>
      <c r="T3" s="138"/>
      <c r="U3" s="129"/>
      <c r="V3" s="129"/>
    </row>
    <row r="4" spans="1:22" ht="21.6" customHeight="1" x14ac:dyDescent="0.2">
      <c r="A4" s="136" t="s">
        <v>125</v>
      </c>
      <c r="B4" s="134">
        <f>'Design Calculator'!AN37</f>
        <v>100</v>
      </c>
      <c r="C4" s="139">
        <f>'Design Calculator'!$AN$38</f>
        <v>10</v>
      </c>
      <c r="D4" s="139">
        <f>'Design Calculator'!$AN$39</f>
        <v>2</v>
      </c>
      <c r="E4" s="139">
        <f>IF('Design Calculator'!$AN$40 = "NA", F4, 'Design Calculator'!$AN$40)</f>
        <v>0.9</v>
      </c>
      <c r="F4" s="139">
        <f>'Design Calculator'!AN41</f>
        <v>0.8</v>
      </c>
      <c r="G4" s="143"/>
      <c r="H4" s="131" t="s">
        <v>141</v>
      </c>
      <c r="I4" s="137"/>
      <c r="J4" s="137"/>
      <c r="K4" s="137"/>
      <c r="L4" s="138"/>
      <c r="M4" s="138"/>
      <c r="N4" s="129"/>
      <c r="O4" s="137"/>
      <c r="P4" s="137"/>
      <c r="Q4" s="138"/>
      <c r="R4" s="138"/>
      <c r="S4" s="138"/>
      <c r="T4" s="138"/>
      <c r="U4" s="129"/>
      <c r="V4" s="129"/>
    </row>
    <row r="5" spans="1:22" x14ac:dyDescent="0.2">
      <c r="A5" s="129"/>
      <c r="B5" s="127"/>
      <c r="C5" s="137"/>
      <c r="D5" s="138"/>
      <c r="E5" s="138"/>
      <c r="F5" s="138"/>
      <c r="G5" s="138"/>
      <c r="H5" s="129"/>
      <c r="I5" s="137"/>
      <c r="J5" s="137"/>
      <c r="K5" s="137"/>
      <c r="L5" s="138"/>
      <c r="M5" s="138"/>
      <c r="N5" s="301"/>
      <c r="O5" s="301"/>
      <c r="P5" s="301"/>
      <c r="Q5" s="138"/>
      <c r="R5" s="302"/>
      <c r="S5" s="303"/>
      <c r="T5" s="303"/>
      <c r="U5" s="129"/>
      <c r="V5" s="129"/>
    </row>
    <row r="6" spans="1:22" x14ac:dyDescent="0.2">
      <c r="A6" s="129"/>
      <c r="B6" s="127"/>
      <c r="C6" s="137"/>
      <c r="D6" s="138"/>
      <c r="E6" s="138"/>
      <c r="F6" s="138"/>
      <c r="G6" s="138"/>
      <c r="H6" s="129"/>
      <c r="I6" s="137"/>
      <c r="J6" s="137"/>
      <c r="K6" s="137"/>
      <c r="L6" s="138"/>
      <c r="M6" s="138"/>
      <c r="N6" s="129"/>
      <c r="O6" s="140"/>
      <c r="P6" s="129"/>
      <c r="Q6" s="129"/>
      <c r="R6" s="129"/>
      <c r="S6" s="129"/>
      <c r="T6" s="129"/>
      <c r="U6" s="129"/>
      <c r="V6" s="129"/>
    </row>
    <row r="7" spans="1:22" ht="15" x14ac:dyDescent="0.25">
      <c r="A7" s="129"/>
      <c r="B7" s="141" t="s">
        <v>261</v>
      </c>
      <c r="C7" s="127"/>
      <c r="D7" s="127"/>
      <c r="E7" s="127"/>
      <c r="F7" s="127"/>
      <c r="G7" s="148" t="s">
        <v>248</v>
      </c>
      <c r="H7" s="129"/>
      <c r="I7" s="127"/>
      <c r="J7" s="147"/>
      <c r="K7" s="138"/>
      <c r="L7" s="129"/>
      <c r="M7" s="129"/>
      <c r="N7" s="140"/>
      <c r="O7" s="140"/>
      <c r="P7" s="140"/>
      <c r="Q7" s="129"/>
      <c r="R7" s="129"/>
      <c r="S7" s="129"/>
      <c r="T7" s="142"/>
      <c r="U7" s="137"/>
      <c r="V7" s="129"/>
    </row>
    <row r="8" spans="1:22" ht="15" x14ac:dyDescent="0.25">
      <c r="A8" s="129"/>
      <c r="B8" s="131" t="s">
        <v>126</v>
      </c>
      <c r="C8" s="127">
        <f>IF('Design Calculator'!F53="No", 'Design Calculator'!$F$59,'Design Calculator'!F72)</f>
        <v>0.48</v>
      </c>
      <c r="D8" s="131" t="s">
        <v>5</v>
      </c>
      <c r="E8" s="127"/>
      <c r="F8" s="127"/>
      <c r="G8" s="131" t="s">
        <v>126</v>
      </c>
      <c r="H8" s="127">
        <f>Equations!F70</f>
        <v>33.848339160839167</v>
      </c>
      <c r="I8" s="127"/>
      <c r="J8" s="146"/>
      <c r="K8" s="138"/>
      <c r="L8" s="129"/>
      <c r="M8" s="129"/>
      <c r="N8" s="140"/>
      <c r="O8" s="129"/>
      <c r="P8" s="142"/>
      <c r="Q8" s="129"/>
      <c r="R8" s="129"/>
      <c r="S8" s="129"/>
      <c r="T8" s="142"/>
      <c r="U8" s="137"/>
      <c r="V8" s="129"/>
    </row>
    <row r="9" spans="1:22" ht="15" x14ac:dyDescent="0.25">
      <c r="A9" s="129"/>
      <c r="B9" s="131" t="s">
        <v>127</v>
      </c>
      <c r="C9" s="127">
        <f>VINMAX</f>
        <v>54</v>
      </c>
      <c r="D9" s="127" t="s">
        <v>50</v>
      </c>
      <c r="E9" s="127"/>
      <c r="F9" s="127"/>
      <c r="G9" s="131" t="s">
        <v>127</v>
      </c>
      <c r="H9" s="127">
        <f>VINMAX</f>
        <v>54</v>
      </c>
      <c r="I9" s="127"/>
      <c r="J9" s="127"/>
      <c r="K9" s="138"/>
      <c r="L9" s="129"/>
      <c r="M9" s="129"/>
      <c r="N9" s="140"/>
      <c r="O9" s="129"/>
      <c r="P9" s="142"/>
      <c r="Q9" s="129"/>
      <c r="R9" s="129"/>
      <c r="S9" s="129"/>
      <c r="T9" s="142"/>
      <c r="U9" s="129"/>
      <c r="V9" s="129"/>
    </row>
    <row r="10" spans="1:22" ht="15" x14ac:dyDescent="0.25">
      <c r="A10" s="129"/>
      <c r="B10" s="131" t="s">
        <v>128</v>
      </c>
      <c r="C10" s="127">
        <f>IF(C8&lt;10, IF(C8&lt;1, 0.1, 1), IF(C8&lt;100, 10, 100))</f>
        <v>0.1</v>
      </c>
      <c r="D10" s="131" t="s">
        <v>5</v>
      </c>
      <c r="E10" s="127"/>
      <c r="F10" s="127"/>
      <c r="G10" s="131" t="s">
        <v>128</v>
      </c>
      <c r="H10" s="127">
        <f>IF(H8&lt;10, IF(H8&lt;1, 0.1, 1), IF(H8&lt;100, 10, 100))</f>
        <v>10</v>
      </c>
      <c r="I10" s="127"/>
      <c r="J10" s="127"/>
      <c r="K10" s="138"/>
      <c r="L10" s="129"/>
      <c r="M10" s="129"/>
      <c r="N10" s="140"/>
      <c r="O10" s="129"/>
      <c r="P10" s="142"/>
      <c r="Q10" s="129"/>
      <c r="R10" s="129"/>
      <c r="S10" s="129"/>
      <c r="T10" s="142"/>
      <c r="U10" s="129"/>
      <c r="V10" s="129"/>
    </row>
    <row r="11" spans="1:22" ht="15" x14ac:dyDescent="0.25">
      <c r="A11" s="129"/>
      <c r="B11" s="131" t="s">
        <v>343</v>
      </c>
      <c r="C11" s="127">
        <f>IF('Design Calculator'!F40="NA", MIN(SOA!C10,1),SOA!C10)</f>
        <v>0.1</v>
      </c>
      <c r="D11" s="131"/>
      <c r="E11" s="127"/>
      <c r="F11" s="127"/>
      <c r="G11" s="131" t="s">
        <v>343</v>
      </c>
      <c r="H11" s="127">
        <f>IF('Design Calculator'!F40="NA", MIN(SOA!H10,1),SOA!H10)</f>
        <v>10</v>
      </c>
      <c r="I11" s="127"/>
      <c r="J11" s="127"/>
      <c r="K11" s="138"/>
      <c r="L11" s="129"/>
      <c r="M11" s="129"/>
      <c r="N11" s="129"/>
      <c r="O11" s="129"/>
      <c r="P11" s="142"/>
      <c r="Q11" s="129"/>
      <c r="R11" s="129"/>
      <c r="S11" s="129"/>
      <c r="T11" s="129"/>
      <c r="U11" s="129"/>
      <c r="V11" s="129"/>
    </row>
    <row r="12" spans="1:22" x14ac:dyDescent="0.2">
      <c r="A12" s="129"/>
      <c r="B12" s="131" t="s">
        <v>129</v>
      </c>
      <c r="C12" s="127">
        <f>C10*10</f>
        <v>1</v>
      </c>
      <c r="D12" s="131" t="s">
        <v>5</v>
      </c>
      <c r="E12" s="127"/>
      <c r="F12" s="127"/>
      <c r="G12" s="131" t="s">
        <v>344</v>
      </c>
      <c r="H12" s="127">
        <f>H10*10</f>
        <v>100</v>
      </c>
      <c r="I12" s="127"/>
      <c r="J12" s="127"/>
      <c r="K12" s="138"/>
      <c r="L12" s="129"/>
      <c r="M12" s="129"/>
      <c r="N12" s="129"/>
      <c r="O12" s="129"/>
      <c r="P12" s="129"/>
      <c r="Q12" s="129"/>
      <c r="R12" s="129"/>
      <c r="S12" s="129"/>
      <c r="T12" s="129"/>
      <c r="U12" s="129"/>
      <c r="V12" s="129"/>
    </row>
    <row r="13" spans="1:22" x14ac:dyDescent="0.2">
      <c r="A13" s="129"/>
      <c r="B13" s="131" t="s">
        <v>345</v>
      </c>
      <c r="C13" s="127">
        <f>IF('Design Calculator'!F41="NA", MIN(SOA!C12,10),SOA!C12)</f>
        <v>1</v>
      </c>
      <c r="D13" s="131"/>
      <c r="E13" s="127"/>
      <c r="F13" s="127"/>
      <c r="G13" s="131" t="s">
        <v>345</v>
      </c>
      <c r="H13" s="127">
        <f>IF('Design Calculator'!F41="NA", MIN(SOA!H12,10),SOA!H12)</f>
        <v>100</v>
      </c>
      <c r="I13" s="127"/>
      <c r="J13" s="127"/>
      <c r="K13" s="138"/>
      <c r="L13" s="129"/>
      <c r="M13" s="129"/>
      <c r="N13" s="129"/>
      <c r="O13" s="129"/>
      <c r="P13" s="129"/>
      <c r="Q13" s="129"/>
      <c r="R13" s="129"/>
      <c r="S13" s="129"/>
      <c r="T13" s="129"/>
      <c r="U13" s="129"/>
      <c r="V13" s="129"/>
    </row>
    <row r="14" spans="1:22" x14ac:dyDescent="0.2">
      <c r="A14" s="129"/>
      <c r="B14" s="131" t="s">
        <v>130</v>
      </c>
      <c r="C14" s="127">
        <f>IF(C11=0.1, B4, IF(C11=1, C4, IF(C11=10, D4, E4)))</f>
        <v>100</v>
      </c>
      <c r="D14" s="131" t="s">
        <v>17</v>
      </c>
      <c r="E14" s="127"/>
      <c r="F14" s="127"/>
      <c r="G14" s="131" t="s">
        <v>130</v>
      </c>
      <c r="H14" s="127">
        <f>IF(H11=0.1, B4, IF(H11=1, C4, IF(H11=10, D4, E4)))</f>
        <v>2</v>
      </c>
      <c r="I14" s="127"/>
      <c r="J14" s="127"/>
      <c r="K14" s="138"/>
      <c r="L14" s="129"/>
      <c r="M14" s="129"/>
      <c r="N14" s="129"/>
      <c r="O14" s="129"/>
      <c r="P14" s="129"/>
      <c r="Q14" s="129"/>
      <c r="R14" s="129"/>
      <c r="S14" s="129"/>
      <c r="T14" s="129"/>
      <c r="U14" s="129"/>
      <c r="V14" s="129"/>
    </row>
    <row r="15" spans="1:22" x14ac:dyDescent="0.2">
      <c r="A15" s="129"/>
      <c r="B15" s="131" t="s">
        <v>131</v>
      </c>
      <c r="C15" s="127">
        <f>IF(C13=1000, F4, IF(C13=1, C4, IF(C13=10, D4, E4)))</f>
        <v>10</v>
      </c>
      <c r="D15" s="131" t="s">
        <v>17</v>
      </c>
      <c r="E15" s="127"/>
      <c r="F15" s="127"/>
      <c r="G15" s="131" t="s">
        <v>131</v>
      </c>
      <c r="H15" s="127">
        <f>IF(H13=1000, F4, IF(H13=1, C4, IF(H13=10, D4, E4)))</f>
        <v>0.9</v>
      </c>
      <c r="I15" s="127"/>
      <c r="J15" s="127"/>
      <c r="K15" s="138"/>
      <c r="L15" s="129"/>
      <c r="M15" s="129"/>
      <c r="N15" s="129"/>
      <c r="O15" s="129"/>
      <c r="P15" s="129"/>
      <c r="Q15" s="129"/>
      <c r="R15" s="129"/>
      <c r="S15" s="129"/>
      <c r="T15" s="129"/>
      <c r="U15" s="129"/>
      <c r="V15" s="129"/>
    </row>
    <row r="16" spans="1:22" x14ac:dyDescent="0.2">
      <c r="A16" s="129"/>
      <c r="B16" s="127"/>
      <c r="C16" s="127"/>
      <c r="D16" s="127"/>
      <c r="E16" s="127"/>
      <c r="F16" s="127"/>
      <c r="G16" s="127"/>
      <c r="H16" s="127"/>
      <c r="I16" s="127"/>
      <c r="J16" s="127"/>
      <c r="K16" s="138"/>
      <c r="L16" s="129"/>
      <c r="M16" s="129"/>
      <c r="N16" s="129"/>
      <c r="O16" s="129"/>
      <c r="P16" s="129"/>
      <c r="Q16" s="129"/>
      <c r="R16" s="129"/>
      <c r="S16" s="129"/>
      <c r="T16" s="129"/>
      <c r="U16" s="129"/>
      <c r="V16" s="129"/>
    </row>
    <row r="17" spans="1:22" x14ac:dyDescent="0.2">
      <c r="A17" s="129"/>
      <c r="B17" s="131" t="s">
        <v>135</v>
      </c>
      <c r="C17" s="127"/>
      <c r="D17" s="127"/>
      <c r="E17" s="127"/>
      <c r="F17" s="127"/>
      <c r="G17" s="131" t="s">
        <v>135</v>
      </c>
      <c r="H17" s="127"/>
      <c r="I17" s="127"/>
      <c r="J17" s="127"/>
      <c r="K17" s="138"/>
      <c r="L17" s="129"/>
      <c r="M17" s="129"/>
      <c r="N17" s="129"/>
      <c r="O17" s="129"/>
      <c r="P17" s="129"/>
      <c r="Q17" s="129"/>
      <c r="R17" s="129"/>
      <c r="S17" s="129"/>
      <c r="T17" s="129"/>
      <c r="U17" s="129"/>
      <c r="V17" s="129"/>
    </row>
    <row r="18" spans="1:22" x14ac:dyDescent="0.2">
      <c r="A18" s="129"/>
      <c r="B18" s="131" t="s">
        <v>132</v>
      </c>
      <c r="C18" s="127">
        <f>C14/C11^C19</f>
        <v>10</v>
      </c>
      <c r="D18" s="127"/>
      <c r="E18" s="127"/>
      <c r="F18" s="131"/>
      <c r="G18" s="131" t="s">
        <v>132</v>
      </c>
      <c r="H18" s="127">
        <f>H14/H11^H19</f>
        <v>4.4444444444444446</v>
      </c>
      <c r="I18" s="127"/>
      <c r="J18" s="127"/>
      <c r="K18" s="127"/>
      <c r="L18" s="127"/>
      <c r="M18" s="127"/>
      <c r="N18" s="127"/>
      <c r="O18" s="152"/>
      <c r="P18" s="152"/>
      <c r="Q18" s="129"/>
      <c r="R18" s="129"/>
      <c r="S18" s="129"/>
      <c r="T18" s="129"/>
      <c r="U18" s="129"/>
      <c r="V18" s="129"/>
    </row>
    <row r="19" spans="1:22" x14ac:dyDescent="0.2">
      <c r="A19" s="129"/>
      <c r="B19" s="131" t="s">
        <v>133</v>
      </c>
      <c r="C19" s="127">
        <f>LOG(C14/C15)/LOG(C11/C13)</f>
        <v>-1</v>
      </c>
      <c r="D19" s="127"/>
      <c r="E19" s="127"/>
      <c r="F19" s="131"/>
      <c r="G19" s="131" t="s">
        <v>133</v>
      </c>
      <c r="H19" s="127">
        <f>IF(H14=H15,0.000000000001,LOG(H14/H15)/LOG(H11/H13))</f>
        <v>-0.34678748622465633</v>
      </c>
      <c r="I19" s="131" t="s">
        <v>351</v>
      </c>
      <c r="J19" s="127"/>
      <c r="K19" s="138"/>
      <c r="L19" s="129"/>
      <c r="M19" s="152"/>
      <c r="N19" s="152"/>
      <c r="O19" s="129"/>
      <c r="P19" s="129"/>
      <c r="Q19" s="129"/>
      <c r="R19" s="129"/>
      <c r="S19" s="129"/>
      <c r="T19" s="129"/>
      <c r="U19" s="129"/>
      <c r="V19" s="129"/>
    </row>
    <row r="20" spans="1:22" x14ac:dyDescent="0.2">
      <c r="A20" s="129"/>
      <c r="B20" s="131" t="s">
        <v>134</v>
      </c>
      <c r="C20" s="127">
        <f>C18*C8^C19</f>
        <v>20.833333333333336</v>
      </c>
      <c r="D20" s="131" t="s">
        <v>17</v>
      </c>
      <c r="E20" s="127"/>
      <c r="F20" s="127"/>
      <c r="G20" s="131" t="s">
        <v>134</v>
      </c>
      <c r="H20" s="127">
        <f>H18*H8^H19</f>
        <v>1.3103673529292226</v>
      </c>
      <c r="I20" s="127"/>
      <c r="J20" s="127"/>
      <c r="K20" s="138"/>
      <c r="L20" s="129"/>
      <c r="M20" s="140"/>
      <c r="N20" s="129"/>
      <c r="O20" s="129"/>
      <c r="P20" s="129"/>
      <c r="Q20" s="129"/>
      <c r="R20" s="129"/>
      <c r="S20" s="129"/>
      <c r="T20" s="129"/>
      <c r="U20" s="129"/>
      <c r="V20" s="129"/>
    </row>
    <row r="21" spans="1:22" x14ac:dyDescent="0.2">
      <c r="A21" s="129"/>
      <c r="B21" s="127"/>
      <c r="C21" s="127"/>
      <c r="D21" s="127"/>
      <c r="E21" s="127"/>
      <c r="F21" s="127"/>
      <c r="G21" s="127"/>
      <c r="H21" s="127"/>
      <c r="I21" s="127"/>
      <c r="J21" s="127"/>
      <c r="K21" s="138"/>
      <c r="L21" s="129"/>
      <c r="M21" s="129"/>
      <c r="N21" s="137"/>
      <c r="O21" s="129"/>
      <c r="P21" s="129"/>
      <c r="Q21" s="129"/>
      <c r="R21" s="129"/>
      <c r="S21" s="129"/>
      <c r="T21" s="129"/>
      <c r="U21" s="129"/>
      <c r="V21" s="129"/>
    </row>
    <row r="22" spans="1:22" x14ac:dyDescent="0.2">
      <c r="A22" s="129"/>
      <c r="B22" s="132" t="s">
        <v>137</v>
      </c>
      <c r="C22" s="127">
        <f xml:space="preserve"> C20*C9</f>
        <v>1125.0000000000002</v>
      </c>
      <c r="D22" s="131"/>
      <c r="E22" s="127"/>
      <c r="F22" s="127"/>
      <c r="G22" s="132" t="s">
        <v>137</v>
      </c>
      <c r="H22" s="127">
        <f>IF(H8&lt;1, H14, H20)*H9</f>
        <v>70.759837058178022</v>
      </c>
      <c r="I22" s="127"/>
      <c r="J22" s="127"/>
      <c r="K22" s="138"/>
      <c r="L22" s="129"/>
      <c r="M22" s="129"/>
      <c r="N22" s="129"/>
      <c r="O22" s="129"/>
      <c r="P22" s="129"/>
      <c r="Q22" s="129"/>
      <c r="R22" s="129"/>
      <c r="S22" s="129"/>
      <c r="T22" s="129"/>
      <c r="U22" s="129"/>
      <c r="V22" s="129"/>
    </row>
    <row r="23" spans="1:22" x14ac:dyDescent="0.2">
      <c r="A23" s="129"/>
      <c r="B23" s="127"/>
      <c r="C23" s="127"/>
      <c r="D23" s="127"/>
      <c r="E23" s="127"/>
      <c r="F23" s="127"/>
      <c r="G23" s="127"/>
      <c r="H23" s="127"/>
      <c r="I23" s="127"/>
      <c r="J23" s="127"/>
      <c r="K23" s="138"/>
      <c r="L23" s="129"/>
      <c r="M23" s="129"/>
      <c r="N23" s="129"/>
      <c r="O23" s="129"/>
      <c r="P23" s="129"/>
      <c r="Q23" s="129"/>
      <c r="R23" s="129"/>
      <c r="S23" s="129"/>
      <c r="T23" s="129"/>
      <c r="U23" s="129"/>
      <c r="V23" s="129"/>
    </row>
    <row r="24" spans="1:22" x14ac:dyDescent="0.2">
      <c r="A24" s="129"/>
      <c r="B24" s="127"/>
      <c r="C24" s="127"/>
      <c r="D24" s="127"/>
      <c r="E24" s="127"/>
      <c r="F24" s="127"/>
      <c r="G24" s="131" t="s">
        <v>269</v>
      </c>
      <c r="H24" s="127" t="str">
        <f>'Design Calculator'!F61</f>
        <v>No</v>
      </c>
      <c r="I24" s="127"/>
      <c r="J24" s="127"/>
      <c r="K24" s="138"/>
      <c r="L24" s="129"/>
      <c r="M24" s="129"/>
      <c r="N24" s="129"/>
      <c r="O24" s="137"/>
      <c r="P24" s="129"/>
      <c r="Q24" s="129"/>
      <c r="R24" s="129"/>
      <c r="S24" s="129"/>
      <c r="T24" s="129"/>
      <c r="U24" s="129"/>
      <c r="V24" s="129"/>
    </row>
    <row r="25" spans="1:22" x14ac:dyDescent="0.2">
      <c r="A25" s="129"/>
      <c r="B25" s="146" t="s">
        <v>143</v>
      </c>
      <c r="C25" s="127">
        <f>(TJMAX-TJ)/(TJMAX-25)</f>
        <v>0.52086799999999989</v>
      </c>
      <c r="D25" s="138"/>
      <c r="E25" s="138"/>
      <c r="F25" s="138"/>
      <c r="G25" s="131" t="s">
        <v>268</v>
      </c>
      <c r="H25" s="127">
        <f>IF(H24="Yes", TJ,TAMB)</f>
        <v>71</v>
      </c>
      <c r="I25" s="127"/>
      <c r="J25" s="127"/>
      <c r="K25" s="138"/>
      <c r="L25" s="129"/>
      <c r="M25" s="129"/>
      <c r="N25" s="129"/>
      <c r="O25" s="137"/>
      <c r="P25" s="129"/>
      <c r="Q25" s="129"/>
      <c r="R25" s="129"/>
      <c r="S25" s="129"/>
      <c r="T25" s="129"/>
      <c r="U25" s="129"/>
      <c r="V25" s="129"/>
    </row>
    <row r="26" spans="1:22" x14ac:dyDescent="0.2">
      <c r="A26" s="129"/>
      <c r="B26" s="144" t="s">
        <v>138</v>
      </c>
      <c r="C26" s="127">
        <f>IF((C22*C25)&lt;0,0.000000001,C22*C25)</f>
        <v>585.97649999999999</v>
      </c>
      <c r="D26" s="145" t="s">
        <v>51</v>
      </c>
      <c r="E26" s="138"/>
      <c r="F26" s="138"/>
      <c r="G26" s="127"/>
      <c r="H26" s="127"/>
      <c r="I26" s="127"/>
      <c r="J26" s="127"/>
      <c r="K26" s="138"/>
      <c r="L26" s="129"/>
      <c r="M26" s="129"/>
      <c r="N26" s="129"/>
      <c r="O26" s="129"/>
      <c r="P26" s="129"/>
      <c r="Q26" s="129"/>
      <c r="R26" s="129"/>
      <c r="S26" s="129"/>
      <c r="T26" s="129"/>
      <c r="U26" s="129"/>
      <c r="V26" s="129"/>
    </row>
    <row r="27" spans="1:22" x14ac:dyDescent="0.2">
      <c r="A27" s="129"/>
      <c r="B27" s="137"/>
      <c r="C27" s="137"/>
      <c r="D27" s="138"/>
      <c r="E27" s="138"/>
      <c r="F27" s="138"/>
      <c r="G27" s="146" t="s">
        <v>143</v>
      </c>
      <c r="H27" s="127">
        <f>(TJMAX-H25)/(TJMAX-25)</f>
        <v>0.63200000000000001</v>
      </c>
      <c r="I27" s="127"/>
      <c r="J27" s="127"/>
      <c r="K27" s="138"/>
      <c r="L27" s="129"/>
      <c r="M27" s="129"/>
      <c r="N27" s="129"/>
      <c r="O27" s="129"/>
      <c r="P27" s="129"/>
      <c r="Q27" s="129"/>
      <c r="R27" s="129"/>
      <c r="S27" s="129"/>
      <c r="T27" s="129"/>
      <c r="U27" s="129"/>
      <c r="V27" s="129"/>
    </row>
    <row r="28" spans="1:22" x14ac:dyDescent="0.2">
      <c r="A28" s="129"/>
      <c r="B28" s="137"/>
      <c r="C28" s="127"/>
      <c r="D28" s="138"/>
      <c r="E28" s="138"/>
      <c r="F28" s="138"/>
      <c r="G28" s="144" t="s">
        <v>138</v>
      </c>
      <c r="H28" s="127">
        <f>IF((H22*H27)&lt;0,0.000000001,H22*H27)</f>
        <v>44.720217020768509</v>
      </c>
      <c r="I28" s="127"/>
      <c r="J28" s="127"/>
      <c r="K28" s="138"/>
      <c r="L28" s="129"/>
      <c r="M28" s="129"/>
      <c r="N28" s="129"/>
      <c r="O28" s="129"/>
      <c r="P28" s="129"/>
      <c r="Q28" s="129"/>
      <c r="R28" s="129"/>
      <c r="S28" s="129"/>
      <c r="T28" s="129"/>
      <c r="U28" s="129"/>
      <c r="V28" s="129"/>
    </row>
    <row r="29" spans="1:22" x14ac:dyDescent="0.2">
      <c r="A29" s="129"/>
      <c r="B29" s="146" t="s">
        <v>300</v>
      </c>
      <c r="C29" s="127"/>
      <c r="D29" s="138"/>
      <c r="E29" s="138"/>
      <c r="F29" s="138"/>
      <c r="G29" s="127"/>
      <c r="H29" s="129"/>
      <c r="I29" s="143"/>
      <c r="J29" s="143"/>
      <c r="K29" s="143"/>
      <c r="L29" s="129"/>
      <c r="M29" s="129"/>
      <c r="N29" s="129"/>
      <c r="O29" s="129"/>
      <c r="P29" s="129"/>
      <c r="Q29" s="129"/>
      <c r="R29" s="129"/>
      <c r="S29" s="129"/>
      <c r="T29" s="129"/>
      <c r="U29" s="129"/>
      <c r="V29" s="129"/>
    </row>
    <row r="30" spans="1:22" x14ac:dyDescent="0.2">
      <c r="A30" s="129"/>
      <c r="B30" s="127"/>
      <c r="C30" s="141" t="s">
        <v>301</v>
      </c>
      <c r="D30" s="151" t="s">
        <v>302</v>
      </c>
      <c r="E30" s="151" t="s">
        <v>303</v>
      </c>
      <c r="F30" s="151" t="s">
        <v>304</v>
      </c>
      <c r="G30" s="138"/>
      <c r="H30" s="129"/>
      <c r="I30" s="143"/>
      <c r="J30" s="143"/>
      <c r="K30" s="143"/>
      <c r="L30" s="129"/>
      <c r="M30" s="129"/>
      <c r="N30" s="129"/>
      <c r="O30" s="129"/>
      <c r="P30" s="129"/>
      <c r="Q30" s="129"/>
      <c r="R30" s="129"/>
      <c r="S30" s="129"/>
      <c r="T30" s="129"/>
      <c r="U30" s="129"/>
      <c r="V30" s="129"/>
    </row>
    <row r="31" spans="1:22" x14ac:dyDescent="0.2">
      <c r="A31" s="127"/>
      <c r="B31" s="146" t="s">
        <v>305</v>
      </c>
      <c r="C31" s="133">
        <v>0.1</v>
      </c>
      <c r="D31" s="128">
        <v>1</v>
      </c>
      <c r="E31" s="138">
        <v>10</v>
      </c>
      <c r="F31" s="137">
        <v>100</v>
      </c>
      <c r="G31" s="148"/>
      <c r="H31" s="129"/>
      <c r="I31" s="129"/>
      <c r="J31" s="129"/>
      <c r="K31" s="129"/>
      <c r="L31" s="129"/>
      <c r="M31" s="129"/>
      <c r="N31" s="129"/>
      <c r="O31" s="129"/>
      <c r="P31" s="129"/>
      <c r="Q31" s="129"/>
      <c r="R31" s="129"/>
      <c r="S31" s="129"/>
      <c r="T31" s="129"/>
      <c r="U31" s="129"/>
      <c r="V31" s="129"/>
    </row>
    <row r="32" spans="1:22" x14ac:dyDescent="0.2">
      <c r="A32" s="127"/>
      <c r="B32" s="133" t="s">
        <v>306</v>
      </c>
      <c r="C32" s="128">
        <v>1</v>
      </c>
      <c r="D32" s="128">
        <v>10</v>
      </c>
      <c r="E32" s="138">
        <v>100</v>
      </c>
      <c r="F32" s="137">
        <v>1000</v>
      </c>
      <c r="G32" s="144"/>
      <c r="H32" s="129"/>
      <c r="I32" s="129"/>
      <c r="J32" s="129"/>
      <c r="K32" s="129"/>
      <c r="L32" s="129"/>
      <c r="M32" s="129"/>
      <c r="N32" s="129"/>
      <c r="O32" s="129"/>
      <c r="P32" s="129"/>
      <c r="Q32" s="129"/>
      <c r="R32" s="129"/>
      <c r="S32" s="129"/>
      <c r="T32" s="129"/>
      <c r="U32" s="129"/>
      <c r="V32" s="129"/>
    </row>
    <row r="33" spans="2:22" x14ac:dyDescent="0.2">
      <c r="B33" s="133" t="s">
        <v>132</v>
      </c>
      <c r="C33" s="128">
        <f>B4/(C31^C34)</f>
        <v>10</v>
      </c>
      <c r="D33" s="128">
        <f>C4/(D31^D34)</f>
        <v>10</v>
      </c>
      <c r="E33" s="128">
        <f>IF('Design Calculator'!F41="NA",D33,D4/(E31^E34))</f>
        <v>4.4444444444444446</v>
      </c>
      <c r="F33" s="128">
        <f>IF('Design Calculator'!F41="NA", E33, E4/(F31^F34))</f>
        <v>1.1390625000000001</v>
      </c>
      <c r="G33" s="131"/>
      <c r="H33" s="129"/>
      <c r="I33" s="129"/>
      <c r="J33" s="129"/>
      <c r="K33" s="129"/>
      <c r="L33" s="129"/>
      <c r="M33" s="129"/>
      <c r="N33" s="129"/>
      <c r="O33" s="129"/>
      <c r="P33" s="129"/>
      <c r="Q33" s="129"/>
      <c r="R33" s="129"/>
      <c r="S33" s="129"/>
      <c r="T33" s="129"/>
      <c r="U33" s="129"/>
      <c r="V33" s="129"/>
    </row>
    <row r="34" spans="2:22" x14ac:dyDescent="0.2">
      <c r="B34" s="133" t="s">
        <v>133</v>
      </c>
      <c r="C34" s="130">
        <f>LOG(B4/C4)/LOG(C31/C32)</f>
        <v>-1</v>
      </c>
      <c r="D34" s="130">
        <f>LOG(C4/D4)/LOG(D31/D32)</f>
        <v>-0.69897000433601886</v>
      </c>
      <c r="E34" s="130">
        <f>IF('Design Calculator'!F41="NA", D34, LOG(D4/E4)/LOG(E31/E32))</f>
        <v>-0.34678748622465633</v>
      </c>
      <c r="F34" s="130">
        <f>IF('Design Calculator'!F41="NA",E34,LOG(E4/F4)/LOG(F31/F32))</f>
        <v>-5.1152522447381291E-2</v>
      </c>
      <c r="G34" s="131"/>
      <c r="H34" s="129"/>
      <c r="I34" s="129"/>
      <c r="J34" s="129"/>
      <c r="K34" s="129"/>
      <c r="L34" s="129"/>
      <c r="M34" s="129"/>
      <c r="N34" s="129"/>
      <c r="O34" s="129"/>
      <c r="P34" s="129"/>
      <c r="Q34" s="129"/>
      <c r="R34" s="129"/>
      <c r="S34" s="129"/>
      <c r="T34" s="129"/>
      <c r="U34" s="129"/>
      <c r="V34" s="129"/>
    </row>
    <row r="35" spans="2:22" x14ac:dyDescent="0.2">
      <c r="B35" s="127"/>
      <c r="C35" s="127"/>
      <c r="D35" s="127"/>
      <c r="E35" s="138"/>
      <c r="F35" s="129"/>
      <c r="G35" s="131"/>
      <c r="H35" s="129"/>
      <c r="I35" s="129"/>
      <c r="J35" s="129"/>
      <c r="K35" s="129"/>
      <c r="L35" s="129"/>
      <c r="M35" s="129"/>
      <c r="N35" s="129"/>
      <c r="O35" s="129"/>
      <c r="P35" s="129"/>
      <c r="Q35" s="129"/>
      <c r="R35" s="129"/>
      <c r="S35" s="129"/>
      <c r="T35" s="129"/>
      <c r="U35" s="129"/>
      <c r="V35" s="129"/>
    </row>
    <row r="36" spans="2:22" ht="13.5" thickBot="1" x14ac:dyDescent="0.25">
      <c r="B36" s="48" t="s">
        <v>352</v>
      </c>
      <c r="C36" s="49"/>
      <c r="D36" s="127"/>
      <c r="E36" s="138"/>
      <c r="F36" s="129"/>
      <c r="G36" s="131"/>
      <c r="H36" s="129"/>
      <c r="I36" s="129"/>
      <c r="J36" s="129"/>
      <c r="K36" s="129"/>
      <c r="L36" s="129"/>
      <c r="M36" s="129"/>
      <c r="N36" s="129"/>
      <c r="O36" s="129"/>
      <c r="P36" s="129"/>
      <c r="Q36" s="129"/>
      <c r="R36" s="129"/>
      <c r="S36" s="129"/>
      <c r="T36" s="129"/>
      <c r="U36" s="129"/>
      <c r="V36" s="129"/>
    </row>
    <row r="37" spans="2:22" ht="14.25" x14ac:dyDescent="0.25">
      <c r="B37" s="50" t="s">
        <v>22</v>
      </c>
      <c r="C37" s="51" t="s">
        <v>68</v>
      </c>
      <c r="D37" s="127"/>
      <c r="E37" s="138"/>
      <c r="F37" s="129"/>
      <c r="G37" s="131"/>
      <c r="H37" s="129"/>
      <c r="I37" s="129"/>
      <c r="J37" s="129"/>
      <c r="K37" s="129"/>
      <c r="L37" s="129"/>
      <c r="M37" s="129"/>
      <c r="N37" s="129"/>
      <c r="O37" s="129"/>
      <c r="P37" s="129"/>
      <c r="Q37" s="129"/>
      <c r="R37" s="129"/>
      <c r="S37" s="129"/>
      <c r="T37" s="129"/>
      <c r="U37" s="129"/>
      <c r="V37" s="129"/>
    </row>
    <row r="38" spans="2:22" x14ac:dyDescent="0.2">
      <c r="B38" s="52" t="s">
        <v>6</v>
      </c>
      <c r="C38" s="53" t="s">
        <v>7</v>
      </c>
      <c r="D38" s="127"/>
      <c r="E38" s="138"/>
      <c r="F38" s="129"/>
      <c r="G38" s="131"/>
      <c r="H38" s="129"/>
      <c r="I38" s="129"/>
      <c r="J38" s="129"/>
      <c r="K38" s="129"/>
      <c r="L38" s="129"/>
      <c r="M38" s="129"/>
      <c r="N38" s="129"/>
      <c r="O38" s="129"/>
      <c r="P38" s="129"/>
      <c r="Q38" s="129"/>
      <c r="R38" s="129"/>
      <c r="S38" s="129"/>
      <c r="T38" s="129"/>
      <c r="U38" s="129"/>
      <c r="V38" s="129"/>
    </row>
    <row r="39" spans="2:22" x14ac:dyDescent="0.2">
      <c r="B39" s="54">
        <v>1</v>
      </c>
      <c r="C39" s="55">
        <f>SOA!$C$26/B39</f>
        <v>585.97649999999999</v>
      </c>
      <c r="D39" s="127"/>
      <c r="E39" s="138"/>
      <c r="F39" s="129"/>
      <c r="G39" s="127"/>
      <c r="H39" s="129"/>
      <c r="I39" s="129"/>
      <c r="J39" s="129"/>
      <c r="K39" s="129"/>
      <c r="L39" s="129"/>
      <c r="M39" s="129"/>
      <c r="N39" s="129"/>
      <c r="O39" s="129"/>
      <c r="P39" s="129"/>
      <c r="Q39" s="129"/>
      <c r="R39" s="129"/>
      <c r="S39" s="129"/>
      <c r="T39" s="129"/>
      <c r="U39" s="129"/>
      <c r="V39" s="129"/>
    </row>
    <row r="40" spans="2:22" x14ac:dyDescent="0.2">
      <c r="B40" s="54">
        <v>1.2</v>
      </c>
      <c r="C40" s="55">
        <f>SOA!$C$26/B40</f>
        <v>488.31375000000003</v>
      </c>
      <c r="D40" s="127"/>
      <c r="E40" s="138"/>
      <c r="F40" s="129"/>
      <c r="G40" s="131"/>
      <c r="H40" s="129"/>
      <c r="I40" s="129"/>
      <c r="J40" s="129"/>
      <c r="K40" s="129"/>
      <c r="L40" s="129"/>
      <c r="M40" s="129"/>
      <c r="N40" s="129"/>
      <c r="O40" s="129"/>
      <c r="P40" s="129"/>
      <c r="Q40" s="129"/>
      <c r="R40" s="129"/>
      <c r="S40" s="129"/>
      <c r="T40" s="129"/>
      <c r="U40" s="129"/>
      <c r="V40" s="129"/>
    </row>
    <row r="41" spans="2:22" x14ac:dyDescent="0.2">
      <c r="B41" s="54">
        <v>30</v>
      </c>
      <c r="C41" s="55">
        <f>SOA!$C$26/B41</f>
        <v>19.532550000000001</v>
      </c>
      <c r="D41" s="127"/>
      <c r="E41" s="138"/>
      <c r="F41" s="129"/>
      <c r="G41" s="127"/>
      <c r="H41" s="129"/>
      <c r="I41" s="129"/>
      <c r="J41" s="129"/>
      <c r="K41" s="129"/>
      <c r="L41" s="129"/>
      <c r="M41" s="129"/>
      <c r="N41" s="129"/>
      <c r="O41" s="129"/>
      <c r="P41" s="129"/>
      <c r="Q41" s="129"/>
      <c r="R41" s="129"/>
      <c r="S41" s="129"/>
      <c r="T41" s="129"/>
      <c r="U41" s="129"/>
      <c r="V41" s="129"/>
    </row>
    <row r="42" spans="2:22" x14ac:dyDescent="0.2">
      <c r="B42" s="54"/>
      <c r="C42" s="55"/>
      <c r="D42" s="127"/>
      <c r="E42" s="138"/>
      <c r="F42" s="129"/>
      <c r="G42" s="131"/>
      <c r="H42" s="129"/>
      <c r="I42" s="129"/>
      <c r="J42" s="129"/>
      <c r="K42" s="129"/>
      <c r="L42" s="129"/>
      <c r="M42" s="129"/>
      <c r="N42" s="129"/>
      <c r="O42" s="129"/>
      <c r="P42" s="129"/>
      <c r="Q42" s="129"/>
      <c r="R42" s="129"/>
      <c r="S42" s="129"/>
      <c r="T42" s="129"/>
      <c r="U42" s="129"/>
      <c r="V42" s="129"/>
    </row>
    <row r="43" spans="2:22" ht="13.5" thickBot="1" x14ac:dyDescent="0.25">
      <c r="B43" s="56"/>
      <c r="C43" s="57"/>
      <c r="D43" s="127"/>
      <c r="E43" s="138"/>
      <c r="F43" s="129"/>
      <c r="G43" s="131"/>
      <c r="H43" s="129"/>
      <c r="I43" s="129"/>
      <c r="J43" s="129"/>
      <c r="K43" s="129"/>
      <c r="L43" s="129"/>
      <c r="M43" s="129"/>
      <c r="N43" s="129"/>
      <c r="O43" s="129"/>
      <c r="P43" s="129"/>
      <c r="Q43" s="129"/>
      <c r="R43" s="129"/>
      <c r="S43" s="129"/>
      <c r="T43" s="129"/>
      <c r="U43" s="129"/>
      <c r="V43" s="129"/>
    </row>
    <row r="44" spans="2:22" x14ac:dyDescent="0.2">
      <c r="B44" s="127"/>
      <c r="C44" s="127"/>
      <c r="D44" s="127"/>
      <c r="E44" s="138"/>
      <c r="F44" s="129"/>
      <c r="G44" s="131"/>
      <c r="H44" s="129"/>
      <c r="I44" s="129"/>
      <c r="J44" s="129"/>
      <c r="K44" s="129"/>
      <c r="L44" s="129"/>
      <c r="M44" s="129"/>
      <c r="N44" s="129"/>
      <c r="O44" s="129"/>
      <c r="P44" s="129"/>
      <c r="Q44" s="129"/>
      <c r="R44" s="129"/>
      <c r="S44" s="129"/>
      <c r="T44" s="129"/>
      <c r="U44" s="129"/>
      <c r="V44" s="129"/>
    </row>
    <row r="45" spans="2:22" x14ac:dyDescent="0.2">
      <c r="B45" s="127"/>
      <c r="C45" s="127"/>
      <c r="D45" s="127"/>
      <c r="E45" s="138"/>
      <c r="F45" s="129"/>
      <c r="G45" s="127"/>
      <c r="H45" s="129"/>
      <c r="I45" s="129"/>
      <c r="J45" s="129"/>
      <c r="K45" s="129"/>
      <c r="L45" s="129"/>
      <c r="M45" s="129"/>
      <c r="N45" s="129"/>
      <c r="O45" s="129"/>
      <c r="P45" s="129"/>
      <c r="Q45" s="129"/>
      <c r="R45" s="129"/>
      <c r="S45" s="129"/>
      <c r="T45" s="129"/>
      <c r="U45" s="129"/>
      <c r="V45" s="129"/>
    </row>
    <row r="46" spans="2:22" x14ac:dyDescent="0.2">
      <c r="B46" s="127"/>
      <c r="C46" s="127"/>
      <c r="D46" s="127"/>
      <c r="E46" s="138"/>
      <c r="F46" s="129"/>
      <c r="G46" s="132"/>
      <c r="H46" s="129"/>
      <c r="I46" s="129"/>
      <c r="J46" s="129"/>
      <c r="K46" s="129"/>
      <c r="L46" s="129"/>
      <c r="M46" s="129"/>
      <c r="N46" s="129"/>
      <c r="O46" s="129"/>
      <c r="P46" s="129"/>
      <c r="Q46" s="129"/>
      <c r="R46" s="129"/>
      <c r="S46" s="129"/>
      <c r="T46" s="129"/>
      <c r="U46" s="129"/>
      <c r="V46" s="129"/>
    </row>
    <row r="47" spans="2:22" x14ac:dyDescent="0.2">
      <c r="B47" s="127"/>
      <c r="C47" s="127"/>
      <c r="D47" s="127"/>
      <c r="E47" s="138"/>
      <c r="F47" s="129"/>
      <c r="G47" s="127"/>
      <c r="H47" s="129"/>
      <c r="I47" s="129"/>
      <c r="J47" s="129"/>
      <c r="K47" s="129"/>
      <c r="L47" s="129"/>
      <c r="M47" s="129"/>
      <c r="N47" s="129"/>
      <c r="O47" s="129"/>
      <c r="P47" s="129"/>
      <c r="Q47" s="129"/>
      <c r="R47" s="129"/>
      <c r="S47" s="129"/>
      <c r="T47" s="129"/>
      <c r="U47" s="129"/>
      <c r="V47" s="129"/>
    </row>
    <row r="48" spans="2:22" x14ac:dyDescent="0.2">
      <c r="B48" s="127"/>
      <c r="C48" s="127"/>
      <c r="D48" s="127"/>
      <c r="E48" s="138"/>
      <c r="F48" s="129"/>
      <c r="G48" s="127"/>
      <c r="H48" s="129"/>
      <c r="I48" s="129"/>
      <c r="J48" s="129"/>
      <c r="K48" s="129"/>
      <c r="L48" s="129"/>
      <c r="M48" s="129"/>
      <c r="N48" s="129"/>
      <c r="O48" s="129"/>
      <c r="P48" s="129"/>
      <c r="Q48" s="129"/>
      <c r="R48" s="129"/>
      <c r="S48" s="129"/>
      <c r="T48" s="129"/>
      <c r="U48" s="129"/>
      <c r="V48" s="129"/>
    </row>
    <row r="49" spans="1:22" x14ac:dyDescent="0.2">
      <c r="A49" s="127"/>
      <c r="B49" s="127"/>
      <c r="C49" s="127"/>
      <c r="D49" s="127"/>
      <c r="E49" s="138"/>
      <c r="F49" s="129"/>
      <c r="G49" s="146"/>
      <c r="H49" s="129"/>
      <c r="I49" s="129"/>
      <c r="J49" s="129"/>
      <c r="K49" s="129"/>
      <c r="L49" s="129"/>
      <c r="M49" s="129"/>
      <c r="N49" s="129"/>
      <c r="O49" s="129"/>
      <c r="P49" s="129"/>
      <c r="Q49" s="129"/>
      <c r="R49" s="129"/>
      <c r="S49" s="129"/>
      <c r="T49" s="129"/>
      <c r="U49" s="129"/>
      <c r="V49" s="129"/>
    </row>
    <row r="50" spans="1:22" x14ac:dyDescent="0.2">
      <c r="A50" s="127"/>
      <c r="B50" s="127"/>
      <c r="C50" s="127"/>
      <c r="D50" s="127"/>
      <c r="E50" s="138"/>
      <c r="F50" s="129"/>
      <c r="G50" s="144"/>
      <c r="H50" s="129"/>
      <c r="I50" s="129"/>
      <c r="J50" s="129"/>
      <c r="K50" s="129"/>
      <c r="L50" s="129"/>
      <c r="M50" s="129"/>
      <c r="N50" s="129"/>
      <c r="O50" s="129"/>
      <c r="P50" s="129"/>
      <c r="Q50" s="129"/>
      <c r="R50" s="129"/>
      <c r="S50" s="129"/>
      <c r="T50" s="129"/>
      <c r="U50" s="129"/>
      <c r="V50" s="129"/>
    </row>
    <row r="51" spans="1:22" x14ac:dyDescent="0.2">
      <c r="A51" s="127"/>
      <c r="B51" s="127"/>
      <c r="C51" s="127"/>
      <c r="D51" s="127"/>
      <c r="E51" s="138"/>
      <c r="F51" s="138"/>
      <c r="G51" s="138"/>
      <c r="H51" s="129"/>
      <c r="I51" s="129"/>
      <c r="J51" s="129"/>
      <c r="K51" s="129"/>
      <c r="L51" s="129"/>
      <c r="M51" s="129"/>
      <c r="N51" s="129"/>
      <c r="O51" s="129"/>
      <c r="P51" s="129"/>
      <c r="Q51" s="129"/>
      <c r="R51" s="129"/>
      <c r="S51" s="129"/>
      <c r="T51" s="129"/>
      <c r="U51" s="129"/>
      <c r="V51" s="129"/>
    </row>
    <row r="52" spans="1:22" x14ac:dyDescent="0.2">
      <c r="A52" s="127"/>
      <c r="B52" s="127"/>
      <c r="C52" s="127"/>
      <c r="D52" s="127"/>
      <c r="E52" s="138"/>
      <c r="F52" s="138"/>
      <c r="G52" s="138"/>
      <c r="H52" s="129"/>
      <c r="I52" s="129"/>
      <c r="J52" s="129"/>
      <c r="K52" s="129"/>
      <c r="L52" s="129"/>
      <c r="M52" s="129"/>
      <c r="N52" s="129"/>
      <c r="O52" s="129"/>
      <c r="P52" s="129"/>
      <c r="Q52" s="129"/>
      <c r="R52" s="129"/>
      <c r="S52" s="129"/>
      <c r="T52" s="129"/>
      <c r="U52" s="129"/>
      <c r="V52" s="129"/>
    </row>
    <row r="53" spans="1:22" x14ac:dyDescent="0.2">
      <c r="A53" s="129"/>
      <c r="B53" s="129"/>
      <c r="C53" s="137"/>
      <c r="D53" s="138"/>
      <c r="E53" s="138"/>
      <c r="F53" s="138"/>
      <c r="G53" s="138"/>
      <c r="H53" s="129"/>
      <c r="I53" s="129"/>
      <c r="J53" s="129"/>
      <c r="K53" s="129"/>
      <c r="L53" s="129"/>
      <c r="M53" s="129"/>
      <c r="N53" s="129"/>
      <c r="O53" s="129"/>
      <c r="P53" s="129"/>
      <c r="Q53" s="129"/>
      <c r="R53" s="129"/>
      <c r="S53" s="129"/>
      <c r="T53" s="129"/>
      <c r="U53" s="129"/>
      <c r="V53" s="129"/>
    </row>
    <row r="54" spans="1:22" x14ac:dyDescent="0.2">
      <c r="A54" s="129"/>
      <c r="B54" s="129"/>
      <c r="C54" s="137"/>
      <c r="D54" s="138"/>
      <c r="E54" s="138"/>
      <c r="F54" s="138"/>
      <c r="G54" s="138"/>
      <c r="H54" s="129"/>
      <c r="I54" s="129"/>
      <c r="J54" s="129"/>
      <c r="K54" s="129"/>
      <c r="L54" s="129"/>
      <c r="M54" s="129"/>
      <c r="N54" s="129"/>
      <c r="O54" s="129"/>
      <c r="P54" s="129"/>
      <c r="Q54" s="129"/>
      <c r="R54" s="129"/>
      <c r="S54" s="129"/>
      <c r="T54" s="129"/>
      <c r="U54" s="129"/>
      <c r="V54" s="129"/>
    </row>
    <row r="55" spans="1:22" x14ac:dyDescent="0.2">
      <c r="A55" s="129"/>
      <c r="B55" s="129"/>
      <c r="C55" s="137"/>
      <c r="D55" s="138"/>
      <c r="E55" s="138"/>
      <c r="F55" s="138"/>
      <c r="G55" s="138"/>
      <c r="H55" s="129"/>
      <c r="I55" s="129"/>
      <c r="J55" s="129"/>
      <c r="K55" s="129"/>
      <c r="L55" s="129"/>
      <c r="M55" s="129"/>
      <c r="N55" s="129"/>
      <c r="O55" s="129"/>
      <c r="P55" s="129"/>
      <c r="Q55" s="129"/>
      <c r="R55" s="129"/>
      <c r="S55" s="129"/>
      <c r="T55" s="129"/>
      <c r="U55" s="129"/>
      <c r="V55" s="129"/>
    </row>
    <row r="56" spans="1:22" x14ac:dyDescent="0.2">
      <c r="A56" s="129"/>
      <c r="B56" s="129"/>
      <c r="C56" s="137"/>
      <c r="D56" s="138"/>
      <c r="E56" s="138"/>
      <c r="F56" s="138"/>
      <c r="G56" s="138"/>
      <c r="H56" s="129"/>
      <c r="I56" s="127"/>
      <c r="J56" s="127"/>
      <c r="K56" s="127"/>
      <c r="L56" s="127"/>
      <c r="M56" s="127"/>
      <c r="N56" s="127"/>
      <c r="O56" s="127"/>
      <c r="P56" s="127"/>
      <c r="Q56" s="127"/>
      <c r="R56" s="127"/>
      <c r="S56" s="127"/>
      <c r="T56" s="127"/>
      <c r="U56" s="127"/>
      <c r="V56" s="127"/>
    </row>
    <row r="57" spans="1:22" x14ac:dyDescent="0.2">
      <c r="A57" s="129"/>
      <c r="B57" s="129"/>
      <c r="C57" s="137"/>
      <c r="D57" s="138"/>
      <c r="E57" s="138"/>
      <c r="F57" s="138"/>
      <c r="G57" s="138"/>
      <c r="H57" s="127"/>
      <c r="I57" s="127"/>
      <c r="J57" s="127"/>
      <c r="K57" s="127"/>
      <c r="L57" s="127"/>
      <c r="M57" s="127"/>
      <c r="N57" s="127"/>
      <c r="O57" s="127"/>
      <c r="P57" s="127"/>
      <c r="Q57" s="127"/>
      <c r="R57" s="127"/>
      <c r="S57" s="127"/>
      <c r="T57" s="127"/>
      <c r="U57" s="127"/>
      <c r="V57" s="127"/>
    </row>
    <row r="58" spans="1:22" x14ac:dyDescent="0.2">
      <c r="A58" s="129"/>
      <c r="B58" s="129"/>
      <c r="C58" s="137"/>
      <c r="D58" s="138"/>
      <c r="E58" s="138"/>
      <c r="F58" s="138"/>
      <c r="G58" s="138"/>
      <c r="H58" s="127"/>
      <c r="I58" s="127"/>
      <c r="J58" s="127"/>
      <c r="K58" s="127"/>
      <c r="L58" s="127"/>
      <c r="M58" s="127"/>
      <c r="N58" s="127"/>
      <c r="O58" s="127"/>
      <c r="P58" s="127"/>
      <c r="Q58" s="127"/>
      <c r="R58" s="127"/>
      <c r="S58" s="127"/>
      <c r="T58" s="127"/>
      <c r="U58" s="127"/>
      <c r="V58" s="127"/>
    </row>
    <row r="59" spans="1:22" x14ac:dyDescent="0.2">
      <c r="A59" s="129"/>
      <c r="B59" s="129"/>
      <c r="C59" s="137"/>
      <c r="D59" s="138"/>
      <c r="E59" s="138"/>
      <c r="F59" s="138"/>
      <c r="G59" s="138"/>
      <c r="H59" s="127"/>
      <c r="I59" s="127"/>
      <c r="J59" s="127"/>
      <c r="K59" s="127"/>
      <c r="L59" s="127"/>
      <c r="M59" s="127"/>
      <c r="N59" s="127"/>
      <c r="O59" s="127"/>
      <c r="P59" s="127"/>
      <c r="Q59" s="127"/>
      <c r="R59" s="127"/>
      <c r="S59" s="127"/>
      <c r="T59" s="127"/>
      <c r="U59" s="127"/>
      <c r="V59" s="127"/>
    </row>
    <row r="60" spans="1:22" x14ac:dyDescent="0.2">
      <c r="A60" s="129"/>
      <c r="B60" s="129"/>
      <c r="C60" s="137"/>
      <c r="D60" s="138"/>
      <c r="E60" s="138"/>
      <c r="F60" s="138"/>
      <c r="G60" s="138"/>
      <c r="H60" s="127"/>
      <c r="I60" s="127"/>
      <c r="J60" s="127"/>
      <c r="K60" s="127"/>
      <c r="L60" s="127"/>
      <c r="M60" s="127"/>
      <c r="N60" s="127"/>
      <c r="O60" s="127"/>
      <c r="P60" s="127"/>
      <c r="Q60" s="127"/>
      <c r="R60" s="127"/>
      <c r="S60" s="127"/>
      <c r="T60" s="127"/>
      <c r="U60" s="127"/>
      <c r="V60" s="127"/>
    </row>
    <row r="61" spans="1:22" x14ac:dyDescent="0.2">
      <c r="A61" s="129"/>
      <c r="B61" s="129"/>
      <c r="C61" s="137"/>
      <c r="D61" s="138"/>
      <c r="E61" s="138"/>
      <c r="F61" s="138"/>
      <c r="G61" s="138"/>
      <c r="H61" s="127"/>
      <c r="I61" s="127"/>
      <c r="J61" s="127"/>
      <c r="K61" s="127"/>
      <c r="L61" s="127"/>
      <c r="M61" s="127"/>
      <c r="N61" s="127"/>
      <c r="O61" s="127"/>
      <c r="P61" s="127"/>
      <c r="Q61" s="127"/>
      <c r="R61" s="127"/>
      <c r="S61" s="127"/>
      <c r="T61" s="127"/>
      <c r="U61" s="127"/>
      <c r="V61" s="127"/>
    </row>
    <row r="62" spans="1:22" x14ac:dyDescent="0.2">
      <c r="A62" s="129"/>
      <c r="B62" s="129"/>
      <c r="C62" s="137"/>
      <c r="D62" s="138"/>
      <c r="E62" s="138"/>
      <c r="F62" s="138"/>
      <c r="G62" s="138"/>
      <c r="H62" s="127"/>
      <c r="I62" s="127"/>
      <c r="J62" s="127"/>
      <c r="K62" s="127"/>
      <c r="L62" s="127"/>
      <c r="M62" s="127"/>
      <c r="N62" s="127"/>
      <c r="O62" s="127"/>
      <c r="P62" s="127"/>
      <c r="Q62" s="127"/>
      <c r="R62" s="127"/>
      <c r="S62" s="127"/>
      <c r="T62" s="127"/>
      <c r="U62" s="127"/>
      <c r="V62" s="127"/>
    </row>
    <row r="63" spans="1:22" x14ac:dyDescent="0.2">
      <c r="A63" s="129"/>
      <c r="B63" s="129"/>
      <c r="C63" s="137"/>
      <c r="D63" s="138"/>
      <c r="E63" s="138"/>
      <c r="F63" s="138"/>
      <c r="G63" s="138"/>
      <c r="H63" s="127"/>
      <c r="I63" s="127"/>
      <c r="J63" s="127"/>
      <c r="K63" s="127"/>
      <c r="L63" s="127"/>
      <c r="M63" s="127"/>
      <c r="N63" s="127"/>
      <c r="O63" s="127"/>
      <c r="P63" s="127"/>
      <c r="Q63" s="127"/>
      <c r="R63" s="127"/>
      <c r="S63" s="127"/>
      <c r="T63" s="127"/>
      <c r="U63" s="127"/>
      <c r="V63" s="127"/>
    </row>
    <row r="64" spans="1:22" x14ac:dyDescent="0.2">
      <c r="A64" s="129"/>
      <c r="B64" s="129"/>
      <c r="C64" s="137"/>
      <c r="D64" s="138"/>
      <c r="E64" s="138"/>
      <c r="F64" s="138"/>
      <c r="G64" s="138"/>
      <c r="H64" s="127"/>
      <c r="I64" s="127"/>
      <c r="J64" s="127"/>
      <c r="K64" s="127"/>
      <c r="L64" s="127"/>
      <c r="M64" s="127"/>
      <c r="N64" s="127"/>
      <c r="O64" s="127"/>
      <c r="P64" s="127"/>
      <c r="Q64" s="127"/>
      <c r="R64" s="127"/>
      <c r="S64" s="127"/>
      <c r="T64" s="127"/>
      <c r="U64" s="127"/>
      <c r="V64" s="127"/>
    </row>
    <row r="65" spans="1:7" x14ac:dyDescent="0.2">
      <c r="A65" s="129"/>
      <c r="B65" s="129"/>
      <c r="C65" s="137"/>
      <c r="D65" s="138"/>
      <c r="E65" s="138"/>
      <c r="F65" s="138"/>
      <c r="G65" s="138"/>
    </row>
    <row r="66" spans="1:7" x14ac:dyDescent="0.2">
      <c r="A66" s="129"/>
      <c r="B66" s="129"/>
      <c r="C66" s="137"/>
      <c r="D66" s="138"/>
      <c r="E66" s="138"/>
      <c r="F66" s="138"/>
      <c r="G66" s="138"/>
    </row>
    <row r="67" spans="1:7" x14ac:dyDescent="0.2">
      <c r="A67" s="129"/>
      <c r="B67" s="129"/>
      <c r="C67" s="137"/>
      <c r="D67" s="138"/>
      <c r="E67" s="138"/>
      <c r="F67" s="138"/>
      <c r="G67" s="138"/>
    </row>
    <row r="68" spans="1:7" x14ac:dyDescent="0.2">
      <c r="A68" s="129"/>
      <c r="B68" s="129"/>
      <c r="C68" s="137"/>
      <c r="D68" s="138"/>
      <c r="E68" s="138"/>
      <c r="F68" s="138"/>
      <c r="G68" s="138"/>
    </row>
    <row r="69" spans="1:7" x14ac:dyDescent="0.2">
      <c r="A69" s="129"/>
      <c r="B69" s="129"/>
      <c r="C69" s="137"/>
      <c r="D69" s="138"/>
      <c r="E69" s="138"/>
      <c r="F69" s="138"/>
      <c r="G69" s="138"/>
    </row>
    <row r="70" spans="1:7" x14ac:dyDescent="0.2">
      <c r="A70" s="129"/>
      <c r="B70" s="129"/>
      <c r="C70" s="127"/>
      <c r="D70" s="127"/>
      <c r="E70" s="127"/>
      <c r="F70" s="127"/>
      <c r="G70" s="127"/>
    </row>
  </sheetData>
  <mergeCells count="3">
    <mergeCell ref="C2:E2"/>
    <mergeCell ref="N5:P5"/>
    <mergeCell ref="R5:T5"/>
  </mergeCells>
  <pageMargins left="0.7" right="0.7" top="0.75" bottom="0.75" header="0.3" footer="0.3"/>
  <pageSetup orientation="portrait" horizontalDpi="1200" verticalDpi="120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Y61"/>
  <sheetViews>
    <sheetView topLeftCell="A21" zoomScale="85" zoomScaleNormal="85" workbookViewId="0">
      <selection activeCell="M21" sqref="M21"/>
    </sheetView>
  </sheetViews>
  <sheetFormatPr defaultRowHeight="12.75" x14ac:dyDescent="0.2"/>
  <cols>
    <col min="4" max="4" width="37.42578125" customWidth="1"/>
    <col min="5" max="5" width="15.7109375" customWidth="1"/>
    <col min="9" max="9" width="13.28515625" customWidth="1"/>
    <col min="10" max="10" width="11.7109375" customWidth="1"/>
    <col min="11" max="11" width="11.42578125" customWidth="1"/>
    <col min="12" max="12" width="15" customWidth="1"/>
    <col min="13" max="13" width="13.7109375" customWidth="1"/>
  </cols>
  <sheetData>
    <row r="5" spans="3:4" x14ac:dyDescent="0.2">
      <c r="C5" s="118" t="s">
        <v>279</v>
      </c>
      <c r="D5" s="115"/>
    </row>
    <row r="7" spans="3:4" x14ac:dyDescent="0.2">
      <c r="C7" s="118" t="s">
        <v>280</v>
      </c>
      <c r="D7" s="115"/>
    </row>
    <row r="8" spans="3:4" x14ac:dyDescent="0.2">
      <c r="C8" s="118" t="s">
        <v>281</v>
      </c>
      <c r="D8" s="115"/>
    </row>
    <row r="10" spans="3:4" x14ac:dyDescent="0.2">
      <c r="C10" s="118" t="s">
        <v>282</v>
      </c>
      <c r="D10" s="115"/>
    </row>
    <row r="11" spans="3:4" x14ac:dyDescent="0.2">
      <c r="C11" s="118" t="s">
        <v>348</v>
      </c>
      <c r="D11" s="115"/>
    </row>
    <row r="12" spans="3:4" x14ac:dyDescent="0.2">
      <c r="C12" s="118" t="s">
        <v>349</v>
      </c>
      <c r="D12" s="115"/>
    </row>
    <row r="13" spans="3:4" x14ac:dyDescent="0.2">
      <c r="C13" s="118" t="s">
        <v>350</v>
      </c>
      <c r="D13" s="115"/>
    </row>
    <row r="14" spans="3:4" x14ac:dyDescent="0.2">
      <c r="C14" s="118" t="s">
        <v>293</v>
      </c>
      <c r="D14" s="118" t="s">
        <v>294</v>
      </c>
    </row>
    <row r="15" spans="3:4" ht="12" customHeight="1" x14ac:dyDescent="0.2">
      <c r="C15" s="118"/>
      <c r="D15" s="118" t="s">
        <v>296</v>
      </c>
    </row>
    <row r="16" spans="3:4" ht="12" customHeight="1" x14ac:dyDescent="0.2">
      <c r="C16" s="118"/>
      <c r="D16" s="118"/>
    </row>
    <row r="17" spans="3:13" ht="12" customHeight="1" x14ac:dyDescent="0.2">
      <c r="C17" s="118"/>
      <c r="D17" s="118"/>
      <c r="E17" s="115"/>
      <c r="F17" s="115"/>
      <c r="G17" s="115"/>
      <c r="H17" s="115"/>
      <c r="I17" s="115"/>
      <c r="J17" s="115"/>
      <c r="K17" s="115"/>
      <c r="L17" s="115"/>
      <c r="M17" s="115"/>
    </row>
    <row r="18" spans="3:13" ht="12" customHeight="1" x14ac:dyDescent="0.2">
      <c r="C18" s="118"/>
      <c r="D18" s="122" t="s">
        <v>311</v>
      </c>
      <c r="E18" s="115"/>
      <c r="F18" s="115"/>
      <c r="G18" s="115"/>
      <c r="H18" s="115"/>
      <c r="I18" s="115"/>
      <c r="J18" s="115"/>
      <c r="K18" s="115"/>
      <c r="L18" s="115"/>
      <c r="M18" s="115"/>
    </row>
    <row r="19" spans="3:13" x14ac:dyDescent="0.2">
      <c r="C19" s="118"/>
      <c r="D19" s="118" t="s">
        <v>309</v>
      </c>
      <c r="E19" s="115">
        <f>SOA!H25</f>
        <v>71</v>
      </c>
      <c r="F19" s="115"/>
      <c r="G19" s="115"/>
      <c r="H19" s="115"/>
      <c r="I19" s="115"/>
      <c r="J19" s="115"/>
      <c r="K19" s="115"/>
      <c r="L19" s="115"/>
      <c r="M19" s="115"/>
    </row>
    <row r="20" spans="3:13" x14ac:dyDescent="0.2">
      <c r="C20" s="115"/>
      <c r="D20" s="118" t="s">
        <v>291</v>
      </c>
      <c r="E20" s="115">
        <v>1.3</v>
      </c>
      <c r="F20" s="115"/>
      <c r="G20" s="115"/>
      <c r="H20" s="115"/>
      <c r="I20" s="123" t="s">
        <v>300</v>
      </c>
      <c r="J20" s="115"/>
      <c r="K20" s="121"/>
      <c r="L20" s="121"/>
      <c r="M20" s="121"/>
    </row>
    <row r="21" spans="3:13" x14ac:dyDescent="0.2">
      <c r="C21" s="115"/>
      <c r="D21" s="118" t="s">
        <v>283</v>
      </c>
      <c r="E21" s="115">
        <f>1/2*COUTMAX*VINMAX^2*0.000001</f>
        <v>2.9159999999999999</v>
      </c>
      <c r="F21" s="115"/>
      <c r="G21" s="115"/>
      <c r="H21" s="115"/>
      <c r="I21" s="115"/>
      <c r="J21" s="122" t="s">
        <v>301</v>
      </c>
      <c r="K21" s="126" t="s">
        <v>302</v>
      </c>
      <c r="L21" s="126" t="s">
        <v>303</v>
      </c>
      <c r="M21" s="126" t="s">
        <v>304</v>
      </c>
    </row>
    <row r="22" spans="3:13" x14ac:dyDescent="0.2">
      <c r="C22" s="115"/>
      <c r="D22" s="118" t="s">
        <v>285</v>
      </c>
      <c r="E22" s="115">
        <f>MAX(Equations!F68-E21,0)</f>
        <v>0.96458189887036072</v>
      </c>
      <c r="F22" s="115"/>
      <c r="G22" s="115"/>
      <c r="H22" s="115"/>
      <c r="I22" s="123" t="s">
        <v>305</v>
      </c>
      <c r="J22" s="119">
        <v>0.1</v>
      </c>
      <c r="K22" s="116">
        <v>1</v>
      </c>
      <c r="L22" s="121">
        <v>10</v>
      </c>
      <c r="M22" s="120">
        <v>100</v>
      </c>
    </row>
    <row r="23" spans="3:13" x14ac:dyDescent="0.2">
      <c r="C23" s="115"/>
      <c r="D23" s="118" t="s">
        <v>286</v>
      </c>
      <c r="E23" s="115">
        <f>Equations!F67</f>
        <v>61.363636363636367</v>
      </c>
      <c r="F23" s="115"/>
      <c r="G23" s="115"/>
      <c r="H23" s="115"/>
      <c r="I23" s="119" t="s">
        <v>306</v>
      </c>
      <c r="J23" s="116">
        <v>1</v>
      </c>
      <c r="K23" s="116">
        <v>10</v>
      </c>
      <c r="L23" s="121">
        <v>100</v>
      </c>
      <c r="M23" s="120">
        <v>1000</v>
      </c>
    </row>
    <row r="24" spans="3:13" x14ac:dyDescent="0.2">
      <c r="C24" s="115"/>
      <c r="D24" s="115"/>
      <c r="E24" s="115"/>
      <c r="F24" s="115"/>
      <c r="G24" s="115"/>
      <c r="H24" s="115"/>
      <c r="I24" s="119" t="s">
        <v>132</v>
      </c>
      <c r="J24" s="116">
        <f>SOA!C33</f>
        <v>10</v>
      </c>
      <c r="K24" s="116">
        <f>SOA!D33</f>
        <v>10</v>
      </c>
      <c r="L24" s="116">
        <f>SOA!E33</f>
        <v>4.4444444444444446</v>
      </c>
      <c r="M24" s="116">
        <f>SOA!F33</f>
        <v>1.1390625000000001</v>
      </c>
    </row>
    <row r="25" spans="3:13" x14ac:dyDescent="0.2">
      <c r="C25" s="115"/>
      <c r="D25" s="115" t="s">
        <v>139</v>
      </c>
      <c r="E25" s="115">
        <f>'Design Calculator'!F50</f>
        <v>12</v>
      </c>
      <c r="F25" s="115"/>
      <c r="G25" s="115"/>
      <c r="H25" s="115"/>
      <c r="I25" s="119" t="s">
        <v>133</v>
      </c>
      <c r="J25" s="114">
        <f>SOA!C34</f>
        <v>-1</v>
      </c>
      <c r="K25" s="114">
        <f>SOA!D34</f>
        <v>-0.69897000433601886</v>
      </c>
      <c r="L25" s="114">
        <f>SOA!E34</f>
        <v>-0.34678748622465633</v>
      </c>
      <c r="M25" s="114">
        <f>SOA!F34</f>
        <v>-5.1152522447381291E-2</v>
      </c>
    </row>
    <row r="26" spans="3:13" x14ac:dyDescent="0.2">
      <c r="C26" s="115"/>
      <c r="D26" s="115" t="s">
        <v>85</v>
      </c>
      <c r="E26" s="115" t="str">
        <f>'Design Calculator'!F51</f>
        <v>Constant Current</v>
      </c>
      <c r="F26" s="115"/>
      <c r="G26" s="115"/>
      <c r="H26" s="115"/>
      <c r="I26" s="115"/>
      <c r="J26" s="115"/>
      <c r="K26" s="115"/>
      <c r="L26" s="115"/>
      <c r="M26" s="115"/>
    </row>
    <row r="27" spans="3:13" x14ac:dyDescent="0.2">
      <c r="C27" s="127"/>
      <c r="D27" s="115" t="s">
        <v>86</v>
      </c>
      <c r="E27" s="115">
        <f>'Design Calculator'!F52</f>
        <v>1</v>
      </c>
      <c r="F27" s="127"/>
      <c r="G27" s="127"/>
      <c r="H27" s="127"/>
      <c r="I27" s="127"/>
      <c r="J27" s="127"/>
      <c r="K27" s="127"/>
      <c r="L27" s="127"/>
      <c r="M27" s="127"/>
    </row>
    <row r="28" spans="3:13" x14ac:dyDescent="0.2">
      <c r="C28" s="115"/>
      <c r="F28" s="115"/>
      <c r="I28" s="115"/>
      <c r="J28" s="115"/>
      <c r="K28" s="124" t="s">
        <v>322</v>
      </c>
      <c r="L28" s="122" t="s">
        <v>99</v>
      </c>
      <c r="M28" s="115"/>
    </row>
    <row r="29" spans="3:13" x14ac:dyDescent="0.2">
      <c r="C29" s="115"/>
      <c r="D29" s="115" t="s">
        <v>374</v>
      </c>
      <c r="E29" s="115">
        <f>'Design Calculator'!F49/VINMAX/3</f>
        <v>1.5432098765432098</v>
      </c>
      <c r="F29" s="115"/>
      <c r="I29" s="115" t="s">
        <v>320</v>
      </c>
      <c r="J29" s="115"/>
      <c r="K29" s="117">
        <f>SUM(E60:X60)</f>
        <v>0</v>
      </c>
      <c r="L29" s="117" t="str">
        <f>IF(K29=0, "NA", K29/AVERAGE(1, E33))</f>
        <v>NA</v>
      </c>
      <c r="M29" s="115"/>
    </row>
    <row r="30" spans="3:13" x14ac:dyDescent="0.2">
      <c r="C30" s="115"/>
      <c r="D30" s="118" t="s">
        <v>346</v>
      </c>
      <c r="E30" s="115">
        <f>dv_dt_recommendations!E29/(0.001*COUTMAX)</f>
        <v>0.77160493827160492</v>
      </c>
      <c r="F30" s="115"/>
      <c r="I30" s="115" t="s">
        <v>321</v>
      </c>
      <c r="J30" s="115"/>
      <c r="K30" s="117">
        <f>SUM(E61:X61)</f>
        <v>0</v>
      </c>
      <c r="L30" s="117" t="str">
        <f>IF(K30=0, "NA", K30*AVERAGE(1,E33))</f>
        <v>NA</v>
      </c>
      <c r="M30" s="115"/>
    </row>
    <row r="31" spans="3:13" x14ac:dyDescent="0.2">
      <c r="C31" s="115"/>
      <c r="D31" s="118" t="s">
        <v>347</v>
      </c>
      <c r="E31" s="115">
        <v>0.1</v>
      </c>
      <c r="F31" s="115"/>
      <c r="G31" s="115"/>
      <c r="H31" s="115"/>
      <c r="I31" s="115"/>
      <c r="J31" s="115"/>
      <c r="K31" s="115"/>
      <c r="L31" s="115"/>
      <c r="M31" s="115"/>
    </row>
    <row r="32" spans="3:13" x14ac:dyDescent="0.2">
      <c r="C32" s="115"/>
      <c r="D32" s="118" t="s">
        <v>312</v>
      </c>
      <c r="E32" s="115">
        <v>20</v>
      </c>
      <c r="F32" s="115"/>
      <c r="G32" s="115"/>
      <c r="H32" s="115"/>
      <c r="I32" s="115"/>
      <c r="J32" s="115"/>
      <c r="K32" s="115"/>
      <c r="L32" s="115"/>
      <c r="M32" s="115"/>
    </row>
    <row r="33" spans="3:24" x14ac:dyDescent="0.2">
      <c r="C33" s="115"/>
      <c r="D33" s="118" t="s">
        <v>313</v>
      </c>
      <c r="E33" s="115">
        <f>(E31/E30)^(1/(E32-1))</f>
        <v>0.898038591568879</v>
      </c>
      <c r="F33" s="115"/>
      <c r="G33" s="115"/>
      <c r="H33" s="115"/>
      <c r="I33" s="115"/>
      <c r="J33" s="115"/>
      <c r="K33" s="115"/>
      <c r="L33" s="115"/>
      <c r="M33" s="115"/>
    </row>
    <row r="34" spans="3:24" x14ac:dyDescent="0.2">
      <c r="C34" s="127"/>
      <c r="D34" s="131"/>
      <c r="E34" s="127"/>
      <c r="F34" s="127"/>
      <c r="G34" s="127"/>
      <c r="H34" s="127"/>
      <c r="I34" s="127"/>
      <c r="J34" s="127"/>
      <c r="K34" s="127"/>
      <c r="L34" s="127"/>
      <c r="M34" s="127"/>
    </row>
    <row r="35" spans="3:24" x14ac:dyDescent="0.2">
      <c r="D35" s="118" t="s">
        <v>373</v>
      </c>
      <c r="E35" s="115"/>
      <c r="F35" s="115"/>
      <c r="G35" s="115"/>
      <c r="H35" s="115"/>
      <c r="I35" s="115"/>
      <c r="J35" s="115"/>
      <c r="K35" s="115"/>
      <c r="L35" s="115"/>
      <c r="M35" s="115"/>
      <c r="N35" s="115"/>
      <c r="O35" s="115"/>
      <c r="P35" s="115"/>
      <c r="Q35" s="115"/>
      <c r="R35" s="115"/>
      <c r="S35" s="115"/>
      <c r="T35" s="115"/>
      <c r="U35" s="115"/>
      <c r="V35" s="115"/>
      <c r="W35" s="115"/>
      <c r="X35" s="115"/>
    </row>
    <row r="36" spans="3:24" x14ac:dyDescent="0.2">
      <c r="D36" s="115"/>
      <c r="E36" s="115">
        <v>1</v>
      </c>
      <c r="F36" s="115">
        <v>2</v>
      </c>
      <c r="G36" s="115">
        <v>3</v>
      </c>
      <c r="H36" s="115">
        <v>4</v>
      </c>
      <c r="I36" s="115">
        <v>5</v>
      </c>
      <c r="J36" s="115">
        <v>6</v>
      </c>
      <c r="K36" s="115">
        <v>7</v>
      </c>
      <c r="L36" s="115">
        <v>8</v>
      </c>
      <c r="M36" s="115">
        <v>9</v>
      </c>
      <c r="N36" s="115">
        <v>10</v>
      </c>
      <c r="O36" s="115">
        <v>11</v>
      </c>
      <c r="P36" s="115">
        <v>12</v>
      </c>
      <c r="Q36" s="115">
        <v>13</v>
      </c>
      <c r="R36" s="115">
        <v>14</v>
      </c>
      <c r="S36" s="115">
        <v>15</v>
      </c>
      <c r="T36" s="115">
        <v>16</v>
      </c>
      <c r="U36" s="115">
        <v>17</v>
      </c>
      <c r="V36" s="115">
        <v>18</v>
      </c>
      <c r="W36" s="115">
        <v>19</v>
      </c>
      <c r="X36" s="115">
        <v>20</v>
      </c>
    </row>
    <row r="37" spans="3:24" x14ac:dyDescent="0.2">
      <c r="D37" s="125" t="s">
        <v>284</v>
      </c>
      <c r="E37" s="125">
        <f>E30</f>
        <v>0.77160493827160492</v>
      </c>
      <c r="F37" s="125">
        <f t="shared" ref="F37:X37" si="0">E37*$E$33</f>
        <v>0.69293101201302387</v>
      </c>
      <c r="G37" s="125">
        <f t="shared" si="0"/>
        <v>0.62227879008257392</v>
      </c>
      <c r="H37" s="125">
        <f t="shared" si="0"/>
        <v>0.55883036820894083</v>
      </c>
      <c r="I37" s="125">
        <f t="shared" si="0"/>
        <v>0.50185123679227528</v>
      </c>
      <c r="J37" s="125">
        <f t="shared" si="0"/>
        <v>0.45068177786603486</v>
      </c>
      <c r="K37" s="125">
        <f t="shared" si="0"/>
        <v>0.4047296290405723</v>
      </c>
      <c r="L37" s="125">
        <f t="shared" si="0"/>
        <v>0.36346282602979041</v>
      </c>
      <c r="M37" s="125">
        <f t="shared" si="0"/>
        <v>0.32640364437543745</v>
      </c>
      <c r="N37" s="125">
        <f t="shared" si="0"/>
        <v>0.29312306907786712</v>
      </c>
      <c r="O37" s="125">
        <f t="shared" si="0"/>
        <v>0.26323582811103502</v>
      </c>
      <c r="P37" s="125">
        <f t="shared" si="0"/>
        <v>0.23639593232730141</v>
      </c>
      <c r="Q37" s="125">
        <f t="shared" si="0"/>
        <v>0.21229267011982178</v>
      </c>
      <c r="R37" s="125">
        <f t="shared" si="0"/>
        <v>0.1906470104748014</v>
      </c>
      <c r="S37" s="125">
        <f t="shared" si="0"/>
        <v>0.17120837277360798</v>
      </c>
      <c r="T37" s="125">
        <f t="shared" si="0"/>
        <v>0.15375172595041053</v>
      </c>
      <c r="U37" s="125">
        <f t="shared" si="0"/>
        <v>0.13807498342379093</v>
      </c>
      <c r="V37" s="125">
        <f t="shared" si="0"/>
        <v>0.12399666364479753</v>
      </c>
      <c r="W37" s="125">
        <f t="shared" si="0"/>
        <v>0.111353789178814</v>
      </c>
      <c r="X37" s="125">
        <f t="shared" si="0"/>
        <v>0.1</v>
      </c>
    </row>
    <row r="38" spans="3:24" x14ac:dyDescent="0.2">
      <c r="D38" s="118" t="s">
        <v>287</v>
      </c>
      <c r="E38" s="115">
        <f t="shared" ref="E38:X38" si="1">VINMAX/E37</f>
        <v>69.983999999999995</v>
      </c>
      <c r="F38" s="115">
        <f t="shared" si="1"/>
        <v>77.929835818901196</v>
      </c>
      <c r="G38" s="115">
        <f t="shared" si="1"/>
        <v>86.77782508517511</v>
      </c>
      <c r="H38" s="115">
        <f t="shared" si="1"/>
        <v>96.630396399305852</v>
      </c>
      <c r="I38" s="115">
        <f t="shared" si="1"/>
        <v>107.60160788913531</v>
      </c>
      <c r="J38" s="115">
        <f t="shared" si="1"/>
        <v>119.81846760188182</v>
      </c>
      <c r="K38" s="115">
        <f t="shared" si="1"/>
        <v>133.42240381068504</v>
      </c>
      <c r="L38" s="115">
        <f t="shared" si="1"/>
        <v>148.57090225665613</v>
      </c>
      <c r="M38" s="115">
        <f t="shared" si="1"/>
        <v>165.43932927993868</v>
      </c>
      <c r="N38" s="115">
        <f t="shared" si="1"/>
        <v>184.22296194522679</v>
      </c>
      <c r="O38" s="115">
        <f t="shared" si="1"/>
        <v>205.13924866345457</v>
      </c>
      <c r="P38" s="115">
        <f t="shared" si="1"/>
        <v>228.43032647970622</v>
      </c>
      <c r="Q38" s="115">
        <f t="shared" si="1"/>
        <v>254.36582416868859</v>
      </c>
      <c r="R38" s="115">
        <f t="shared" si="1"/>
        <v>283.24598358775421</v>
      </c>
      <c r="S38" s="115">
        <f t="shared" si="1"/>
        <v>315.40513542176586</v>
      </c>
      <c r="T38" s="115">
        <f t="shared" si="1"/>
        <v>351.21556955670593</v>
      </c>
      <c r="U38" s="115">
        <f t="shared" si="1"/>
        <v>391.09184488734519</v>
      </c>
      <c r="V38" s="115">
        <f t="shared" si="1"/>
        <v>435.49558845138858</v>
      </c>
      <c r="W38" s="115">
        <f t="shared" si="1"/>
        <v>484.94083944719466</v>
      </c>
      <c r="X38" s="115">
        <f t="shared" si="1"/>
        <v>540</v>
      </c>
    </row>
    <row r="39" spans="3:24" x14ac:dyDescent="0.2">
      <c r="D39" s="118" t="s">
        <v>288</v>
      </c>
      <c r="E39" s="115">
        <f t="shared" ref="E39:X39" si="2">E37*COUTMAX/1000</f>
        <v>1.5432098765432098</v>
      </c>
      <c r="F39" s="115">
        <f t="shared" si="2"/>
        <v>1.3858620240260477</v>
      </c>
      <c r="G39" s="115">
        <f t="shared" si="2"/>
        <v>1.2445575801651478</v>
      </c>
      <c r="H39" s="115">
        <f t="shared" si="2"/>
        <v>1.1176607364178817</v>
      </c>
      <c r="I39" s="115">
        <f t="shared" si="2"/>
        <v>1.0037024735845506</v>
      </c>
      <c r="J39" s="115">
        <f t="shared" si="2"/>
        <v>0.90136355573206972</v>
      </c>
      <c r="K39" s="115">
        <f t="shared" si="2"/>
        <v>0.80945925808114461</v>
      </c>
      <c r="L39" s="115">
        <f t="shared" si="2"/>
        <v>0.72692565205958082</v>
      </c>
      <c r="M39" s="115">
        <f t="shared" si="2"/>
        <v>0.6528072887508749</v>
      </c>
      <c r="N39" s="115">
        <f t="shared" si="2"/>
        <v>0.58624613815573423</v>
      </c>
      <c r="O39" s="115">
        <f t="shared" si="2"/>
        <v>0.52647165622207004</v>
      </c>
      <c r="P39" s="115">
        <f t="shared" si="2"/>
        <v>0.47279186465460282</v>
      </c>
      <c r="Q39" s="115">
        <f t="shared" si="2"/>
        <v>0.42458534023964356</v>
      </c>
      <c r="R39" s="115">
        <f t="shared" si="2"/>
        <v>0.3812940209496028</v>
      </c>
      <c r="S39" s="115">
        <f t="shared" si="2"/>
        <v>0.34241674554721596</v>
      </c>
      <c r="T39" s="115">
        <f t="shared" si="2"/>
        <v>0.30750345190082107</v>
      </c>
      <c r="U39" s="115">
        <f t="shared" si="2"/>
        <v>0.27614996684758186</v>
      </c>
      <c r="V39" s="115">
        <f t="shared" si="2"/>
        <v>0.24799332728959506</v>
      </c>
      <c r="W39" s="115">
        <f t="shared" si="2"/>
        <v>0.222707578357628</v>
      </c>
      <c r="X39" s="115">
        <f t="shared" si="2"/>
        <v>0.2</v>
      </c>
    </row>
    <row r="40" spans="3:24" x14ac:dyDescent="0.2">
      <c r="D40" s="118" t="s">
        <v>289</v>
      </c>
      <c r="E40" s="115">
        <f t="shared" ref="E40:X40" si="3">$E$21+$E$22*E38/$E$23</f>
        <v>4.0160863640236686</v>
      </c>
      <c r="F40" s="115">
        <f t="shared" si="3"/>
        <v>4.1409878505797968</v>
      </c>
      <c r="G40" s="115">
        <f t="shared" si="3"/>
        <v>4.2800703886007119</v>
      </c>
      <c r="H40" s="115">
        <f t="shared" si="3"/>
        <v>4.4349440647730649</v>
      </c>
      <c r="I40" s="115">
        <f t="shared" si="3"/>
        <v>4.6074017716315065</v>
      </c>
      <c r="J40" s="115">
        <f t="shared" si="3"/>
        <v>4.7994399629492737</v>
      </c>
      <c r="K40" s="115">
        <f t="shared" si="3"/>
        <v>5.0132817656520672</v>
      </c>
      <c r="L40" s="115">
        <f t="shared" si="3"/>
        <v>5.2514027158099097</v>
      </c>
      <c r="M40" s="115">
        <f t="shared" si="3"/>
        <v>5.5165594166392644</v>
      </c>
      <c r="N40" s="115">
        <f t="shared" si="3"/>
        <v>5.8118214502742802</v>
      </c>
      <c r="O40" s="115">
        <f t="shared" si="3"/>
        <v>6.140606912733297</v>
      </c>
      <c r="P40" s="115">
        <f t="shared" si="3"/>
        <v>6.5067219834504977</v>
      </c>
      <c r="Q40" s="115">
        <f t="shared" si="3"/>
        <v>6.9144049874487958</v>
      </c>
      <c r="R40" s="115">
        <f t="shared" si="3"/>
        <v>7.3683754602389175</v>
      </c>
      <c r="S40" s="115">
        <f t="shared" si="3"/>
        <v>7.8738887834436913</v>
      </c>
      <c r="T40" s="115">
        <f t="shared" si="3"/>
        <v>8.436797023635954</v>
      </c>
      <c r="U40" s="115">
        <f t="shared" si="3"/>
        <v>9.0636166786898187</v>
      </c>
      <c r="V40" s="115">
        <f t="shared" si="3"/>
        <v>9.7616041159098685</v>
      </c>
      <c r="W40" s="115">
        <f t="shared" si="3"/>
        <v>10.538839575246488</v>
      </c>
      <c r="X40" s="115">
        <f t="shared" si="3"/>
        <v>11.404320710059174</v>
      </c>
    </row>
    <row r="41" spans="3:24" x14ac:dyDescent="0.2">
      <c r="D41" s="118" t="s">
        <v>292</v>
      </c>
      <c r="E41" s="115">
        <f t="shared" ref="E41:X41" si="4">(E39+IF($E$26="Resistive",0,IF($E$25=0,$E$27,0)))*VINMAX</f>
        <v>83.333333333333329</v>
      </c>
      <c r="F41" s="115">
        <f t="shared" si="4"/>
        <v>74.836549297406577</v>
      </c>
      <c r="G41" s="115">
        <f t="shared" si="4"/>
        <v>67.206109328917989</v>
      </c>
      <c r="H41" s="115">
        <f t="shared" si="4"/>
        <v>60.353679766565612</v>
      </c>
      <c r="I41" s="115">
        <f t="shared" si="4"/>
        <v>54.19993357356573</v>
      </c>
      <c r="J41" s="115">
        <f t="shared" si="4"/>
        <v>48.673632009531765</v>
      </c>
      <c r="K41" s="115">
        <f t="shared" si="4"/>
        <v>43.710799936381811</v>
      </c>
      <c r="L41" s="115">
        <f t="shared" si="4"/>
        <v>39.253985211217362</v>
      </c>
      <c r="M41" s="115">
        <f t="shared" si="4"/>
        <v>35.251593592547245</v>
      </c>
      <c r="N41" s="115">
        <f t="shared" si="4"/>
        <v>31.657291460409649</v>
      </c>
      <c r="O41" s="115">
        <f t="shared" si="4"/>
        <v>28.429469435991781</v>
      </c>
      <c r="P41" s="115">
        <f t="shared" si="4"/>
        <v>25.530760691348551</v>
      </c>
      <c r="Q41" s="115">
        <f t="shared" si="4"/>
        <v>22.927608372940753</v>
      </c>
      <c r="R41" s="115">
        <f t="shared" si="4"/>
        <v>20.589877131278552</v>
      </c>
      <c r="S41" s="115">
        <f t="shared" si="4"/>
        <v>18.490504259549663</v>
      </c>
      <c r="T41" s="115">
        <f t="shared" si="4"/>
        <v>16.605186402644339</v>
      </c>
      <c r="U41" s="115">
        <f t="shared" si="4"/>
        <v>14.91209820976942</v>
      </c>
      <c r="V41" s="115">
        <f t="shared" si="4"/>
        <v>13.391639673638133</v>
      </c>
      <c r="W41" s="115">
        <f t="shared" si="4"/>
        <v>12.026209231311912</v>
      </c>
      <c r="X41" s="115">
        <f t="shared" si="4"/>
        <v>10.8</v>
      </c>
    </row>
    <row r="42" spans="3:24" x14ac:dyDescent="0.2">
      <c r="D42" s="118" t="s">
        <v>290</v>
      </c>
      <c r="E42" s="115">
        <f t="shared" ref="E42:X42" si="5">(E39+IF($E$26="Resistive", $E$25/$E$27,$E$27)) *(VINMAX-$E$25)</f>
        <v>106.81481481481481</v>
      </c>
      <c r="F42" s="115">
        <f t="shared" si="5"/>
        <v>100.20620500909401</v>
      </c>
      <c r="G42" s="115">
        <f t="shared" si="5"/>
        <v>94.271418366936203</v>
      </c>
      <c r="H42" s="115">
        <f t="shared" si="5"/>
        <v>88.941750929551034</v>
      </c>
      <c r="I42" s="115">
        <f t="shared" si="5"/>
        <v>84.155503890551131</v>
      </c>
      <c r="J42" s="115">
        <f t="shared" si="5"/>
        <v>79.857269340746925</v>
      </c>
      <c r="K42" s="115">
        <f t="shared" si="5"/>
        <v>75.997288839408071</v>
      </c>
      <c r="L42" s="115">
        <f t="shared" si="5"/>
        <v>72.530877386502397</v>
      </c>
      <c r="M42" s="115">
        <f t="shared" si="5"/>
        <v>69.417906127536753</v>
      </c>
      <c r="N42" s="115">
        <f t="shared" si="5"/>
        <v>66.622337802540841</v>
      </c>
      <c r="O42" s="115">
        <f t="shared" si="5"/>
        <v>64.111809561326936</v>
      </c>
      <c r="P42" s="115">
        <f t="shared" si="5"/>
        <v>61.857258315493318</v>
      </c>
      <c r="Q42" s="115">
        <f t="shared" si="5"/>
        <v>59.832584290065029</v>
      </c>
      <c r="R42" s="115">
        <f t="shared" si="5"/>
        <v>58.014348879883315</v>
      </c>
      <c r="S42" s="115">
        <f t="shared" si="5"/>
        <v>56.381503312983071</v>
      </c>
      <c r="T42" s="115">
        <f t="shared" si="5"/>
        <v>54.915144979834487</v>
      </c>
      <c r="U42" s="115">
        <f t="shared" si="5"/>
        <v>53.598298607598437</v>
      </c>
      <c r="V42" s="115">
        <f t="shared" si="5"/>
        <v>52.415719746162992</v>
      </c>
      <c r="W42" s="115">
        <f t="shared" si="5"/>
        <v>51.353718291020378</v>
      </c>
      <c r="X42" s="115">
        <f t="shared" si="5"/>
        <v>50.4</v>
      </c>
    </row>
    <row r="43" spans="3:24" x14ac:dyDescent="0.2">
      <c r="D43" s="118" t="s">
        <v>295</v>
      </c>
      <c r="E43" s="115">
        <f t="shared" ref="E43:X43" si="6">IF($E$26="Resistive", -$E$27*E39/2 + VINMAX/2, -1)</f>
        <v>-1</v>
      </c>
      <c r="F43" s="115">
        <f t="shared" si="6"/>
        <v>-1</v>
      </c>
      <c r="G43" s="115">
        <f t="shared" si="6"/>
        <v>-1</v>
      </c>
      <c r="H43" s="115">
        <f t="shared" si="6"/>
        <v>-1</v>
      </c>
      <c r="I43" s="115">
        <f t="shared" si="6"/>
        <v>-1</v>
      </c>
      <c r="J43" s="115">
        <f t="shared" si="6"/>
        <v>-1</v>
      </c>
      <c r="K43" s="115">
        <f t="shared" si="6"/>
        <v>-1</v>
      </c>
      <c r="L43" s="115">
        <f t="shared" si="6"/>
        <v>-1</v>
      </c>
      <c r="M43" s="115">
        <f t="shared" si="6"/>
        <v>-1</v>
      </c>
      <c r="N43" s="115">
        <f t="shared" si="6"/>
        <v>-1</v>
      </c>
      <c r="O43" s="115">
        <f t="shared" si="6"/>
        <v>-1</v>
      </c>
      <c r="P43" s="115">
        <f t="shared" si="6"/>
        <v>-1</v>
      </c>
      <c r="Q43" s="115">
        <f t="shared" si="6"/>
        <v>-1</v>
      </c>
      <c r="R43" s="115">
        <f t="shared" si="6"/>
        <v>-1</v>
      </c>
      <c r="S43" s="115">
        <f t="shared" si="6"/>
        <v>-1</v>
      </c>
      <c r="T43" s="115">
        <f t="shared" si="6"/>
        <v>-1</v>
      </c>
      <c r="U43" s="115">
        <f t="shared" si="6"/>
        <v>-1</v>
      </c>
      <c r="V43" s="115">
        <f t="shared" si="6"/>
        <v>-1</v>
      </c>
      <c r="W43" s="115">
        <f t="shared" si="6"/>
        <v>-1</v>
      </c>
      <c r="X43" s="115">
        <f t="shared" si="6"/>
        <v>-1</v>
      </c>
    </row>
    <row r="44" spans="3:24" x14ac:dyDescent="0.2">
      <c r="D44" s="118" t="s">
        <v>297</v>
      </c>
      <c r="E44" s="115">
        <f t="shared" ref="E44:X44" si="7">IF(AND(E43&lt;VINMAX, E43&gt;$E$25), (VINMAX-E43)*(E39+E43/$E$27), 0)</f>
        <v>0</v>
      </c>
      <c r="F44" s="115">
        <f t="shared" si="7"/>
        <v>0</v>
      </c>
      <c r="G44" s="115">
        <f t="shared" si="7"/>
        <v>0</v>
      </c>
      <c r="H44" s="115">
        <f t="shared" si="7"/>
        <v>0</v>
      </c>
      <c r="I44" s="115">
        <f t="shared" si="7"/>
        <v>0</v>
      </c>
      <c r="J44" s="115">
        <f t="shared" si="7"/>
        <v>0</v>
      </c>
      <c r="K44" s="115">
        <f t="shared" si="7"/>
        <v>0</v>
      </c>
      <c r="L44" s="115">
        <f t="shared" si="7"/>
        <v>0</v>
      </c>
      <c r="M44" s="115">
        <f t="shared" si="7"/>
        <v>0</v>
      </c>
      <c r="N44" s="115">
        <f t="shared" si="7"/>
        <v>0</v>
      </c>
      <c r="O44" s="115">
        <f t="shared" si="7"/>
        <v>0</v>
      </c>
      <c r="P44" s="115">
        <f t="shared" si="7"/>
        <v>0</v>
      </c>
      <c r="Q44" s="115">
        <f t="shared" si="7"/>
        <v>0</v>
      </c>
      <c r="R44" s="115">
        <f t="shared" si="7"/>
        <v>0</v>
      </c>
      <c r="S44" s="115">
        <f t="shared" si="7"/>
        <v>0</v>
      </c>
      <c r="T44" s="115">
        <f t="shared" si="7"/>
        <v>0</v>
      </c>
      <c r="U44" s="115">
        <f t="shared" si="7"/>
        <v>0</v>
      </c>
      <c r="V44" s="115">
        <f t="shared" si="7"/>
        <v>0</v>
      </c>
      <c r="W44" s="115">
        <f t="shared" si="7"/>
        <v>0</v>
      </c>
      <c r="X44" s="115">
        <f t="shared" si="7"/>
        <v>0</v>
      </c>
    </row>
    <row r="46" spans="3:24" x14ac:dyDescent="0.2">
      <c r="D46" s="118" t="s">
        <v>298</v>
      </c>
      <c r="E46" s="115">
        <f t="shared" ref="E46:X46" si="8">MAX(E41,E42,E44)</f>
        <v>106.81481481481481</v>
      </c>
      <c r="F46" s="115">
        <f t="shared" si="8"/>
        <v>100.20620500909401</v>
      </c>
      <c r="G46" s="115">
        <f t="shared" si="8"/>
        <v>94.271418366936203</v>
      </c>
      <c r="H46" s="115">
        <f t="shared" si="8"/>
        <v>88.941750929551034</v>
      </c>
      <c r="I46" s="115">
        <f t="shared" si="8"/>
        <v>84.155503890551131</v>
      </c>
      <c r="J46" s="115">
        <f t="shared" si="8"/>
        <v>79.857269340746925</v>
      </c>
      <c r="K46" s="115">
        <f t="shared" si="8"/>
        <v>75.997288839408071</v>
      </c>
      <c r="L46" s="115">
        <f t="shared" si="8"/>
        <v>72.530877386502397</v>
      </c>
      <c r="M46" s="115">
        <f t="shared" si="8"/>
        <v>69.417906127536753</v>
      </c>
      <c r="N46" s="115">
        <f t="shared" si="8"/>
        <v>66.622337802540841</v>
      </c>
      <c r="O46" s="115">
        <f t="shared" si="8"/>
        <v>64.111809561326936</v>
      </c>
      <c r="P46" s="115">
        <f t="shared" si="8"/>
        <v>61.857258315493318</v>
      </c>
      <c r="Q46" s="115">
        <f t="shared" si="8"/>
        <v>59.832584290065029</v>
      </c>
      <c r="R46" s="115">
        <f t="shared" si="8"/>
        <v>58.014348879883315</v>
      </c>
      <c r="S46" s="115">
        <f t="shared" si="8"/>
        <v>56.381503312983071</v>
      </c>
      <c r="T46" s="115">
        <f t="shared" si="8"/>
        <v>54.915144979834487</v>
      </c>
      <c r="U46" s="115">
        <f t="shared" si="8"/>
        <v>53.598298607598437</v>
      </c>
      <c r="V46" s="115">
        <f t="shared" si="8"/>
        <v>52.415719746162992</v>
      </c>
      <c r="W46" s="115">
        <f t="shared" si="8"/>
        <v>51.353718291020378</v>
      </c>
      <c r="X46" s="115">
        <f t="shared" si="8"/>
        <v>50.4</v>
      </c>
    </row>
    <row r="47" spans="3:24" x14ac:dyDescent="0.2">
      <c r="D47" s="118" t="s">
        <v>299</v>
      </c>
      <c r="E47" s="115">
        <f t="shared" ref="E47:X47" si="9">E40/E46*1000</f>
        <v>37.5985893996668</v>
      </c>
      <c r="F47" s="115">
        <f t="shared" si="9"/>
        <v>41.324664976624852</v>
      </c>
      <c r="G47" s="115">
        <f t="shared" si="9"/>
        <v>45.401569879231388</v>
      </c>
      <c r="H47" s="115">
        <f t="shared" si="9"/>
        <v>49.863467026704868</v>
      </c>
      <c r="I47" s="115">
        <f t="shared" si="9"/>
        <v>54.748668341689054</v>
      </c>
      <c r="J47" s="115">
        <f t="shared" si="9"/>
        <v>60.100226348465618</v>
      </c>
      <c r="K47" s="115">
        <f t="shared" si="9"/>
        <v>65.966586995567283</v>
      </c>
      <c r="L47" s="115">
        <f t="shared" si="9"/>
        <v>72.402305128976252</v>
      </c>
      <c r="M47" s="115">
        <f t="shared" si="9"/>
        <v>79.468824751124998</v>
      </c>
      <c r="N47" s="115">
        <f t="shared" si="9"/>
        <v>87.235327398742669</v>
      </c>
      <c r="O47" s="115">
        <f t="shared" si="9"/>
        <v>95.779653619968798</v>
      </c>
      <c r="P47" s="115">
        <f t="shared" si="9"/>
        <v>105.18930454796389</v>
      </c>
      <c r="Q47" s="115">
        <f t="shared" si="9"/>
        <v>115.56253284879267</v>
      </c>
      <c r="R47" s="115">
        <f t="shared" si="9"/>
        <v>127.00953475311569</v>
      </c>
      <c r="S47" s="115">
        <f t="shared" si="9"/>
        <v>139.65375736319817</v>
      </c>
      <c r="T47" s="115">
        <f t="shared" si="9"/>
        <v>153.63333788400357</v>
      </c>
      <c r="U47" s="115">
        <f t="shared" si="9"/>
        <v>169.10269381955536</v>
      </c>
      <c r="V47" s="115">
        <f t="shared" si="9"/>
        <v>186.23428550028544</v>
      </c>
      <c r="W47" s="115">
        <f t="shared" si="9"/>
        <v>205.22057459448445</v>
      </c>
      <c r="X47" s="115">
        <f t="shared" si="9"/>
        <v>226.27620456466616</v>
      </c>
    </row>
    <row r="49" spans="4:25" x14ac:dyDescent="0.2">
      <c r="D49" s="118" t="s">
        <v>132</v>
      </c>
      <c r="E49" s="115">
        <f t="shared" ref="E49:X49" si="10">IF(E47&lt;$J$23,$J$24,IF(E47&lt;$K$23,$K$24,IF(E47&lt;$L$23,$L$24,$M$24)))</f>
        <v>4.4444444444444446</v>
      </c>
      <c r="F49" s="115">
        <f t="shared" si="10"/>
        <v>4.4444444444444446</v>
      </c>
      <c r="G49" s="115">
        <f t="shared" si="10"/>
        <v>4.4444444444444446</v>
      </c>
      <c r="H49" s="115">
        <f t="shared" si="10"/>
        <v>4.4444444444444446</v>
      </c>
      <c r="I49" s="115">
        <f t="shared" si="10"/>
        <v>4.4444444444444446</v>
      </c>
      <c r="J49" s="115">
        <f t="shared" si="10"/>
        <v>4.4444444444444446</v>
      </c>
      <c r="K49" s="115">
        <f t="shared" si="10"/>
        <v>4.4444444444444446</v>
      </c>
      <c r="L49" s="115">
        <f t="shared" si="10"/>
        <v>4.4444444444444446</v>
      </c>
      <c r="M49" s="115">
        <f t="shared" si="10"/>
        <v>4.4444444444444446</v>
      </c>
      <c r="N49" s="115">
        <f t="shared" si="10"/>
        <v>4.4444444444444446</v>
      </c>
      <c r="O49" s="115">
        <f t="shared" si="10"/>
        <v>4.4444444444444446</v>
      </c>
      <c r="P49" s="115">
        <f t="shared" si="10"/>
        <v>1.1390625000000001</v>
      </c>
      <c r="Q49" s="115">
        <f t="shared" si="10"/>
        <v>1.1390625000000001</v>
      </c>
      <c r="R49" s="115">
        <f t="shared" si="10"/>
        <v>1.1390625000000001</v>
      </c>
      <c r="S49" s="115">
        <f t="shared" si="10"/>
        <v>1.1390625000000001</v>
      </c>
      <c r="T49" s="115">
        <f t="shared" si="10"/>
        <v>1.1390625000000001</v>
      </c>
      <c r="U49" s="115">
        <f t="shared" si="10"/>
        <v>1.1390625000000001</v>
      </c>
      <c r="V49" s="115">
        <f t="shared" si="10"/>
        <v>1.1390625000000001</v>
      </c>
      <c r="W49" s="115">
        <f t="shared" si="10"/>
        <v>1.1390625000000001</v>
      </c>
      <c r="X49" s="115">
        <f t="shared" si="10"/>
        <v>1.1390625000000001</v>
      </c>
    </row>
    <row r="50" spans="4:25" x14ac:dyDescent="0.2">
      <c r="D50" s="118" t="s">
        <v>133</v>
      </c>
      <c r="E50" s="115">
        <f t="shared" ref="E50:X50" si="11">IF(E47&lt;$J$23,$J$25,IF(E47&lt;$K$23,$K$25,IF(E47&lt;$L$23,$L$25,$M$25)))</f>
        <v>-0.34678748622465633</v>
      </c>
      <c r="F50" s="115">
        <f t="shared" si="11"/>
        <v>-0.34678748622465633</v>
      </c>
      <c r="G50" s="115">
        <f t="shared" si="11"/>
        <v>-0.34678748622465633</v>
      </c>
      <c r="H50" s="115">
        <f t="shared" si="11"/>
        <v>-0.34678748622465633</v>
      </c>
      <c r="I50" s="115">
        <f t="shared" si="11"/>
        <v>-0.34678748622465633</v>
      </c>
      <c r="J50" s="115">
        <f t="shared" si="11"/>
        <v>-0.34678748622465633</v>
      </c>
      <c r="K50" s="115">
        <f t="shared" si="11"/>
        <v>-0.34678748622465633</v>
      </c>
      <c r="L50" s="115">
        <f t="shared" si="11"/>
        <v>-0.34678748622465633</v>
      </c>
      <c r="M50" s="115">
        <f t="shared" si="11"/>
        <v>-0.34678748622465633</v>
      </c>
      <c r="N50" s="115">
        <f t="shared" si="11"/>
        <v>-0.34678748622465633</v>
      </c>
      <c r="O50" s="115">
        <f t="shared" si="11"/>
        <v>-0.34678748622465633</v>
      </c>
      <c r="P50" s="115">
        <f t="shared" si="11"/>
        <v>-5.1152522447381291E-2</v>
      </c>
      <c r="Q50" s="115">
        <f t="shared" si="11"/>
        <v>-5.1152522447381291E-2</v>
      </c>
      <c r="R50" s="115">
        <f t="shared" si="11"/>
        <v>-5.1152522447381291E-2</v>
      </c>
      <c r="S50" s="115">
        <f t="shared" si="11"/>
        <v>-5.1152522447381291E-2</v>
      </c>
      <c r="T50" s="115">
        <f t="shared" si="11"/>
        <v>-5.1152522447381291E-2</v>
      </c>
      <c r="U50" s="115">
        <f t="shared" si="11"/>
        <v>-5.1152522447381291E-2</v>
      </c>
      <c r="V50" s="115">
        <f t="shared" si="11"/>
        <v>-5.1152522447381291E-2</v>
      </c>
      <c r="W50" s="115">
        <f t="shared" si="11"/>
        <v>-5.1152522447381291E-2</v>
      </c>
      <c r="X50" s="115">
        <f t="shared" si="11"/>
        <v>-5.1152522447381291E-2</v>
      </c>
    </row>
    <row r="52" spans="4:25" x14ac:dyDescent="0.2">
      <c r="D52" s="118" t="s">
        <v>307</v>
      </c>
      <c r="E52" s="115">
        <f t="shared" ref="E52:X52" si="12">E49*E47^E50*VINMAX</f>
        <v>68.227814332190391</v>
      </c>
      <c r="F52" s="115">
        <f t="shared" si="12"/>
        <v>66.028292574684215</v>
      </c>
      <c r="G52" s="115">
        <f t="shared" si="12"/>
        <v>63.908673038291639</v>
      </c>
      <c r="H52" s="115">
        <f t="shared" si="12"/>
        <v>61.864502692256124</v>
      </c>
      <c r="I52" s="115">
        <f t="shared" si="12"/>
        <v>59.891479918671777</v>
      </c>
      <c r="J52" s="115">
        <f t="shared" si="12"/>
        <v>57.985481530669567</v>
      </c>
      <c r="K52" s="115">
        <f t="shared" si="12"/>
        <v>56.14258949152584</v>
      </c>
      <c r="L52" s="115">
        <f t="shared" si="12"/>
        <v>54.359115835085895</v>
      </c>
      <c r="M52" s="115">
        <f t="shared" si="12"/>
        <v>52.631624320483546</v>
      </c>
      <c r="N52" s="115">
        <f t="shared" si="12"/>
        <v>50.95694750638593</v>
      </c>
      <c r="O52" s="115">
        <f t="shared" si="12"/>
        <v>49.332198193113086</v>
      </c>
      <c r="P52" s="115">
        <f t="shared" si="12"/>
        <v>48.474391639578052</v>
      </c>
      <c r="Q52" s="115">
        <f t="shared" si="12"/>
        <v>48.241746098546464</v>
      </c>
      <c r="R52" s="115">
        <f t="shared" si="12"/>
        <v>48.009234283748299</v>
      </c>
      <c r="S52" s="115">
        <f t="shared" si="12"/>
        <v>47.77673437380151</v>
      </c>
      <c r="T52" s="115">
        <f t="shared" si="12"/>
        <v>47.544147791664301</v>
      </c>
      <c r="U52" s="115">
        <f t="shared" si="12"/>
        <v>47.311399437469667</v>
      </c>
      <c r="V52" s="115">
        <f t="shared" si="12"/>
        <v>47.078437188901766</v>
      </c>
      <c r="W52" s="115">
        <f t="shared" si="12"/>
        <v>46.845230768131671</v>
      </c>
      <c r="X52" s="115">
        <f t="shared" si="12"/>
        <v>46.611770096132602</v>
      </c>
      <c r="Y52" s="115"/>
    </row>
    <row r="53" spans="4:25" x14ac:dyDescent="0.2">
      <c r="D53" s="118" t="s">
        <v>308</v>
      </c>
      <c r="E53" s="115">
        <f t="shared" ref="E53:X53" si="13">E52*(TJMAX-$E$19)/(TJMAX - 25)</f>
        <v>43.119978657944323</v>
      </c>
      <c r="F53" s="115">
        <f t="shared" si="13"/>
        <v>41.729880907200425</v>
      </c>
      <c r="G53" s="115">
        <f t="shared" si="13"/>
        <v>40.390281360200312</v>
      </c>
      <c r="H53" s="115">
        <f t="shared" si="13"/>
        <v>39.09836570150587</v>
      </c>
      <c r="I53" s="115">
        <f t="shared" si="13"/>
        <v>37.851415308600558</v>
      </c>
      <c r="J53" s="115">
        <f t="shared" si="13"/>
        <v>36.646824327383172</v>
      </c>
      <c r="K53" s="115">
        <f t="shared" si="13"/>
        <v>35.482116558644329</v>
      </c>
      <c r="L53" s="115">
        <f t="shared" si="13"/>
        <v>34.354961207774288</v>
      </c>
      <c r="M53" s="115">
        <f t="shared" si="13"/>
        <v>33.263186570545599</v>
      </c>
      <c r="N53" s="115">
        <f t="shared" si="13"/>
        <v>32.204790824035904</v>
      </c>
      <c r="O53" s="115">
        <f t="shared" si="13"/>
        <v>31.17794925804747</v>
      </c>
      <c r="P53" s="115">
        <f t="shared" si="13"/>
        <v>30.635815516213331</v>
      </c>
      <c r="Q53" s="115">
        <f t="shared" si="13"/>
        <v>30.488783534281367</v>
      </c>
      <c r="R53" s="115">
        <f t="shared" si="13"/>
        <v>30.341836067328924</v>
      </c>
      <c r="S53" s="115">
        <f t="shared" si="13"/>
        <v>30.194896124242554</v>
      </c>
      <c r="T53" s="115">
        <f t="shared" si="13"/>
        <v>30.047901404331839</v>
      </c>
      <c r="U53" s="115">
        <f t="shared" si="13"/>
        <v>29.90080444448083</v>
      </c>
      <c r="V53" s="115">
        <f t="shared" si="13"/>
        <v>29.753572303385919</v>
      </c>
      <c r="W53" s="115">
        <f t="shared" si="13"/>
        <v>29.606185845459215</v>
      </c>
      <c r="X53" s="115">
        <f t="shared" si="13"/>
        <v>29.458638700755806</v>
      </c>
      <c r="Y53" s="115"/>
    </row>
    <row r="54" spans="4:25" x14ac:dyDescent="0.2">
      <c r="D54" s="118" t="s">
        <v>310</v>
      </c>
      <c r="E54" s="115">
        <f t="shared" ref="E54:X54" si="14">E53/E46</f>
        <v>0.40368912058408346</v>
      </c>
      <c r="F54" s="115">
        <f t="shared" si="14"/>
        <v>0.41644008874912802</v>
      </c>
      <c r="G54" s="115">
        <f t="shared" si="14"/>
        <v>0.42844673454458587</v>
      </c>
      <c r="H54" s="115">
        <f t="shared" si="14"/>
        <v>0.43959518778166279</v>
      </c>
      <c r="I54" s="115">
        <f t="shared" si="14"/>
        <v>0.44977943876170484</v>
      </c>
      <c r="J54" s="115">
        <f t="shared" si="14"/>
        <v>0.45890405006228085</v>
      </c>
      <c r="K54" s="115">
        <f t="shared" si="14"/>
        <v>0.46688661004239967</v>
      </c>
      <c r="L54" s="115">
        <f t="shared" si="14"/>
        <v>0.47365980456438761</v>
      </c>
      <c r="M54" s="115">
        <f t="shared" si="14"/>
        <v>0.47917300342412272</v>
      </c>
      <c r="N54" s="115">
        <f t="shared" si="14"/>
        <v>0.48339328649028102</v>
      </c>
      <c r="O54" s="115">
        <f t="shared" si="14"/>
        <v>0.48630586894016492</v>
      </c>
      <c r="P54" s="115">
        <f t="shared" si="14"/>
        <v>0.4952663010048089</v>
      </c>
      <c r="Q54" s="115">
        <f t="shared" si="14"/>
        <v>0.50956822099599519</v>
      </c>
      <c r="R54" s="115">
        <f t="shared" si="14"/>
        <v>0.52300571588161127</v>
      </c>
      <c r="S54" s="115">
        <f t="shared" si="14"/>
        <v>0.53554613392668304</v>
      </c>
      <c r="T54" s="115">
        <f t="shared" si="14"/>
        <v>0.54716966358489627</v>
      </c>
      <c r="U54" s="115">
        <f t="shared" si="14"/>
        <v>0.55786853727185104</v>
      </c>
      <c r="V54" s="115">
        <f t="shared" si="14"/>
        <v>0.56764597428930619</v>
      </c>
      <c r="W54" s="115">
        <f t="shared" si="14"/>
        <v>0.57651494050891539</v>
      </c>
      <c r="X54" s="115">
        <f t="shared" si="14"/>
        <v>0.5844967996181708</v>
      </c>
      <c r="Y54" s="115"/>
    </row>
    <row r="56" spans="4:25" x14ac:dyDescent="0.2">
      <c r="D56" s="118" t="s">
        <v>314</v>
      </c>
      <c r="E56" s="115" t="str">
        <f t="shared" ref="E56:X56" si="15">IF(E54&gt;$E$20, "Y", "N")</f>
        <v>N</v>
      </c>
      <c r="F56" s="115" t="str">
        <f t="shared" si="15"/>
        <v>N</v>
      </c>
      <c r="G56" s="115" t="str">
        <f t="shared" si="15"/>
        <v>N</v>
      </c>
      <c r="H56" s="115" t="str">
        <f t="shared" si="15"/>
        <v>N</v>
      </c>
      <c r="I56" s="115" t="str">
        <f t="shared" si="15"/>
        <v>N</v>
      </c>
      <c r="J56" s="115" t="str">
        <f t="shared" si="15"/>
        <v>N</v>
      </c>
      <c r="K56" s="115" t="str">
        <f t="shared" si="15"/>
        <v>N</v>
      </c>
      <c r="L56" s="115" t="str">
        <f t="shared" si="15"/>
        <v>N</v>
      </c>
      <c r="M56" s="115" t="str">
        <f t="shared" si="15"/>
        <v>N</v>
      </c>
      <c r="N56" s="115" t="str">
        <f t="shared" si="15"/>
        <v>N</v>
      </c>
      <c r="O56" s="115" t="str">
        <f t="shared" si="15"/>
        <v>N</v>
      </c>
      <c r="P56" s="115" t="str">
        <f t="shared" si="15"/>
        <v>N</v>
      </c>
      <c r="Q56" s="115" t="str">
        <f t="shared" si="15"/>
        <v>N</v>
      </c>
      <c r="R56" s="115" t="str">
        <f t="shared" si="15"/>
        <v>N</v>
      </c>
      <c r="S56" s="115" t="str">
        <f t="shared" si="15"/>
        <v>N</v>
      </c>
      <c r="T56" s="115" t="str">
        <f t="shared" si="15"/>
        <v>N</v>
      </c>
      <c r="U56" s="115" t="str">
        <f t="shared" si="15"/>
        <v>N</v>
      </c>
      <c r="V56" s="115" t="str">
        <f t="shared" si="15"/>
        <v>N</v>
      </c>
      <c r="W56" s="115" t="str">
        <f t="shared" si="15"/>
        <v>N</v>
      </c>
      <c r="X56" s="115" t="str">
        <f t="shared" si="15"/>
        <v>N</v>
      </c>
      <c r="Y56" s="115" t="s">
        <v>317</v>
      </c>
    </row>
    <row r="57" spans="4:25" x14ac:dyDescent="0.2">
      <c r="D57" s="118" t="s">
        <v>315</v>
      </c>
      <c r="E57" s="115">
        <f>IF(E56="Y", 1, 0)</f>
        <v>0</v>
      </c>
      <c r="F57" s="115">
        <f t="shared" ref="F57:X57" si="16">IF(AND(F56="Y", E56="N"),  1, 0)</f>
        <v>0</v>
      </c>
      <c r="G57" s="115">
        <f t="shared" si="16"/>
        <v>0</v>
      </c>
      <c r="H57" s="115">
        <f t="shared" si="16"/>
        <v>0</v>
      </c>
      <c r="I57" s="115">
        <f t="shared" si="16"/>
        <v>0</v>
      </c>
      <c r="J57" s="115">
        <f t="shared" si="16"/>
        <v>0</v>
      </c>
      <c r="K57" s="115">
        <f t="shared" si="16"/>
        <v>0</v>
      </c>
      <c r="L57" s="115">
        <f t="shared" si="16"/>
        <v>0</v>
      </c>
      <c r="M57" s="115">
        <f t="shared" si="16"/>
        <v>0</v>
      </c>
      <c r="N57" s="115">
        <f t="shared" si="16"/>
        <v>0</v>
      </c>
      <c r="O57" s="115">
        <f t="shared" si="16"/>
        <v>0</v>
      </c>
      <c r="P57" s="115">
        <f t="shared" si="16"/>
        <v>0</v>
      </c>
      <c r="Q57" s="115">
        <f t="shared" si="16"/>
        <v>0</v>
      </c>
      <c r="R57" s="115">
        <f t="shared" si="16"/>
        <v>0</v>
      </c>
      <c r="S57" s="115">
        <f t="shared" si="16"/>
        <v>0</v>
      </c>
      <c r="T57" s="115">
        <f t="shared" si="16"/>
        <v>0</v>
      </c>
      <c r="U57" s="115">
        <f t="shared" si="16"/>
        <v>0</v>
      </c>
      <c r="V57" s="115">
        <f t="shared" si="16"/>
        <v>0</v>
      </c>
      <c r="W57" s="115">
        <f t="shared" si="16"/>
        <v>0</v>
      </c>
      <c r="X57" s="115">
        <f t="shared" si="16"/>
        <v>0</v>
      </c>
      <c r="Y57" s="115"/>
    </row>
    <row r="58" spans="4:25" x14ac:dyDescent="0.2">
      <c r="D58" s="118" t="s">
        <v>316</v>
      </c>
      <c r="E58" s="115">
        <v>0</v>
      </c>
      <c r="F58" s="115">
        <f t="shared" ref="F58:X58" si="17">IF(AND(F56="Y", G56="N"),  1, 0)</f>
        <v>0</v>
      </c>
      <c r="G58" s="115">
        <f t="shared" si="17"/>
        <v>0</v>
      </c>
      <c r="H58" s="115">
        <f t="shared" si="17"/>
        <v>0</v>
      </c>
      <c r="I58" s="115">
        <f t="shared" si="17"/>
        <v>0</v>
      </c>
      <c r="J58" s="115">
        <f t="shared" si="17"/>
        <v>0</v>
      </c>
      <c r="K58" s="115">
        <f t="shared" si="17"/>
        <v>0</v>
      </c>
      <c r="L58" s="115">
        <f t="shared" si="17"/>
        <v>0</v>
      </c>
      <c r="M58" s="115">
        <f t="shared" si="17"/>
        <v>0</v>
      </c>
      <c r="N58" s="115">
        <f t="shared" si="17"/>
        <v>0</v>
      </c>
      <c r="O58" s="115">
        <f t="shared" si="17"/>
        <v>0</v>
      </c>
      <c r="P58" s="115">
        <f t="shared" si="17"/>
        <v>0</v>
      </c>
      <c r="Q58" s="115">
        <f t="shared" si="17"/>
        <v>0</v>
      </c>
      <c r="R58" s="115">
        <f t="shared" si="17"/>
        <v>0</v>
      </c>
      <c r="S58" s="115">
        <f t="shared" si="17"/>
        <v>0</v>
      </c>
      <c r="T58" s="115">
        <f t="shared" si="17"/>
        <v>0</v>
      </c>
      <c r="U58" s="115">
        <f t="shared" si="17"/>
        <v>0</v>
      </c>
      <c r="V58" s="115">
        <f t="shared" si="17"/>
        <v>0</v>
      </c>
      <c r="W58" s="115">
        <f t="shared" si="17"/>
        <v>0</v>
      </c>
      <c r="X58" s="115">
        <f t="shared" si="17"/>
        <v>0</v>
      </c>
      <c r="Y58" s="115"/>
    </row>
    <row r="60" spans="4:25" x14ac:dyDescent="0.2">
      <c r="D60" s="115" t="s">
        <v>318</v>
      </c>
      <c r="E60" s="115">
        <f t="shared" ref="E60:X60" si="18">E57*E37</f>
        <v>0</v>
      </c>
      <c r="F60" s="115">
        <f t="shared" si="18"/>
        <v>0</v>
      </c>
      <c r="G60" s="115">
        <f t="shared" si="18"/>
        <v>0</v>
      </c>
      <c r="H60" s="115">
        <f t="shared" si="18"/>
        <v>0</v>
      </c>
      <c r="I60" s="115">
        <f t="shared" si="18"/>
        <v>0</v>
      </c>
      <c r="J60" s="115">
        <f t="shared" si="18"/>
        <v>0</v>
      </c>
      <c r="K60" s="115">
        <f t="shared" si="18"/>
        <v>0</v>
      </c>
      <c r="L60" s="115">
        <f t="shared" si="18"/>
        <v>0</v>
      </c>
      <c r="M60" s="115">
        <f t="shared" si="18"/>
        <v>0</v>
      </c>
      <c r="N60" s="115">
        <f t="shared" si="18"/>
        <v>0</v>
      </c>
      <c r="O60" s="115">
        <f t="shared" si="18"/>
        <v>0</v>
      </c>
      <c r="P60" s="115">
        <f t="shared" si="18"/>
        <v>0</v>
      </c>
      <c r="Q60" s="115">
        <f t="shared" si="18"/>
        <v>0</v>
      </c>
      <c r="R60" s="115">
        <f t="shared" si="18"/>
        <v>0</v>
      </c>
      <c r="S60" s="115">
        <f t="shared" si="18"/>
        <v>0</v>
      </c>
      <c r="T60" s="115">
        <f t="shared" si="18"/>
        <v>0</v>
      </c>
      <c r="U60" s="115">
        <f t="shared" si="18"/>
        <v>0</v>
      </c>
      <c r="V60" s="115">
        <f t="shared" si="18"/>
        <v>0</v>
      </c>
      <c r="W60" s="115">
        <f t="shared" si="18"/>
        <v>0</v>
      </c>
      <c r="X60" s="115">
        <f t="shared" si="18"/>
        <v>0</v>
      </c>
      <c r="Y60" s="115"/>
    </row>
    <row r="61" spans="4:25" x14ac:dyDescent="0.2">
      <c r="D61" s="115" t="s">
        <v>319</v>
      </c>
      <c r="E61" s="115">
        <f t="shared" ref="E61:X61" si="19">E37*E58</f>
        <v>0</v>
      </c>
      <c r="F61" s="115">
        <f t="shared" si="19"/>
        <v>0</v>
      </c>
      <c r="G61" s="115">
        <f t="shared" si="19"/>
        <v>0</v>
      </c>
      <c r="H61" s="115">
        <f t="shared" si="19"/>
        <v>0</v>
      </c>
      <c r="I61" s="115">
        <f t="shared" si="19"/>
        <v>0</v>
      </c>
      <c r="J61" s="115">
        <f t="shared" si="19"/>
        <v>0</v>
      </c>
      <c r="K61" s="115">
        <f t="shared" si="19"/>
        <v>0</v>
      </c>
      <c r="L61" s="115">
        <f t="shared" si="19"/>
        <v>0</v>
      </c>
      <c r="M61" s="115">
        <f t="shared" si="19"/>
        <v>0</v>
      </c>
      <c r="N61" s="115">
        <f t="shared" si="19"/>
        <v>0</v>
      </c>
      <c r="O61" s="115">
        <f t="shared" si="19"/>
        <v>0</v>
      </c>
      <c r="P61" s="115">
        <f t="shared" si="19"/>
        <v>0</v>
      </c>
      <c r="Q61" s="115">
        <f t="shared" si="19"/>
        <v>0</v>
      </c>
      <c r="R61" s="115">
        <f t="shared" si="19"/>
        <v>0</v>
      </c>
      <c r="S61" s="115">
        <f t="shared" si="19"/>
        <v>0</v>
      </c>
      <c r="T61" s="115">
        <f t="shared" si="19"/>
        <v>0</v>
      </c>
      <c r="U61" s="115">
        <f t="shared" si="19"/>
        <v>0</v>
      </c>
      <c r="V61" s="115">
        <f t="shared" si="19"/>
        <v>0</v>
      </c>
      <c r="W61" s="115">
        <f t="shared" si="19"/>
        <v>0</v>
      </c>
      <c r="X61" s="115">
        <f t="shared" si="19"/>
        <v>0</v>
      </c>
      <c r="Y61" s="115"/>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F72F43736E84F41BD4B3E7ABAD1B9F8" ma:contentTypeVersion="0" ma:contentTypeDescription="Create a new document." ma:contentTypeScope="" ma:versionID="6d41e9362d2f52e62f002b8bc1f10a2a">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B96B0A9-E706-44C7-A8F1-19DE24283961}">
  <ds:schemaRefs>
    <ds:schemaRef ds:uri="http://schemas.microsoft.com/sharepoint/v3/contenttype/forms"/>
  </ds:schemaRefs>
</ds:datastoreItem>
</file>

<file path=customXml/itemProps2.xml><?xml version="1.0" encoding="utf-8"?>
<ds:datastoreItem xmlns:ds="http://schemas.openxmlformats.org/officeDocument/2006/customXml" ds:itemID="{0918B9AA-0A0B-42F6-9D7E-CDEF53C1FA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D0E7213C-EB81-44CF-9757-6BC109954BCA}">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28</vt:i4>
      </vt:variant>
    </vt:vector>
  </HeadingPairs>
  <TitlesOfParts>
    <vt:vector size="35" baseType="lpstr">
      <vt:lpstr>Instructions</vt:lpstr>
      <vt:lpstr>Design Calculator</vt:lpstr>
      <vt:lpstr>Device Parmaters</vt:lpstr>
      <vt:lpstr>Equations</vt:lpstr>
      <vt:lpstr>Start_up</vt:lpstr>
      <vt:lpstr>SOA</vt:lpstr>
      <vt:lpstr>dv_dt_recommendations</vt:lpstr>
      <vt:lpstr>CLMAX</vt:lpstr>
      <vt:lpstr>CLMAX_Threshold</vt:lpstr>
      <vt:lpstr>CLMIN</vt:lpstr>
      <vt:lpstr>CLMIN_Threshold</vt:lpstr>
      <vt:lpstr>CLNOM</vt:lpstr>
      <vt:lpstr>CLNOM_Threshold</vt:lpstr>
      <vt:lpstr>COUTMAX</vt:lpstr>
      <vt:lpstr>FETPDISS</vt:lpstr>
      <vt:lpstr>I_Cout_ss</vt:lpstr>
      <vt:lpstr>IOUTMAX</vt:lpstr>
      <vt:lpstr>NUMFETS</vt:lpstr>
      <vt:lpstr>'Design Calculator'!Print_Area</vt:lpstr>
      <vt:lpstr>RDIV1</vt:lpstr>
      <vt:lpstr>RDIV2</vt:lpstr>
      <vt:lpstr>RDSON</vt:lpstr>
      <vt:lpstr>RPWR</vt:lpstr>
      <vt:lpstr>Rs</vt:lpstr>
      <vt:lpstr>RsEFF</vt:lpstr>
      <vt:lpstr>RsMAX</vt:lpstr>
      <vt:lpstr>ss_rate</vt:lpstr>
      <vt:lpstr>TAMB</vt:lpstr>
      <vt:lpstr>Tfault</vt:lpstr>
      <vt:lpstr>ThetaJA</vt:lpstr>
      <vt:lpstr>TJ</vt:lpstr>
      <vt:lpstr>TJMAX</vt:lpstr>
      <vt:lpstr>VINMAX</vt:lpstr>
      <vt:lpstr>VINMIN</vt:lpstr>
      <vt:lpstr>VINNOM</vt:lpstr>
    </vt:vector>
  </TitlesOfParts>
  <Company>NSC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TPS249x/8x Design Calculator</dc:title>
  <dc:creator>Timothy Hegarty</dc:creator>
  <cp:lastModifiedBy>Microsoft</cp:lastModifiedBy>
  <cp:lastPrinted>2017-06-27T13:32:36Z</cp:lastPrinted>
  <dcterms:created xsi:type="dcterms:W3CDTF">2009-04-21T16:00:33Z</dcterms:created>
  <dcterms:modified xsi:type="dcterms:W3CDTF">2017-06-27T13:37:17Z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0x010100CF72F43736E84F41BD4B3E7ABAD1B9F8</vt:lpwstr>
  </property>
</Properties>
</file>