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FADC" lockStructure="1"/>
  <bookViews>
    <workbookView xWindow="1485" yWindow="810" windowWidth="5955" windowHeight="4665" tabRatio="773" activeTab="1"/>
  </bookViews>
  <sheets>
    <sheet name="Instructions" sheetId="15" r:id="rId1"/>
    <sheet name="Design Calculator" sheetId="1" r:id="rId2"/>
    <sheet name="Device Parmaters" sheetId="6" state="hidden" r:id="rId3"/>
    <sheet name="Equations" sheetId="3" state="hidden" r:id="rId4"/>
    <sheet name="Start_up" sheetId="13" state="hidden" r:id="rId5"/>
    <sheet name="SOA" sheetId="7" state="hidden" r:id="rId6"/>
    <sheet name="dv_dt_recommendations" sheetId="14" state="hidden" r:id="rId7"/>
  </sheets>
  <externalReferences>
    <externalReference r:id="rId8"/>
    <externalReference r:id="rId9"/>
  </externalReferences>
  <definedNames>
    <definedName name="CLMAX">Equations!$F$26</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MAX">'Design Calculator'!$F$18</definedName>
    <definedName name="CTIMER">'Design Calculator'!#REF!</definedName>
    <definedName name="FETPDISS">'Design Calculator'!$F$42</definedName>
    <definedName name="I_Cout_ss">Equations!$F$66</definedName>
    <definedName name="ILIM" localSheetId="5">[1]ILIM_SOA_considerations!$C$25</definedName>
    <definedName name="ILIM">[2]ILIM_SOA_considerations!$C$25</definedName>
    <definedName name="Ilim_min" localSheetId="5">[1]ILIM_SOA_considerations!$C$61</definedName>
    <definedName name="Ilim_min">[2]ILIM_SOA_considerations!$C$61</definedName>
    <definedName name="IOUTMAX">'Design Calculator'!$F$17</definedName>
    <definedName name="MaxFETPW">'Design Calculator'!#REF!</definedName>
    <definedName name="NUMFETS">'Design Calculator'!$F$34</definedName>
    <definedName name="PLIM" localSheetId="5">[1]ILIM_SOA_considerations!$C$40</definedName>
    <definedName name="PLIM">[2]ILIM_SOA_considerations!$C$40</definedName>
    <definedName name="PLIMMAX">'Design Calculator'!#REF!</definedName>
    <definedName name="PLIMMIN">'Design Calculator'!#REF!</definedName>
    <definedName name="PLIMNOM">'Design Calculator'!#REF!</definedName>
    <definedName name="_xlnm.Print_Area" localSheetId="1">'Design Calculator'!$A$1:$M$157</definedName>
    <definedName name="RDIV1">'Design Calculator'!$F$25</definedName>
    <definedName name="RDIV2">'Design Calculator'!$F$26</definedName>
    <definedName name="RDSON">'Design Calculator'!$AN$35</definedName>
    <definedName name="RPWR">'Design Calculator'!$F$48</definedName>
    <definedName name="Rrflt" localSheetId="5">[1]ILIM_SOA_considerations!$C$46</definedName>
    <definedName name="Rrflt">[2]ILIM_SOA_considerations!$C$46</definedName>
    <definedName name="Rs">'Design Calculator'!$F$22</definedName>
    <definedName name="RsEFF">Equations!$F$23</definedName>
    <definedName name="Rsense" localSheetId="5">[1]ILIM_SOA_considerations!$C$30</definedName>
    <definedName name="Rsense">[2]ILIM_SOA_considerations!$C$30</definedName>
    <definedName name="RsMAX">'Design Calculator'!$F$20</definedName>
    <definedName name="SOA_av" localSheetId="5">[1]ILIM_SOA_considerations!$C$52</definedName>
    <definedName name="SOA_av">[2]ILIM_SOA_considerations!$C$52</definedName>
    <definedName name="solver_adj" localSheetId="5" hidden="1">SOA!#REF!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s_rate">Equations!$F$62</definedName>
    <definedName name="T_cap_charge" localSheetId="5">[1]ILIM_SOA_considerations!$C$45</definedName>
    <definedName name="T_cap_charge">[2]ILIM_SOA_considerations!$C$45</definedName>
    <definedName name="T_margin" localSheetId="5">[1]ILIM_SOA_considerations!$C$9</definedName>
    <definedName name="T_margin">[2]ILIM_SOA_considerations!$C$9</definedName>
    <definedName name="T_total" localSheetId="5">[1]ILIM_SOA_considerations!$C$47</definedName>
    <definedName name="T_total">[2]ILIM_SOA_considerations!$C$47</definedName>
    <definedName name="TAMB">'Design Calculator'!$F$19</definedName>
    <definedName name="Tfault">'Design Calculator'!$F$59</definedName>
    <definedName name="Tfaultmax">'Design Calculator'!#REF!</definedName>
    <definedName name="ThetaJA">'Design Calculator'!$F$33</definedName>
    <definedName name="TINSERT">'Design Calculator'!#REF!</definedName>
    <definedName name="TINSERTMAX">Equations!#REF!</definedName>
    <definedName name="TINSERTMIN">Equations!#REF!</definedName>
    <definedName name="TJ">'Design Calculator'!$F$43</definedName>
    <definedName name="TJMAX">'Design Calculator'!$AN$36</definedName>
    <definedName name="Tsd" localSheetId="5">[1]ILIM_SOA_considerations!$C$67</definedName>
    <definedName name="Tsd">[2]ILIM_SOA_considerations!$C$67</definedName>
    <definedName name="TSTARTMAX">Equations!#REF!</definedName>
    <definedName name="TSTARTMIN">Equations!#REF!</definedName>
    <definedName name="TSTARTNOM">Equations!#REF!</definedName>
    <definedName name="V_sns_cl_max" localSheetId="5">[1]ILIM_SOA_considerations!$C$15</definedName>
    <definedName name="V_sns_cl_max">[2]ILIM_SOA_considerations!$C$15</definedName>
    <definedName name="Vbus" localSheetId="5">[1]ILIM_SOA_considerations!$C$23</definedName>
    <definedName name="Vbus">[2]ILIM_SOA_considerations!$C$23</definedName>
    <definedName name="VINMAX">'Design Calculator'!$F$16</definedName>
    <definedName name="VINMIN">'Design Calculator'!$F$14</definedName>
    <definedName name="VINNOM">'Design Calculator'!$F$15</definedName>
  </definedNames>
  <calcPr calcId="145621"/>
</workbook>
</file>

<file path=xl/calcChain.xml><?xml version="1.0" encoding="utf-8"?>
<calcChain xmlns="http://schemas.openxmlformats.org/spreadsheetml/2006/main">
  <c r="A10" i="13" l="1"/>
  <c r="F95" i="1" l="1"/>
  <c r="F85" i="1"/>
  <c r="F94" i="1"/>
  <c r="F93" i="1"/>
  <c r="F91" i="1"/>
  <c r="F90" i="1"/>
  <c r="F89" i="1"/>
  <c r="F88" i="1"/>
  <c r="F87" i="1"/>
  <c r="F86" i="1"/>
  <c r="F90" i="3"/>
  <c r="F87" i="3"/>
  <c r="F88" i="3"/>
  <c r="F86" i="3"/>
  <c r="F89" i="3" l="1"/>
  <c r="F77" i="1" s="1"/>
  <c r="E94" i="3"/>
  <c r="D81" i="1" s="1"/>
  <c r="G95" i="3"/>
  <c r="F82" i="1" s="1"/>
  <c r="F95" i="3"/>
  <c r="E82" i="1" s="1"/>
  <c r="F94" i="3"/>
  <c r="E81" i="1" s="1"/>
  <c r="E95" i="3"/>
  <c r="D82" i="1" s="1"/>
  <c r="G94" i="3"/>
  <c r="F81" i="1" s="1"/>
  <c r="F57" i="3"/>
  <c r="D16" i="6"/>
  <c r="F44" i="3" l="1"/>
  <c r="F41" i="3"/>
  <c r="F20" i="3"/>
  <c r="F20" i="1" s="1"/>
  <c r="F46" i="3" l="1"/>
  <c r="AN36" i="1" l="1"/>
  <c r="AN37" i="1"/>
  <c r="AN38" i="1"/>
  <c r="AN39" i="1"/>
  <c r="AN40" i="1"/>
  <c r="AN41" i="1"/>
  <c r="AN35" i="1"/>
  <c r="F42" i="1" s="1"/>
  <c r="F43" i="1" s="1"/>
  <c r="C25" i="7" l="1"/>
  <c r="E27" i="14"/>
  <c r="E26" i="14"/>
  <c r="E25" i="14"/>
  <c r="E21" i="14"/>
  <c r="H24" i="7"/>
  <c r="H25" i="7" s="1"/>
  <c r="H9" i="7"/>
  <c r="C9" i="7"/>
  <c r="E19" i="14" l="1"/>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 i="13"/>
  <c r="B12" i="13"/>
  <c r="B10" i="13"/>
  <c r="B4" i="7"/>
  <c r="C4" i="7"/>
  <c r="D4" i="7"/>
  <c r="E4" i="7"/>
  <c r="F4" i="7"/>
  <c r="C34" i="7" l="1"/>
  <c r="C33" i="7" s="1"/>
  <c r="J24" i="14" s="1"/>
  <c r="E34" i="7"/>
  <c r="L25" i="14" s="1"/>
  <c r="F34" i="7"/>
  <c r="M25" i="14" s="1"/>
  <c r="D34" i="7"/>
  <c r="H27" i="7"/>
  <c r="E43" i="14"/>
  <c r="E44" i="14" s="1"/>
  <c r="F62" i="3"/>
  <c r="F63" i="3" l="1"/>
  <c r="J25" i="14"/>
  <c r="E33" i="7"/>
  <c r="L24" i="14" s="1"/>
  <c r="D33" i="7"/>
  <c r="K24" i="14" s="1"/>
  <c r="K25" i="14"/>
  <c r="F33" i="7"/>
  <c r="M24" i="14" s="1"/>
  <c r="F43" i="14"/>
  <c r="F44" i="14" s="1"/>
  <c r="F78" i="3"/>
  <c r="F79" i="3" s="1"/>
  <c r="F76" i="3"/>
  <c r="F2" i="13"/>
  <c r="G43" i="14" l="1"/>
  <c r="G44" i="14" s="1"/>
  <c r="H43" i="14" l="1"/>
  <c r="H44" i="14" s="1"/>
  <c r="I43" i="14" l="1"/>
  <c r="I44" i="14" s="1"/>
  <c r="F72" i="1"/>
  <c r="F77" i="3"/>
  <c r="F70" i="1" s="1"/>
  <c r="J43" i="14" l="1"/>
  <c r="J44" i="14" s="1"/>
  <c r="F64" i="3"/>
  <c r="F65" i="3" s="1"/>
  <c r="R2" i="13"/>
  <c r="Q2" i="13"/>
  <c r="A114" i="13"/>
  <c r="A113" i="13"/>
  <c r="A112" i="13"/>
  <c r="H2" i="13"/>
  <c r="F67" i="3" l="1"/>
  <c r="F66" i="3"/>
  <c r="K43" i="14"/>
  <c r="K44" i="14" s="1"/>
  <c r="F54" i="3"/>
  <c r="O164" i="3"/>
  <c r="E168" i="3"/>
  <c r="E166" i="3"/>
  <c r="L43" i="14" l="1"/>
  <c r="L44" i="14" s="1"/>
  <c r="F58" i="3"/>
  <c r="F59" i="1" s="1"/>
  <c r="F65" i="1"/>
  <c r="D2" i="13"/>
  <c r="G2" i="13"/>
  <c r="F39" i="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Y22" i="13"/>
  <c r="Y15" i="13"/>
  <c r="Y18" i="13" s="1"/>
  <c r="C8" i="7" l="1"/>
  <c r="C10" i="7" s="1"/>
  <c r="C12" i="7" s="1"/>
  <c r="C13" i="7" s="1"/>
  <c r="C15" i="7" s="1"/>
  <c r="K90" i="1"/>
  <c r="M43" i="14"/>
  <c r="M44" i="14" s="1"/>
  <c r="F67" i="1"/>
  <c r="C114" i="13"/>
  <c r="C113" i="13"/>
  <c r="C112" i="13"/>
  <c r="C80" i="13"/>
  <c r="C62" i="13"/>
  <c r="C111" i="13"/>
  <c r="C75" i="13"/>
  <c r="C43" i="13"/>
  <c r="C95" i="13"/>
  <c r="C91" i="13"/>
  <c r="C102" i="13"/>
  <c r="C76" i="13"/>
  <c r="C72" i="13"/>
  <c r="C15" i="13"/>
  <c r="C11" i="13"/>
  <c r="C101" i="13"/>
  <c r="C100" i="13"/>
  <c r="C98" i="13"/>
  <c r="C90" i="13"/>
  <c r="C79" i="13"/>
  <c r="C74" i="13"/>
  <c r="C58" i="13"/>
  <c r="C54" i="13"/>
  <c r="C49" i="13"/>
  <c r="C47" i="13"/>
  <c r="C39" i="13"/>
  <c r="C32" i="13"/>
  <c r="C23" i="13"/>
  <c r="C19" i="13"/>
  <c r="C110" i="13"/>
  <c r="C109" i="13"/>
  <c r="C107" i="13"/>
  <c r="C99" i="13"/>
  <c r="C96" i="13"/>
  <c r="C84" i="13"/>
  <c r="C82" i="13"/>
  <c r="C69" i="13"/>
  <c r="C67" i="13"/>
  <c r="C65" i="13"/>
  <c r="C63" i="13"/>
  <c r="C59" i="13"/>
  <c r="C36" i="13"/>
  <c r="C20" i="13"/>
  <c r="C105" i="13"/>
  <c r="C103" i="13"/>
  <c r="C92" i="13"/>
  <c r="C88" i="13"/>
  <c r="C87" i="13"/>
  <c r="C83" i="13"/>
  <c r="C71" i="13"/>
  <c r="C68" i="13"/>
  <c r="C66" i="13"/>
  <c r="C57" i="13"/>
  <c r="C55" i="13"/>
  <c r="C51" i="13"/>
  <c r="C46" i="13"/>
  <c r="C44" i="13"/>
  <c r="C40" i="13"/>
  <c r="C35" i="13"/>
  <c r="C31" i="13"/>
  <c r="C27" i="13"/>
  <c r="C50" i="13"/>
  <c r="C28" i="13"/>
  <c r="C24" i="13"/>
  <c r="C16" i="13"/>
  <c r="C12" i="13"/>
  <c r="C108" i="13"/>
  <c r="C94" i="13"/>
  <c r="C77" i="13"/>
  <c r="C106" i="13"/>
  <c r="C93" i="13"/>
  <c r="C86" i="13"/>
  <c r="C104" i="13"/>
  <c r="C85" i="13"/>
  <c r="C78" i="13"/>
  <c r="C97" i="13"/>
  <c r="C89" i="13"/>
  <c r="C81" i="13"/>
  <c r="C73" i="13"/>
  <c r="C61" i="13"/>
  <c r="C53" i="13"/>
  <c r="C70" i="13"/>
  <c r="C60" i="13"/>
  <c r="C52" i="13"/>
  <c r="C64" i="13"/>
  <c r="C56" i="13"/>
  <c r="C48" i="13"/>
  <c r="C45" i="13"/>
  <c r="C42" i="13"/>
  <c r="C41" i="13"/>
  <c r="C38" i="13"/>
  <c r="C37" i="13"/>
  <c r="C34" i="13"/>
  <c r="C33" i="13"/>
  <c r="C30" i="13"/>
  <c r="C29" i="13"/>
  <c r="C26" i="13"/>
  <c r="C25" i="13"/>
  <c r="C22" i="13"/>
  <c r="C21" i="13"/>
  <c r="C18" i="13"/>
  <c r="C17" i="13"/>
  <c r="C14" i="13"/>
  <c r="C13" i="13"/>
  <c r="Y24" i="13"/>
  <c r="C10" i="13"/>
  <c r="AN25" i="1"/>
  <c r="C11" i="7" l="1"/>
  <c r="C14" i="7" s="1"/>
  <c r="C19" i="7" s="1"/>
  <c r="C18" i="7" s="1"/>
  <c r="C20" i="7" s="1"/>
  <c r="C22" i="7" s="1"/>
  <c r="N43" i="14"/>
  <c r="N44" i="14" s="1"/>
  <c r="E23" i="14"/>
  <c r="F84" i="1"/>
  <c r="O43" i="14" l="1"/>
  <c r="O44" i="14" s="1"/>
  <c r="P43" i="14" l="1"/>
  <c r="P44" i="14" s="1"/>
  <c r="Q43" i="14" l="1"/>
  <c r="Q44" i="14" s="1"/>
  <c r="R43" i="14" l="1"/>
  <c r="R44" i="14" s="1"/>
  <c r="AO33" i="1"/>
  <c r="S43" i="14" l="1"/>
  <c r="S44" i="14" s="1"/>
  <c r="T43" i="14" l="1"/>
  <c r="T44" i="14" s="1"/>
  <c r="U43" i="14" l="1"/>
  <c r="U44" i="14" s="1"/>
  <c r="F21" i="3" l="1"/>
  <c r="F23" i="1" s="1"/>
  <c r="V43" i="14"/>
  <c r="V44" i="14" s="1"/>
  <c r="F22" i="3" l="1"/>
  <c r="W43" i="14"/>
  <c r="W44" i="14" s="1"/>
  <c r="F23" i="3"/>
  <c r="E167" i="3" l="1"/>
  <c r="X43" i="14"/>
  <c r="X44" i="14" s="1"/>
  <c r="I2" i="13"/>
  <c r="F25" i="3"/>
  <c r="F38" i="3" s="1"/>
  <c r="F44" i="1" s="1"/>
  <c r="F27" i="1"/>
  <c r="F26" i="3"/>
  <c r="F24" i="3"/>
  <c r="F24" i="1"/>
  <c r="F47" i="3" l="1"/>
  <c r="F49" i="1" s="1"/>
  <c r="F135" i="3" s="1"/>
  <c r="F40" i="3"/>
  <c r="F42" i="3" s="1"/>
  <c r="F43" i="3" s="1"/>
  <c r="F47" i="1" s="1"/>
  <c r="F29" i="1"/>
  <c r="K88" i="1" s="1"/>
  <c r="F131" i="3"/>
  <c r="F28" i="1"/>
  <c r="F30" i="1"/>
  <c r="F27" i="3"/>
  <c r="F31" i="1" s="1"/>
  <c r="AN33" i="1"/>
  <c r="B2" i="13" l="1"/>
  <c r="D114" i="13" s="1"/>
  <c r="E29" i="14"/>
  <c r="E30" i="14" s="1"/>
  <c r="C2" i="13"/>
  <c r="E114" i="13" s="1"/>
  <c r="M114" i="13" s="1"/>
  <c r="K89" i="1"/>
  <c r="C26" i="7"/>
  <c r="F59" i="3" s="1"/>
  <c r="F60" i="1" s="1"/>
  <c r="E113" i="13" l="1"/>
  <c r="M113" i="13" s="1"/>
  <c r="E33" i="14"/>
  <c r="E37" i="14"/>
  <c r="E111" i="13"/>
  <c r="M111" i="13" s="1"/>
  <c r="E112" i="13"/>
  <c r="M112" i="13" s="1"/>
  <c r="D10" i="13"/>
  <c r="E10" i="13" s="1"/>
  <c r="D14" i="13"/>
  <c r="E14" i="13" s="1"/>
  <c r="D18" i="13"/>
  <c r="E18" i="13" s="1"/>
  <c r="D22" i="13"/>
  <c r="E22" i="13" s="1"/>
  <c r="D26" i="13"/>
  <c r="E26" i="13" s="1"/>
  <c r="D30" i="13"/>
  <c r="E30" i="13" s="1"/>
  <c r="D34" i="13"/>
  <c r="E34" i="13" s="1"/>
  <c r="D38" i="13"/>
  <c r="E38" i="13" s="1"/>
  <c r="D42" i="13"/>
  <c r="E42" i="13" s="1"/>
  <c r="D46" i="13"/>
  <c r="E46" i="13" s="1"/>
  <c r="D50" i="13"/>
  <c r="E50" i="13" s="1"/>
  <c r="D54" i="13"/>
  <c r="E54" i="13" s="1"/>
  <c r="D58" i="13"/>
  <c r="E58" i="13" s="1"/>
  <c r="D62" i="13"/>
  <c r="E62" i="13" s="1"/>
  <c r="D66" i="13"/>
  <c r="E66" i="13" s="1"/>
  <c r="D70" i="13"/>
  <c r="E70" i="13" s="1"/>
  <c r="D74" i="13"/>
  <c r="E74" i="13" s="1"/>
  <c r="D78" i="13"/>
  <c r="E78" i="13" s="1"/>
  <c r="D82" i="13"/>
  <c r="E82" i="13" s="1"/>
  <c r="D86" i="13"/>
  <c r="E86" i="13" s="1"/>
  <c r="D90" i="13"/>
  <c r="E90" i="13" s="1"/>
  <c r="D94" i="13"/>
  <c r="E94" i="13" s="1"/>
  <c r="D98" i="13"/>
  <c r="E98" i="13" s="1"/>
  <c r="D102" i="13"/>
  <c r="E102" i="13" s="1"/>
  <c r="D106" i="13"/>
  <c r="E106" i="13" s="1"/>
  <c r="D110" i="13"/>
  <c r="E110" i="13" s="1"/>
  <c r="D11" i="13"/>
  <c r="E11" i="13" s="1"/>
  <c r="D15" i="13"/>
  <c r="E15" i="13" s="1"/>
  <c r="M15" i="13" s="1"/>
  <c r="D19" i="13"/>
  <c r="E19" i="13" s="1"/>
  <c r="D23" i="13"/>
  <c r="E23" i="13" s="1"/>
  <c r="M23" i="13" s="1"/>
  <c r="D27" i="13"/>
  <c r="E27" i="13" s="1"/>
  <c r="D31" i="13"/>
  <c r="E31" i="13" s="1"/>
  <c r="D35" i="13"/>
  <c r="E35" i="13" s="1"/>
  <c r="D39" i="13"/>
  <c r="E39" i="13" s="1"/>
  <c r="D43" i="13"/>
  <c r="E43" i="13" s="1"/>
  <c r="D47" i="13"/>
  <c r="E47" i="13" s="1"/>
  <c r="M47" i="13" s="1"/>
  <c r="D51" i="13"/>
  <c r="E51" i="13" s="1"/>
  <c r="D55" i="13"/>
  <c r="E55" i="13" s="1"/>
  <c r="D59" i="13"/>
  <c r="E59" i="13" s="1"/>
  <c r="D63" i="13"/>
  <c r="E63" i="13" s="1"/>
  <c r="D67" i="13"/>
  <c r="E67" i="13" s="1"/>
  <c r="D71" i="13"/>
  <c r="E71" i="13" s="1"/>
  <c r="D75" i="13"/>
  <c r="E75" i="13" s="1"/>
  <c r="D79" i="13"/>
  <c r="E79" i="13" s="1"/>
  <c r="D83" i="13"/>
  <c r="E83" i="13" s="1"/>
  <c r="D87" i="13"/>
  <c r="E87" i="13" s="1"/>
  <c r="D91" i="13"/>
  <c r="E91" i="13" s="1"/>
  <c r="D95" i="13"/>
  <c r="E95" i="13" s="1"/>
  <c r="D99" i="13"/>
  <c r="E99" i="13" s="1"/>
  <c r="D103" i="13"/>
  <c r="E103" i="13" s="1"/>
  <c r="D107" i="13"/>
  <c r="E107" i="13" s="1"/>
  <c r="D111" i="13"/>
  <c r="D12" i="13"/>
  <c r="E12" i="13" s="1"/>
  <c r="D16" i="13"/>
  <c r="E16" i="13" s="1"/>
  <c r="D20" i="13"/>
  <c r="E20" i="13" s="1"/>
  <c r="D24" i="13"/>
  <c r="E24" i="13" s="1"/>
  <c r="D28" i="13"/>
  <c r="E28" i="13" s="1"/>
  <c r="D32" i="13"/>
  <c r="E32" i="13" s="1"/>
  <c r="D36" i="13"/>
  <c r="E36" i="13" s="1"/>
  <c r="D40" i="13"/>
  <c r="E40" i="13" s="1"/>
  <c r="D44" i="13"/>
  <c r="E44" i="13" s="1"/>
  <c r="D48" i="13"/>
  <c r="E48" i="13" s="1"/>
  <c r="D52" i="13"/>
  <c r="E52" i="13" s="1"/>
  <c r="D56" i="13"/>
  <c r="E56" i="13" s="1"/>
  <c r="D60" i="13"/>
  <c r="E60" i="13" s="1"/>
  <c r="D64" i="13"/>
  <c r="E64" i="13" s="1"/>
  <c r="D68" i="13"/>
  <c r="E68" i="13" s="1"/>
  <c r="D72" i="13"/>
  <c r="E72" i="13" s="1"/>
  <c r="D76" i="13"/>
  <c r="E76" i="13" s="1"/>
  <c r="D80" i="13"/>
  <c r="E80" i="13" s="1"/>
  <c r="D84" i="13"/>
  <c r="E84" i="13" s="1"/>
  <c r="D88" i="13"/>
  <c r="E88" i="13" s="1"/>
  <c r="D92" i="13"/>
  <c r="E92" i="13" s="1"/>
  <c r="D96" i="13"/>
  <c r="E96" i="13" s="1"/>
  <c r="D100" i="13"/>
  <c r="E100" i="13" s="1"/>
  <c r="D104" i="13"/>
  <c r="E104" i="13" s="1"/>
  <c r="D108" i="13"/>
  <c r="E108" i="13" s="1"/>
  <c r="D112" i="13"/>
  <c r="D13" i="13"/>
  <c r="E13" i="13" s="1"/>
  <c r="D17" i="13"/>
  <c r="E17" i="13" s="1"/>
  <c r="D21" i="13"/>
  <c r="E21" i="13" s="1"/>
  <c r="D25" i="13"/>
  <c r="E25" i="13" s="1"/>
  <c r="D29" i="13"/>
  <c r="E29" i="13" s="1"/>
  <c r="D33" i="13"/>
  <c r="E33" i="13" s="1"/>
  <c r="D37" i="13"/>
  <c r="D53" i="13"/>
  <c r="E53" i="13" s="1"/>
  <c r="D69" i="13"/>
  <c r="E69" i="13" s="1"/>
  <c r="D85" i="13"/>
  <c r="E85" i="13" s="1"/>
  <c r="D101" i="13"/>
  <c r="E101" i="13" s="1"/>
  <c r="D41" i="13"/>
  <c r="E41" i="13" s="1"/>
  <c r="D57" i="13"/>
  <c r="E57" i="13" s="1"/>
  <c r="D73" i="13"/>
  <c r="E73" i="13" s="1"/>
  <c r="D89" i="13"/>
  <c r="E89" i="13" s="1"/>
  <c r="D105" i="13"/>
  <c r="E105" i="13" s="1"/>
  <c r="D61" i="13"/>
  <c r="E61" i="13" s="1"/>
  <c r="D77" i="13"/>
  <c r="E77" i="13" s="1"/>
  <c r="D93" i="13"/>
  <c r="E93" i="13" s="1"/>
  <c r="D109" i="13"/>
  <c r="E109" i="13" s="1"/>
  <c r="D65" i="13"/>
  <c r="E65" i="13" s="1"/>
  <c r="D81" i="13"/>
  <c r="E81" i="13" s="1"/>
  <c r="D97" i="13"/>
  <c r="E97" i="13" s="1"/>
  <c r="D45" i="13"/>
  <c r="E45" i="13" s="1"/>
  <c r="D49" i="13"/>
  <c r="E49" i="13" s="1"/>
  <c r="D113" i="13"/>
  <c r="E37" i="13"/>
  <c r="M37" i="13" s="1"/>
  <c r="C40" i="7"/>
  <c r="C39" i="7"/>
  <c r="C41" i="7"/>
  <c r="X146" i="3"/>
  <c r="F80" i="3"/>
  <c r="F81" i="3" l="1"/>
  <c r="F73" i="1" s="1"/>
  <c r="F37" i="14"/>
  <c r="E39" i="14"/>
  <c r="E38" i="14"/>
  <c r="E61" i="14"/>
  <c r="M51" i="13"/>
  <c r="M35" i="13"/>
  <c r="M79" i="13"/>
  <c r="M99" i="13"/>
  <c r="M34" i="13"/>
  <c r="M18" i="13"/>
  <c r="M105" i="13"/>
  <c r="M17" i="13"/>
  <c r="M53" i="13"/>
  <c r="M55" i="13"/>
  <c r="M61" i="13"/>
  <c r="M90" i="13"/>
  <c r="M16" i="13"/>
  <c r="M52" i="13"/>
  <c r="M106" i="13"/>
  <c r="M66" i="13"/>
  <c r="M33" i="13"/>
  <c r="M59" i="13"/>
  <c r="M69" i="13"/>
  <c r="M100" i="13"/>
  <c r="M56" i="13"/>
  <c r="M72" i="13"/>
  <c r="M45" i="13"/>
  <c r="M71" i="13"/>
  <c r="M26" i="13"/>
  <c r="M68" i="13"/>
  <c r="M31" i="13"/>
  <c r="M74" i="13"/>
  <c r="M46" i="13"/>
  <c r="M11" i="13"/>
  <c r="M38" i="13"/>
  <c r="M36" i="13"/>
  <c r="M73" i="13"/>
  <c r="M20" i="13"/>
  <c r="M93" i="13"/>
  <c r="M27" i="13"/>
  <c r="M78" i="13"/>
  <c r="M41" i="13"/>
  <c r="M13" i="13"/>
  <c r="M96" i="13"/>
  <c r="M77" i="13"/>
  <c r="M60" i="13"/>
  <c r="M30" i="13"/>
  <c r="M95" i="13"/>
  <c r="M67" i="13"/>
  <c r="M50" i="13"/>
  <c r="M65" i="13"/>
  <c r="M25" i="13"/>
  <c r="M94" i="13"/>
  <c r="M21" i="13"/>
  <c r="M63" i="13"/>
  <c r="M80" i="13"/>
  <c r="M40" i="13"/>
  <c r="M91" i="13"/>
  <c r="M19" i="13"/>
  <c r="M89" i="13"/>
  <c r="M58" i="13"/>
  <c r="M76" i="13"/>
  <c r="M57" i="13"/>
  <c r="M49" i="13"/>
  <c r="M44" i="13"/>
  <c r="M22" i="13"/>
  <c r="M85" i="13"/>
  <c r="M108" i="13"/>
  <c r="M107" i="13"/>
  <c r="M88" i="13"/>
  <c r="M104" i="13"/>
  <c r="M42" i="13"/>
  <c r="M64" i="13"/>
  <c r="M84" i="13"/>
  <c r="M92" i="13"/>
  <c r="M102" i="13"/>
  <c r="M98" i="13"/>
  <c r="M12" i="13"/>
  <c r="M48" i="13"/>
  <c r="M70" i="13"/>
  <c r="M32" i="13"/>
  <c r="M62" i="13"/>
  <c r="M103" i="13"/>
  <c r="M28" i="13"/>
  <c r="M39" i="13"/>
  <c r="M24" i="13"/>
  <c r="M86" i="13"/>
  <c r="M110" i="13"/>
  <c r="M101" i="13"/>
  <c r="M10" i="13"/>
  <c r="M97" i="13"/>
  <c r="M75" i="13"/>
  <c r="M82" i="13"/>
  <c r="M81" i="13"/>
  <c r="M43" i="13"/>
  <c r="M87" i="13"/>
  <c r="M83" i="13"/>
  <c r="M54" i="13"/>
  <c r="M109" i="13"/>
  <c r="M29" i="13"/>
  <c r="M14" i="13"/>
  <c r="F36" i="3"/>
  <c r="F35" i="3"/>
  <c r="F34" i="3"/>
  <c r="F33" i="3"/>
  <c r="E41" i="14" l="1"/>
  <c r="E42" i="14"/>
  <c r="F39" i="14"/>
  <c r="F38" i="14"/>
  <c r="G37" i="14"/>
  <c r="N4" i="13"/>
  <c r="H37" i="14" l="1"/>
  <c r="G39" i="14"/>
  <c r="G38" i="14"/>
  <c r="E46" i="14"/>
  <c r="F42" i="14"/>
  <c r="F41" i="14"/>
  <c r="G52" i="1"/>
  <c r="F46" i="14" l="1"/>
  <c r="G41" i="14"/>
  <c r="G42" i="14"/>
  <c r="I37" i="14"/>
  <c r="H39" i="14"/>
  <c r="H38" i="14"/>
  <c r="G46" i="14" l="1"/>
  <c r="H41" i="14"/>
  <c r="H42" i="14"/>
  <c r="J37" i="14"/>
  <c r="I38" i="14"/>
  <c r="I39" i="14"/>
  <c r="H35" i="3"/>
  <c r="H33" i="3"/>
  <c r="H36" i="3"/>
  <c r="H34" i="3"/>
  <c r="O165" i="3"/>
  <c r="O166" i="3"/>
  <c r="F129" i="3"/>
  <c r="F128" i="3"/>
  <c r="F133" i="3"/>
  <c r="U165" i="3" l="1"/>
  <c r="D150" i="3"/>
  <c r="D154" i="3"/>
  <c r="D158" i="3"/>
  <c r="D162" i="3"/>
  <c r="D147" i="3"/>
  <c r="D151" i="3"/>
  <c r="D155" i="3"/>
  <c r="D159" i="3"/>
  <c r="D146" i="3"/>
  <c r="D148" i="3"/>
  <c r="D152" i="3"/>
  <c r="D156" i="3"/>
  <c r="D160" i="3"/>
  <c r="D149" i="3"/>
  <c r="D153" i="3"/>
  <c r="D157" i="3"/>
  <c r="D161" i="3"/>
  <c r="H46" i="14"/>
  <c r="J38" i="14"/>
  <c r="K37" i="14"/>
  <c r="J39" i="14"/>
  <c r="I42" i="14"/>
  <c r="I41" i="14"/>
  <c r="K91" i="1"/>
  <c r="K92" i="1"/>
  <c r="F132" i="3"/>
  <c r="T163" i="3"/>
  <c r="T164" i="3"/>
  <c r="T165" i="3"/>
  <c r="S163" i="3"/>
  <c r="U163" i="3"/>
  <c r="S164" i="3"/>
  <c r="U164" i="3"/>
  <c r="S165" i="3"/>
  <c r="I153" i="3" l="1"/>
  <c r="F153" i="3"/>
  <c r="B153" i="3" s="1"/>
  <c r="F152" i="3"/>
  <c r="B152" i="3" s="1"/>
  <c r="I152" i="3"/>
  <c r="I155" i="3"/>
  <c r="F155" i="3"/>
  <c r="K155" i="3" s="1"/>
  <c r="F158" i="3"/>
  <c r="I158" i="3"/>
  <c r="I149" i="3"/>
  <c r="F149" i="3"/>
  <c r="F148" i="3"/>
  <c r="B148" i="3" s="1"/>
  <c r="I148" i="3"/>
  <c r="F151" i="3"/>
  <c r="B151" i="3" s="1"/>
  <c r="I151" i="3"/>
  <c r="I154" i="3"/>
  <c r="F154" i="3"/>
  <c r="I161" i="3"/>
  <c r="F161" i="3"/>
  <c r="B161" i="3" s="1"/>
  <c r="F160" i="3"/>
  <c r="K160" i="3" s="1"/>
  <c r="I160" i="3"/>
  <c r="I146" i="3"/>
  <c r="F146" i="3"/>
  <c r="I147" i="3"/>
  <c r="F147" i="3"/>
  <c r="K147" i="3" s="1"/>
  <c r="I150" i="3"/>
  <c r="F150" i="3"/>
  <c r="K150" i="3" s="1"/>
  <c r="I157" i="3"/>
  <c r="F157" i="3"/>
  <c r="K157" i="3" s="1"/>
  <c r="I156" i="3"/>
  <c r="F156" i="3"/>
  <c r="K156" i="3" s="1"/>
  <c r="F159" i="3"/>
  <c r="K159" i="3" s="1"/>
  <c r="I159" i="3"/>
  <c r="I162" i="3"/>
  <c r="F162" i="3"/>
  <c r="B162" i="3" s="1"/>
  <c r="I46" i="14"/>
  <c r="J42" i="14"/>
  <c r="J41" i="14"/>
  <c r="L37" i="14"/>
  <c r="K38" i="14"/>
  <c r="K39" i="14"/>
  <c r="B157" i="3" l="1"/>
  <c r="K148" i="3"/>
  <c r="K153" i="3"/>
  <c r="K151" i="3"/>
  <c r="K152" i="3"/>
  <c r="B160" i="3"/>
  <c r="B147" i="3"/>
  <c r="B150" i="3"/>
  <c r="E159" i="3"/>
  <c r="J159" i="3" s="1"/>
  <c r="G159" i="3"/>
  <c r="L159" i="3" s="1"/>
  <c r="R147" i="3"/>
  <c r="T147" i="3" s="1"/>
  <c r="N151" i="3"/>
  <c r="R154" i="3"/>
  <c r="N158" i="3"/>
  <c r="G149" i="3"/>
  <c r="L149" i="3" s="1"/>
  <c r="E149" i="3"/>
  <c r="J149" i="3" s="1"/>
  <c r="E158" i="3"/>
  <c r="J158" i="3" s="1"/>
  <c r="G158" i="3"/>
  <c r="L158" i="3" s="1"/>
  <c r="B159" i="3"/>
  <c r="E156" i="3"/>
  <c r="J156" i="3" s="1"/>
  <c r="G156" i="3"/>
  <c r="L156" i="3" s="1"/>
  <c r="R157" i="3"/>
  <c r="T157" i="3" s="1"/>
  <c r="N161" i="3"/>
  <c r="E146" i="3"/>
  <c r="J146" i="3" s="1"/>
  <c r="G146" i="3"/>
  <c r="L146" i="3" s="1"/>
  <c r="E160" i="3"/>
  <c r="J160" i="3" s="1"/>
  <c r="G160" i="3"/>
  <c r="L160" i="3" s="1"/>
  <c r="E154" i="3"/>
  <c r="J154" i="3" s="1"/>
  <c r="G154" i="3"/>
  <c r="L154" i="3" s="1"/>
  <c r="U154" i="3" s="1"/>
  <c r="R151" i="3"/>
  <c r="N155" i="3"/>
  <c r="E148" i="3"/>
  <c r="J148" i="3" s="1"/>
  <c r="G148" i="3"/>
  <c r="L148" i="3" s="1"/>
  <c r="B158" i="3"/>
  <c r="E155" i="3"/>
  <c r="J155" i="3" s="1"/>
  <c r="G155" i="3"/>
  <c r="E152" i="3"/>
  <c r="J152" i="3" s="1"/>
  <c r="G152" i="3"/>
  <c r="L152" i="3" s="1"/>
  <c r="K161" i="3"/>
  <c r="K162" i="3"/>
  <c r="K154" i="3"/>
  <c r="T154" i="3" s="1"/>
  <c r="K146" i="3"/>
  <c r="R159" i="3"/>
  <c r="T159" i="3" s="1"/>
  <c r="N163" i="3"/>
  <c r="R156" i="3"/>
  <c r="T156" i="3" s="1"/>
  <c r="N160" i="3"/>
  <c r="G150" i="3"/>
  <c r="L150" i="3" s="1"/>
  <c r="E150" i="3"/>
  <c r="J150" i="3" s="1"/>
  <c r="G147" i="3"/>
  <c r="L147" i="3" s="1"/>
  <c r="E147" i="3"/>
  <c r="J147" i="3" s="1"/>
  <c r="R146" i="3"/>
  <c r="V146" i="3" s="1"/>
  <c r="N150" i="3"/>
  <c r="B154" i="3"/>
  <c r="E151" i="3"/>
  <c r="J151" i="3" s="1"/>
  <c r="S151" i="3" s="1"/>
  <c r="G151" i="3"/>
  <c r="L151" i="3" s="1"/>
  <c r="B149" i="3"/>
  <c r="R158" i="3"/>
  <c r="N162" i="3"/>
  <c r="R155" i="3"/>
  <c r="T155" i="3" s="1"/>
  <c r="N159" i="3"/>
  <c r="G153" i="3"/>
  <c r="L153" i="3" s="1"/>
  <c r="E153" i="3"/>
  <c r="J153" i="3" s="1"/>
  <c r="G162" i="3"/>
  <c r="L162" i="3" s="1"/>
  <c r="E162" i="3"/>
  <c r="J162" i="3" s="1"/>
  <c r="E161" i="3"/>
  <c r="J161" i="3" s="1"/>
  <c r="G161" i="3"/>
  <c r="L161" i="3" s="1"/>
  <c r="K149" i="3"/>
  <c r="K158" i="3"/>
  <c r="R162" i="3"/>
  <c r="N166" i="3"/>
  <c r="B156" i="3"/>
  <c r="E157" i="3"/>
  <c r="J157" i="3" s="1"/>
  <c r="G157" i="3"/>
  <c r="L157" i="3" s="1"/>
  <c r="N154" i="3"/>
  <c r="R150" i="3"/>
  <c r="T150" i="3" s="1"/>
  <c r="B146" i="3"/>
  <c r="R160" i="3"/>
  <c r="T160" i="3" s="1"/>
  <c r="N164" i="3"/>
  <c r="R161" i="3"/>
  <c r="N165" i="3"/>
  <c r="R148" i="3"/>
  <c r="N152" i="3"/>
  <c r="R149" i="3"/>
  <c r="N153" i="3"/>
  <c r="B155" i="3"/>
  <c r="R152" i="3"/>
  <c r="N156" i="3"/>
  <c r="R153" i="3"/>
  <c r="N157" i="3"/>
  <c r="K42" i="14"/>
  <c r="K41" i="14"/>
  <c r="M37" i="14"/>
  <c r="L39" i="14"/>
  <c r="L38" i="14"/>
  <c r="J46" i="14"/>
  <c r="L155" i="3"/>
  <c r="T148" i="3" l="1"/>
  <c r="S147" i="3"/>
  <c r="U155" i="3"/>
  <c r="U147" i="3"/>
  <c r="T153" i="3"/>
  <c r="S157" i="3"/>
  <c r="U159" i="3"/>
  <c r="T151" i="3"/>
  <c r="U157" i="3"/>
  <c r="S161" i="3"/>
  <c r="U160" i="3"/>
  <c r="S154" i="3"/>
  <c r="T152" i="3"/>
  <c r="U151" i="3"/>
  <c r="U156" i="3"/>
  <c r="S149" i="3"/>
  <c r="U150" i="3"/>
  <c r="T161" i="3"/>
  <c r="U161" i="3"/>
  <c r="U152" i="3"/>
  <c r="S160" i="3"/>
  <c r="S162" i="3"/>
  <c r="U146" i="3"/>
  <c r="U153" i="3"/>
  <c r="U148" i="3"/>
  <c r="U158" i="3"/>
  <c r="S158" i="3"/>
  <c r="S150" i="3"/>
  <c r="S146" i="3"/>
  <c r="T149" i="3"/>
  <c r="S159" i="3"/>
  <c r="U162" i="3"/>
  <c r="S155" i="3"/>
  <c r="S153" i="3"/>
  <c r="T146" i="3"/>
  <c r="U149" i="3"/>
  <c r="S152" i="3"/>
  <c r="S148" i="3"/>
  <c r="T162" i="3"/>
  <c r="S156" i="3"/>
  <c r="T158" i="3"/>
  <c r="L41" i="14"/>
  <c r="L42" i="14"/>
  <c r="N37" i="14"/>
  <c r="M38" i="14"/>
  <c r="M39" i="14"/>
  <c r="K46" i="14"/>
  <c r="V162" i="3"/>
  <c r="V164" i="3"/>
  <c r="V158" i="3"/>
  <c r="V165" i="3"/>
  <c r="V151" i="3"/>
  <c r="V163" i="3"/>
  <c r="V156" i="3"/>
  <c r="V150" i="3"/>
  <c r="V157" i="3"/>
  <c r="V153" i="3"/>
  <c r="V147" i="3"/>
  <c r="V159" i="3"/>
  <c r="V161" i="3"/>
  <c r="V149" i="3"/>
  <c r="V152" i="3"/>
  <c r="V148" i="3"/>
  <c r="V160" i="3"/>
  <c r="V154" i="3"/>
  <c r="V155" i="3"/>
  <c r="L46" i="14" l="1"/>
  <c r="M42" i="14"/>
  <c r="M41" i="14"/>
  <c r="O37" i="14"/>
  <c r="N39" i="14"/>
  <c r="N38" i="14"/>
  <c r="P67" i="13"/>
  <c r="Q81" i="13"/>
  <c r="P86" i="13"/>
  <c r="P46" i="13"/>
  <c r="Q16" i="13"/>
  <c r="P37" i="13"/>
  <c r="Q40" i="13"/>
  <c r="P12" i="13"/>
  <c r="P65" i="13"/>
  <c r="Q69" i="13"/>
  <c r="Q92" i="13"/>
  <c r="P32" i="13"/>
  <c r="P55" i="13"/>
  <c r="P82" i="13"/>
  <c r="Q37" i="13"/>
  <c r="Q13" i="13"/>
  <c r="P38" i="13"/>
  <c r="P41" i="13"/>
  <c r="P100" i="13"/>
  <c r="Q103" i="13"/>
  <c r="P77" i="13"/>
  <c r="Q53" i="13"/>
  <c r="Q26" i="13"/>
  <c r="Q60" i="13"/>
  <c r="Q111" i="13"/>
  <c r="P85" i="13"/>
  <c r="Q85" i="13"/>
  <c r="P27" i="13"/>
  <c r="Q68" i="13"/>
  <c r="Q93" i="13"/>
  <c r="P48" i="13"/>
  <c r="P113" i="13"/>
  <c r="Q28" i="13"/>
  <c r="P112" i="13"/>
  <c r="P71" i="13"/>
  <c r="P11" i="13"/>
  <c r="P91" i="13"/>
  <c r="Q55" i="13"/>
  <c r="P57" i="13"/>
  <c r="Q107" i="13"/>
  <c r="P107" i="13"/>
  <c r="Q50" i="13"/>
  <c r="Q42" i="13"/>
  <c r="Q70" i="13"/>
  <c r="Q31" i="13"/>
  <c r="P79" i="13"/>
  <c r="Q99" i="13"/>
  <c r="P87" i="13"/>
  <c r="P110" i="13"/>
  <c r="Q32" i="13"/>
  <c r="P20" i="13"/>
  <c r="P72" i="13"/>
  <c r="P81" i="13"/>
  <c r="Q17" i="13"/>
  <c r="Q66" i="13"/>
  <c r="P54" i="13"/>
  <c r="P31" i="13"/>
  <c r="P44" i="13"/>
  <c r="Q20" i="13"/>
  <c r="P25" i="13"/>
  <c r="P64" i="13"/>
  <c r="Q97" i="13"/>
  <c r="Q96" i="13"/>
  <c r="Q36" i="13"/>
  <c r="Q88" i="13"/>
  <c r="Q86" i="13"/>
  <c r="Q84" i="13"/>
  <c r="P90" i="13"/>
  <c r="P61" i="13"/>
  <c r="P24" i="13"/>
  <c r="Q113" i="13"/>
  <c r="Q80" i="13"/>
  <c r="Q72" i="13"/>
  <c r="Q63" i="13"/>
  <c r="P13" i="13"/>
  <c r="Q35" i="13"/>
  <c r="P99" i="13"/>
  <c r="P33" i="13"/>
  <c r="Q45" i="13"/>
  <c r="Q14" i="13"/>
  <c r="P42" i="13"/>
  <c r="P40" i="13"/>
  <c r="Q82" i="13"/>
  <c r="P98" i="13"/>
  <c r="P95" i="13"/>
  <c r="Q38" i="13"/>
  <c r="P80" i="13"/>
  <c r="P111" i="13"/>
  <c r="P43" i="13"/>
  <c r="P63" i="13"/>
  <c r="P47" i="13"/>
  <c r="Q24" i="13"/>
  <c r="Q29" i="13"/>
  <c r="Q73" i="13"/>
  <c r="P76" i="13"/>
  <c r="P34" i="13"/>
  <c r="Q34" i="13"/>
  <c r="P66" i="13"/>
  <c r="P58" i="13"/>
  <c r="Q74" i="13"/>
  <c r="P93" i="13"/>
  <c r="Q71" i="13"/>
  <c r="Q109" i="13"/>
  <c r="P56" i="13"/>
  <c r="Q105" i="13"/>
  <c r="Q104" i="13"/>
  <c r="P60" i="13"/>
  <c r="Q18" i="13"/>
  <c r="P84" i="13"/>
  <c r="Q41" i="13"/>
  <c r="P62" i="13"/>
  <c r="Q52" i="13"/>
  <c r="P104" i="13"/>
  <c r="P94" i="13"/>
  <c r="P30" i="13"/>
  <c r="Q95" i="13"/>
  <c r="P16" i="13"/>
  <c r="Q98" i="13"/>
  <c r="P22" i="13"/>
  <c r="Q94" i="13"/>
  <c r="P50" i="13"/>
  <c r="Q61" i="13"/>
  <c r="Q90" i="13"/>
  <c r="Q100" i="13"/>
  <c r="Q47" i="13"/>
  <c r="P51" i="13"/>
  <c r="Q76" i="13"/>
  <c r="Q25" i="13"/>
  <c r="Q12" i="13"/>
  <c r="Q65" i="13"/>
  <c r="P68" i="13"/>
  <c r="Q108" i="13"/>
  <c r="Q78" i="13"/>
  <c r="Q59" i="13"/>
  <c r="P17" i="13"/>
  <c r="P29" i="13"/>
  <c r="P74" i="13"/>
  <c r="Q75" i="13"/>
  <c r="Q46" i="13"/>
  <c r="Q101" i="13"/>
  <c r="P103" i="13"/>
  <c r="Q77" i="13"/>
  <c r="Q19" i="13"/>
  <c r="Q21" i="13"/>
  <c r="P92" i="13"/>
  <c r="P69" i="13"/>
  <c r="Q11" i="13"/>
  <c r="P70" i="13"/>
  <c r="Q23" i="13"/>
  <c r="P114" i="13"/>
  <c r="P83" i="13"/>
  <c r="Q79" i="13"/>
  <c r="P96" i="13"/>
  <c r="Q110" i="13"/>
  <c r="Q30" i="13"/>
  <c r="Q106" i="13"/>
  <c r="Q33" i="13"/>
  <c r="P59" i="13"/>
  <c r="Q87" i="13"/>
  <c r="Q89" i="13"/>
  <c r="Q67" i="13"/>
  <c r="Q57" i="13"/>
  <c r="Q51" i="13"/>
  <c r="Q54" i="13"/>
  <c r="P23" i="13"/>
  <c r="P14" i="13"/>
  <c r="Q15" i="13"/>
  <c r="Q114" i="13"/>
  <c r="Q102" i="13"/>
  <c r="P36" i="13"/>
  <c r="P88" i="13"/>
  <c r="P39" i="13"/>
  <c r="P89" i="13"/>
  <c r="Q83" i="13"/>
  <c r="P52" i="13"/>
  <c r="Q112" i="13"/>
  <c r="P28" i="13"/>
  <c r="P106" i="13"/>
  <c r="Q64" i="13"/>
  <c r="P105" i="13"/>
  <c r="Q48" i="13"/>
  <c r="P102" i="13"/>
  <c r="Q91" i="13"/>
  <c r="Q44" i="13"/>
  <c r="P19" i="13"/>
  <c r="P18" i="13"/>
  <c r="Q43" i="13"/>
  <c r="P49" i="13"/>
  <c r="P15" i="13"/>
  <c r="P75" i="13"/>
  <c r="Q27" i="13"/>
  <c r="P101" i="13"/>
  <c r="P35" i="13"/>
  <c r="Q62" i="13"/>
  <c r="P73" i="13"/>
  <c r="Q58" i="13"/>
  <c r="Q39" i="13"/>
  <c r="P78" i="13"/>
  <c r="P45" i="13"/>
  <c r="Q56" i="13"/>
  <c r="Q49" i="13"/>
  <c r="P108" i="13"/>
  <c r="P97" i="13"/>
  <c r="P26" i="13"/>
  <c r="Q22" i="13"/>
  <c r="P21" i="13"/>
  <c r="P109" i="13"/>
  <c r="P53" i="13"/>
  <c r="P10" i="13"/>
  <c r="F37" i="13"/>
  <c r="G37" i="13" s="1"/>
  <c r="F44" i="13"/>
  <c r="G44" i="13" s="1"/>
  <c r="H44" i="13" s="1"/>
  <c r="I44" i="13" s="1"/>
  <c r="F86" i="13"/>
  <c r="G86" i="13" s="1"/>
  <c r="O86" i="13" s="1"/>
  <c r="F51" i="13"/>
  <c r="G51" i="13" s="1"/>
  <c r="O51" i="13" s="1"/>
  <c r="F113" i="13"/>
  <c r="G113" i="13" s="1"/>
  <c r="O113" i="13" s="1"/>
  <c r="F112" i="13"/>
  <c r="G112" i="13" s="1"/>
  <c r="H112" i="13" s="1"/>
  <c r="I112" i="13" s="1"/>
  <c r="F78" i="13"/>
  <c r="G78" i="13" s="1"/>
  <c r="H78" i="13" s="1"/>
  <c r="I78" i="13" s="1"/>
  <c r="F93" i="13"/>
  <c r="G93" i="13" s="1"/>
  <c r="H93" i="13" s="1"/>
  <c r="I93" i="13" s="1"/>
  <c r="F30" i="13"/>
  <c r="G30" i="13" s="1"/>
  <c r="H30" i="13" s="1"/>
  <c r="I30" i="13" s="1"/>
  <c r="F81" i="13"/>
  <c r="G81" i="13" s="1"/>
  <c r="H81" i="13" s="1"/>
  <c r="I81" i="13" s="1"/>
  <c r="F91" i="13"/>
  <c r="G91" i="13" s="1"/>
  <c r="O91" i="13" s="1"/>
  <c r="F31" i="13"/>
  <c r="G31" i="13" s="1"/>
  <c r="O31" i="13" s="1"/>
  <c r="F12" i="13"/>
  <c r="G12" i="13" s="1"/>
  <c r="O12" i="13" s="1"/>
  <c r="F68" i="13"/>
  <c r="G68" i="13" s="1"/>
  <c r="O68" i="13" s="1"/>
  <c r="F26" i="13"/>
  <c r="G26" i="13" s="1"/>
  <c r="H26" i="13" s="1"/>
  <c r="I26" i="13" s="1"/>
  <c r="F25" i="13"/>
  <c r="G25" i="13" s="1"/>
  <c r="F24" i="13"/>
  <c r="G24" i="13" s="1"/>
  <c r="F40" i="13"/>
  <c r="G40" i="13" s="1"/>
  <c r="O40" i="13" s="1"/>
  <c r="F36" i="13"/>
  <c r="G36" i="13" s="1"/>
  <c r="F67" i="13"/>
  <c r="G67" i="13" s="1"/>
  <c r="F62" i="13"/>
  <c r="G62" i="13" s="1"/>
  <c r="O62" i="13" s="1"/>
  <c r="F73" i="13"/>
  <c r="G73" i="13" s="1"/>
  <c r="O73" i="13" s="1"/>
  <c r="F22" i="13"/>
  <c r="G22" i="13" s="1"/>
  <c r="O22" i="13" s="1"/>
  <c r="F60" i="13"/>
  <c r="G60" i="13" s="1"/>
  <c r="H60" i="13" s="1"/>
  <c r="I60" i="13" s="1"/>
  <c r="F46" i="13"/>
  <c r="G46" i="13" s="1"/>
  <c r="H46" i="13" s="1"/>
  <c r="I46" i="13" s="1"/>
  <c r="F101" i="13"/>
  <c r="G101" i="13" s="1"/>
  <c r="F43" i="13"/>
  <c r="G43" i="13" s="1"/>
  <c r="F82" i="13"/>
  <c r="G82" i="13" s="1"/>
  <c r="F111" i="13"/>
  <c r="G111" i="13" s="1"/>
  <c r="F69" i="13"/>
  <c r="G69" i="13" s="1"/>
  <c r="F95" i="13"/>
  <c r="G95" i="13" s="1"/>
  <c r="F21" i="13"/>
  <c r="G21" i="13" s="1"/>
  <c r="F66" i="13"/>
  <c r="G66" i="13" s="1"/>
  <c r="F49" i="13"/>
  <c r="G49" i="13" s="1"/>
  <c r="O49" i="13" s="1"/>
  <c r="F90" i="13"/>
  <c r="G90" i="13" s="1"/>
  <c r="F77" i="13"/>
  <c r="G77" i="13" s="1"/>
  <c r="F100" i="13"/>
  <c r="G100" i="13" s="1"/>
  <c r="F38" i="13"/>
  <c r="G38" i="13" s="1"/>
  <c r="H38" i="13" s="1"/>
  <c r="I38" i="13" s="1"/>
  <c r="F64" i="13"/>
  <c r="G64" i="13" s="1"/>
  <c r="F56" i="13"/>
  <c r="G56" i="13" s="1"/>
  <c r="H56" i="13" s="1"/>
  <c r="I56" i="13" s="1"/>
  <c r="F87" i="13"/>
  <c r="G87" i="13" s="1"/>
  <c r="O87" i="13" s="1"/>
  <c r="Q10" i="13"/>
  <c r="F110" i="13"/>
  <c r="G110" i="13" s="1"/>
  <c r="F28" i="13"/>
  <c r="G28" i="13" s="1"/>
  <c r="F92" i="13"/>
  <c r="G92" i="13" s="1"/>
  <c r="F105" i="13"/>
  <c r="G105" i="13" s="1"/>
  <c r="O105" i="13" s="1"/>
  <c r="F103" i="13"/>
  <c r="G103" i="13" s="1"/>
  <c r="O103" i="13" s="1"/>
  <c r="F71" i="13"/>
  <c r="G71" i="13" s="1"/>
  <c r="F57" i="13"/>
  <c r="G57" i="13" s="1"/>
  <c r="F50" i="13"/>
  <c r="G50" i="13" s="1"/>
  <c r="F98" i="13"/>
  <c r="G98" i="13" s="1"/>
  <c r="H98" i="13" s="1"/>
  <c r="I98" i="13" s="1"/>
  <c r="F70" i="13"/>
  <c r="G70" i="13" s="1"/>
  <c r="O70" i="13" s="1"/>
  <c r="F114" i="13"/>
  <c r="G114" i="13" s="1"/>
  <c r="F47" i="13"/>
  <c r="G47" i="13" s="1"/>
  <c r="H47" i="13" s="1"/>
  <c r="I47" i="13" s="1"/>
  <c r="F15" i="13"/>
  <c r="G15" i="13" s="1"/>
  <c r="O15" i="13" s="1"/>
  <c r="F23" i="13"/>
  <c r="G23" i="13" s="1"/>
  <c r="H23" i="13" s="1"/>
  <c r="I23" i="13" s="1"/>
  <c r="F108" i="13"/>
  <c r="G108" i="13" s="1"/>
  <c r="F94" i="13"/>
  <c r="G94" i="13" s="1"/>
  <c r="F107" i="13"/>
  <c r="G107" i="13" s="1"/>
  <c r="F32" i="13"/>
  <c r="G32" i="13" s="1"/>
  <c r="F104" i="13"/>
  <c r="G104" i="13" s="1"/>
  <c r="F29" i="13"/>
  <c r="G29" i="13" s="1"/>
  <c r="O29" i="13" s="1"/>
  <c r="F54" i="13"/>
  <c r="G54" i="13" s="1"/>
  <c r="H54" i="13" s="1"/>
  <c r="I54" i="13" s="1"/>
  <c r="F109" i="13"/>
  <c r="G109" i="13" s="1"/>
  <c r="F13" i="13"/>
  <c r="G13" i="13" s="1"/>
  <c r="F35" i="13"/>
  <c r="G35" i="13" s="1"/>
  <c r="H35" i="13" s="1"/>
  <c r="I35" i="13" s="1"/>
  <c r="F14" i="13"/>
  <c r="G14" i="13" s="1"/>
  <c r="O14" i="13" s="1"/>
  <c r="F65" i="13"/>
  <c r="G65" i="13" s="1"/>
  <c r="F55" i="13"/>
  <c r="G55" i="13" s="1"/>
  <c r="O55" i="13" s="1"/>
  <c r="F106" i="13"/>
  <c r="G106" i="13" s="1"/>
  <c r="O106" i="13" s="1"/>
  <c r="F19" i="13"/>
  <c r="G19" i="13" s="1"/>
  <c r="F58" i="13"/>
  <c r="G58" i="13" s="1"/>
  <c r="O58" i="13" s="1"/>
  <c r="F83" i="13"/>
  <c r="G83" i="13" s="1"/>
  <c r="O83" i="13" s="1"/>
  <c r="F63" i="13"/>
  <c r="G63" i="13" s="1"/>
  <c r="O63" i="13" s="1"/>
  <c r="F45" i="13"/>
  <c r="G45" i="13" s="1"/>
  <c r="F76" i="13"/>
  <c r="G76" i="13" s="1"/>
  <c r="H76" i="13" s="1"/>
  <c r="I76" i="13" s="1"/>
  <c r="F97" i="13"/>
  <c r="G97" i="13" s="1"/>
  <c r="F18" i="13"/>
  <c r="G18" i="13" s="1"/>
  <c r="O18" i="13" s="1"/>
  <c r="F74" i="13"/>
  <c r="G74" i="13" s="1"/>
  <c r="H74" i="13" s="1"/>
  <c r="I74" i="13" s="1"/>
  <c r="F80" i="13"/>
  <c r="G80" i="13" s="1"/>
  <c r="F41" i="13"/>
  <c r="G41" i="13" s="1"/>
  <c r="O41" i="13" s="1"/>
  <c r="F27" i="13"/>
  <c r="G27" i="13" s="1"/>
  <c r="F61" i="13"/>
  <c r="G61" i="13" s="1"/>
  <c r="F42" i="13"/>
  <c r="G42" i="13" s="1"/>
  <c r="O42" i="13" s="1"/>
  <c r="F53" i="13"/>
  <c r="G53" i="13" s="1"/>
  <c r="H53" i="13" s="1"/>
  <c r="I53" i="13" s="1"/>
  <c r="F102" i="13"/>
  <c r="G102" i="13" s="1"/>
  <c r="F48" i="13"/>
  <c r="G48" i="13" s="1"/>
  <c r="O48" i="13" s="1"/>
  <c r="F88" i="13"/>
  <c r="G88" i="13" s="1"/>
  <c r="H88" i="13" s="1"/>
  <c r="I88" i="13" s="1"/>
  <c r="F33" i="13"/>
  <c r="G33" i="13" s="1"/>
  <c r="F20" i="13"/>
  <c r="G20" i="13" s="1"/>
  <c r="F89" i="13"/>
  <c r="G89" i="13" s="1"/>
  <c r="F96" i="13"/>
  <c r="G96" i="13" s="1"/>
  <c r="O96" i="13" s="1"/>
  <c r="F85" i="13"/>
  <c r="G85" i="13" s="1"/>
  <c r="F39" i="13"/>
  <c r="G39" i="13" s="1"/>
  <c r="F99" i="13"/>
  <c r="G99" i="13" s="1"/>
  <c r="F11" i="13"/>
  <c r="G11" i="13" s="1"/>
  <c r="O11" i="13" s="1"/>
  <c r="F34" i="13"/>
  <c r="G34" i="13" s="1"/>
  <c r="H34" i="13" s="1"/>
  <c r="I34" i="13" s="1"/>
  <c r="F59" i="13"/>
  <c r="G59" i="13" s="1"/>
  <c r="F72" i="13"/>
  <c r="G72" i="13" s="1"/>
  <c r="F16" i="13"/>
  <c r="G16" i="13" s="1"/>
  <c r="O16" i="13" s="1"/>
  <c r="F79" i="13"/>
  <c r="G79" i="13" s="1"/>
  <c r="F52" i="13"/>
  <c r="G52" i="13" s="1"/>
  <c r="F75" i="13"/>
  <c r="G75" i="13" s="1"/>
  <c r="F17" i="13"/>
  <c r="G17" i="13" s="1"/>
  <c r="F84" i="13"/>
  <c r="G84" i="13" s="1"/>
  <c r="F10" i="13"/>
  <c r="G10" i="13" s="1"/>
  <c r="O10" i="13" s="1"/>
  <c r="M46" i="14" l="1"/>
  <c r="N42" i="14"/>
  <c r="N41" i="14"/>
  <c r="O39" i="14"/>
  <c r="O38" i="14"/>
  <c r="P37" i="14"/>
  <c r="N54" i="13"/>
  <c r="L38" i="13"/>
  <c r="L44" i="13"/>
  <c r="L74" i="13"/>
  <c r="N47" i="13"/>
  <c r="H42" i="13"/>
  <c r="I42" i="13" s="1"/>
  <c r="O114" i="13"/>
  <c r="H114" i="13"/>
  <c r="H11" i="13"/>
  <c r="I11" i="13" s="1"/>
  <c r="L34" i="13"/>
  <c r="H10" i="13"/>
  <c r="H62" i="13"/>
  <c r="I62" i="13" s="1"/>
  <c r="O38" i="13"/>
  <c r="H63" i="13"/>
  <c r="I63" i="13" s="1"/>
  <c r="H55" i="13"/>
  <c r="I55" i="13" s="1"/>
  <c r="H49" i="13"/>
  <c r="I49" i="13" s="1"/>
  <c r="H68" i="13"/>
  <c r="I68" i="13" s="1"/>
  <c r="H89" i="13"/>
  <c r="I89" i="13" s="1"/>
  <c r="O89" i="13"/>
  <c r="N93" i="13"/>
  <c r="L93" i="13"/>
  <c r="O17" i="13"/>
  <c r="H17" i="13"/>
  <c r="I17" i="13" s="1"/>
  <c r="O39" i="13"/>
  <c r="H39" i="13"/>
  <c r="I39" i="13" s="1"/>
  <c r="O20" i="13"/>
  <c r="H20" i="13"/>
  <c r="I20" i="13" s="1"/>
  <c r="H108" i="13"/>
  <c r="I108" i="13" s="1"/>
  <c r="O108" i="13"/>
  <c r="L81" i="13"/>
  <c r="O37" i="13"/>
  <c r="H37" i="13"/>
  <c r="I37" i="13" s="1"/>
  <c r="H85" i="13"/>
  <c r="I85" i="13" s="1"/>
  <c r="O85" i="13"/>
  <c r="O33" i="13"/>
  <c r="H33" i="13"/>
  <c r="O13" i="13"/>
  <c r="H13" i="13"/>
  <c r="I13" i="13" s="1"/>
  <c r="O90" i="13"/>
  <c r="H90" i="13"/>
  <c r="I90" i="13" s="1"/>
  <c r="O21" i="13"/>
  <c r="H21" i="13"/>
  <c r="I21" i="13" s="1"/>
  <c r="O27" i="13"/>
  <c r="H27" i="13"/>
  <c r="I27" i="13" s="1"/>
  <c r="O109" i="13"/>
  <c r="H109" i="13"/>
  <c r="I109" i="13" s="1"/>
  <c r="H106" i="13"/>
  <c r="I106" i="13" s="1"/>
  <c r="O81" i="13"/>
  <c r="L46" i="13"/>
  <c r="O74" i="13"/>
  <c r="H40" i="13"/>
  <c r="I40" i="13" s="1"/>
  <c r="H31" i="13"/>
  <c r="I31" i="13" s="1"/>
  <c r="H113" i="13"/>
  <c r="H91" i="13"/>
  <c r="I91" i="13" s="1"/>
  <c r="H16" i="13"/>
  <c r="I16" i="13" s="1"/>
  <c r="O34" i="13"/>
  <c r="H96" i="13"/>
  <c r="I96" i="13" s="1"/>
  <c r="H83" i="13"/>
  <c r="I83" i="13" s="1"/>
  <c r="H29" i="13"/>
  <c r="I29" i="13" s="1"/>
  <c r="H18" i="13"/>
  <c r="I18" i="13" s="1"/>
  <c r="O46" i="13"/>
  <c r="H22" i="13"/>
  <c r="I22" i="13" s="1"/>
  <c r="H12" i="13"/>
  <c r="I12" i="13" s="1"/>
  <c r="O44" i="13"/>
  <c r="O80" i="13"/>
  <c r="H80" i="13"/>
  <c r="L76" i="13"/>
  <c r="H100" i="13"/>
  <c r="I100" i="13" s="1"/>
  <c r="O100" i="13"/>
  <c r="O84" i="13"/>
  <c r="H84" i="13"/>
  <c r="I84" i="13" s="1"/>
  <c r="H45" i="13"/>
  <c r="O45" i="13"/>
  <c r="O19" i="13"/>
  <c r="H19" i="13"/>
  <c r="I19" i="13" s="1"/>
  <c r="O65" i="13"/>
  <c r="H65" i="13"/>
  <c r="I65" i="13" s="1"/>
  <c r="O64" i="13"/>
  <c r="H64" i="13"/>
  <c r="I64" i="13" s="1"/>
  <c r="O102" i="13"/>
  <c r="H102" i="13"/>
  <c r="I102" i="13" s="1"/>
  <c r="L98" i="13"/>
  <c r="L23" i="13"/>
  <c r="O66" i="13"/>
  <c r="H66" i="13"/>
  <c r="I66" i="13" s="1"/>
  <c r="O104" i="13"/>
  <c r="H104" i="13"/>
  <c r="I104" i="13" s="1"/>
  <c r="L53" i="13"/>
  <c r="H107" i="13"/>
  <c r="I107" i="13" s="1"/>
  <c r="O107" i="13"/>
  <c r="O76" i="13"/>
  <c r="L56" i="13"/>
  <c r="O82" i="13"/>
  <c r="H82" i="13"/>
  <c r="I82" i="13" s="1"/>
  <c r="O25" i="13"/>
  <c r="H25" i="13"/>
  <c r="I25" i="13" s="1"/>
  <c r="H87" i="13"/>
  <c r="L112" i="13"/>
  <c r="N112" i="13"/>
  <c r="O112" i="13"/>
  <c r="O79" i="13"/>
  <c r="H79" i="13"/>
  <c r="I79" i="13" s="1"/>
  <c r="H32" i="13"/>
  <c r="I32" i="13" s="1"/>
  <c r="O32" i="13"/>
  <c r="H58" i="13"/>
  <c r="I58" i="13" s="1"/>
  <c r="L47" i="13"/>
  <c r="H71" i="13"/>
  <c r="I71" i="13" s="1"/>
  <c r="O71" i="13"/>
  <c r="O98" i="13"/>
  <c r="O54" i="13"/>
  <c r="N38" i="13"/>
  <c r="Q5" i="13"/>
  <c r="O61" i="13"/>
  <c r="H61" i="13"/>
  <c r="I61" i="13" s="1"/>
  <c r="N35" i="13"/>
  <c r="L35" i="13"/>
  <c r="H94" i="13"/>
  <c r="I94" i="13" s="1"/>
  <c r="O94" i="13"/>
  <c r="Q6" i="13"/>
  <c r="O77" i="13"/>
  <c r="H77" i="13"/>
  <c r="O95" i="13"/>
  <c r="H95" i="13"/>
  <c r="I95" i="13" s="1"/>
  <c r="O111" i="13"/>
  <c r="H111" i="13"/>
  <c r="I111" i="13" s="1"/>
  <c r="O43" i="13"/>
  <c r="H43" i="13"/>
  <c r="O36" i="13"/>
  <c r="H36" i="13"/>
  <c r="I36" i="13" s="1"/>
  <c r="O24" i="13"/>
  <c r="H24" i="13"/>
  <c r="I24" i="13" s="1"/>
  <c r="N26" i="13"/>
  <c r="L26" i="13"/>
  <c r="O26" i="13"/>
  <c r="O56" i="13"/>
  <c r="O59" i="13"/>
  <c r="H59" i="13"/>
  <c r="I59" i="13" s="1"/>
  <c r="O57" i="13"/>
  <c r="H57" i="13"/>
  <c r="I57" i="13" s="1"/>
  <c r="O110" i="13"/>
  <c r="H110" i="13"/>
  <c r="I110" i="13" s="1"/>
  <c r="H69" i="13"/>
  <c r="I69" i="13" s="1"/>
  <c r="O69" i="13"/>
  <c r="O67" i="13"/>
  <c r="H67" i="13"/>
  <c r="I67" i="13" s="1"/>
  <c r="L30" i="13"/>
  <c r="H73" i="13"/>
  <c r="L54" i="13"/>
  <c r="O23" i="13"/>
  <c r="O88" i="13"/>
  <c r="O75" i="13"/>
  <c r="H75" i="13"/>
  <c r="O97" i="13"/>
  <c r="H97" i="13"/>
  <c r="O50" i="13"/>
  <c r="H50" i="13"/>
  <c r="I50" i="13" s="1"/>
  <c r="O92" i="13"/>
  <c r="H92" i="13"/>
  <c r="I92" i="13" s="1"/>
  <c r="N60" i="13"/>
  <c r="L60" i="13"/>
  <c r="O47" i="13"/>
  <c r="O99" i="13"/>
  <c r="H99" i="13"/>
  <c r="I99" i="13" s="1"/>
  <c r="O52" i="13"/>
  <c r="H52" i="13"/>
  <c r="O72" i="13"/>
  <c r="H72" i="13"/>
  <c r="I72" i="13" s="1"/>
  <c r="H48" i="13"/>
  <c r="I48" i="13" s="1"/>
  <c r="H41" i="13"/>
  <c r="I41" i="13" s="1"/>
  <c r="H14" i="13"/>
  <c r="I14" i="13" s="1"/>
  <c r="H15" i="13"/>
  <c r="I15" i="13" s="1"/>
  <c r="H70" i="13"/>
  <c r="I70" i="13" s="1"/>
  <c r="H103" i="13"/>
  <c r="I103" i="13" s="1"/>
  <c r="H105" i="13"/>
  <c r="I105" i="13" s="1"/>
  <c r="O28" i="13"/>
  <c r="H28" i="13"/>
  <c r="I28" i="13" s="1"/>
  <c r="O60" i="13"/>
  <c r="H86" i="13"/>
  <c r="I86" i="13" s="1"/>
  <c r="O53" i="13"/>
  <c r="O30" i="13"/>
  <c r="L88" i="13"/>
  <c r="O35" i="13"/>
  <c r="H101" i="13"/>
  <c r="I101" i="13" s="1"/>
  <c r="O101" i="13"/>
  <c r="L78" i="13"/>
  <c r="H51" i="13"/>
  <c r="I51" i="13" s="1"/>
  <c r="O78" i="13"/>
  <c r="O93" i="13"/>
  <c r="N46" i="14" l="1"/>
  <c r="O42" i="14"/>
  <c r="O41" i="14"/>
  <c r="P39" i="14"/>
  <c r="P38" i="14"/>
  <c r="Q37" i="14"/>
  <c r="N98" i="13"/>
  <c r="I97" i="13"/>
  <c r="N97" i="13" s="1"/>
  <c r="N81" i="13"/>
  <c r="I80" i="13"/>
  <c r="N80" i="13" s="1"/>
  <c r="N53" i="13"/>
  <c r="I52" i="13"/>
  <c r="N52" i="13" s="1"/>
  <c r="N78" i="13"/>
  <c r="I77" i="13"/>
  <c r="N77" i="13" s="1"/>
  <c r="I113" i="13"/>
  <c r="N113" i="13" s="1"/>
  <c r="N76" i="13"/>
  <c r="I75" i="13"/>
  <c r="N75" i="13" s="1"/>
  <c r="N46" i="13"/>
  <c r="I45" i="13"/>
  <c r="N45" i="13" s="1"/>
  <c r="N34" i="13"/>
  <c r="I33" i="13"/>
  <c r="N33" i="13" s="1"/>
  <c r="I114" i="13"/>
  <c r="N114" i="13" s="1"/>
  <c r="N74" i="13"/>
  <c r="I73" i="13"/>
  <c r="N73" i="13" s="1"/>
  <c r="N44" i="13"/>
  <c r="I43" i="13"/>
  <c r="N43" i="13" s="1"/>
  <c r="N88" i="13"/>
  <c r="I87" i="13"/>
  <c r="N87" i="13" s="1"/>
  <c r="N23" i="13"/>
  <c r="N83" i="13"/>
  <c r="N108" i="13"/>
  <c r="N109" i="13"/>
  <c r="L49" i="13"/>
  <c r="L62" i="13"/>
  <c r="N63" i="13"/>
  <c r="N11" i="13"/>
  <c r="N22" i="13"/>
  <c r="N13" i="13"/>
  <c r="N20" i="13"/>
  <c r="N21" i="13"/>
  <c r="N55" i="13"/>
  <c r="N56" i="13"/>
  <c r="L18" i="13"/>
  <c r="N19" i="13"/>
  <c r="L31" i="13"/>
  <c r="L63" i="13"/>
  <c r="L29" i="13"/>
  <c r="N30" i="13"/>
  <c r="L16" i="13"/>
  <c r="N17" i="13"/>
  <c r="N90" i="13"/>
  <c r="N39" i="13"/>
  <c r="N40" i="13"/>
  <c r="N68" i="13"/>
  <c r="N42" i="13"/>
  <c r="Q4" i="13"/>
  <c r="F69" i="3" s="1"/>
  <c r="L90" i="13"/>
  <c r="L42" i="13"/>
  <c r="N62" i="13"/>
  <c r="L68" i="13"/>
  <c r="N18" i="13"/>
  <c r="N31" i="13"/>
  <c r="L13" i="13"/>
  <c r="L55" i="13"/>
  <c r="N29" i="13"/>
  <c r="L114" i="13"/>
  <c r="L22" i="13"/>
  <c r="L108" i="13"/>
  <c r="L11" i="13"/>
  <c r="N49" i="13"/>
  <c r="L113" i="13"/>
  <c r="L10" i="13"/>
  <c r="I10" i="13"/>
  <c r="N10" i="13" s="1"/>
  <c r="L109" i="13"/>
  <c r="L17" i="13"/>
  <c r="N16" i="13"/>
  <c r="L40" i="13"/>
  <c r="L85" i="13"/>
  <c r="N85" i="13"/>
  <c r="L89" i="13"/>
  <c r="N89" i="13"/>
  <c r="L21" i="13"/>
  <c r="L83" i="13"/>
  <c r="L96" i="13"/>
  <c r="N96" i="13"/>
  <c r="N91" i="13"/>
  <c r="L91" i="13"/>
  <c r="L27" i="13"/>
  <c r="N27" i="13"/>
  <c r="L33" i="13"/>
  <c r="L37" i="13"/>
  <c r="N37" i="13"/>
  <c r="L20" i="13"/>
  <c r="L39" i="13"/>
  <c r="L12" i="13"/>
  <c r="N12" i="13"/>
  <c r="N106" i="13"/>
  <c r="L106" i="13"/>
  <c r="L70" i="13"/>
  <c r="N70" i="13"/>
  <c r="L73" i="13"/>
  <c r="L43" i="13"/>
  <c r="L95" i="13"/>
  <c r="N95" i="13"/>
  <c r="N58" i="13"/>
  <c r="L58" i="13"/>
  <c r="L101" i="13"/>
  <c r="N101" i="13"/>
  <c r="N15" i="13"/>
  <c r="L15" i="13"/>
  <c r="L97" i="13"/>
  <c r="L57" i="13"/>
  <c r="N57" i="13"/>
  <c r="L71" i="13"/>
  <c r="N71" i="13"/>
  <c r="L107" i="13"/>
  <c r="N107" i="13"/>
  <c r="N102" i="13"/>
  <c r="L102" i="13"/>
  <c r="N65" i="13"/>
  <c r="L65" i="13"/>
  <c r="L80" i="13"/>
  <c r="N105" i="13"/>
  <c r="L105" i="13"/>
  <c r="N32" i="13"/>
  <c r="L32" i="13"/>
  <c r="L87" i="13"/>
  <c r="L45" i="13"/>
  <c r="L100" i="13"/>
  <c r="N100" i="13"/>
  <c r="L28" i="13"/>
  <c r="N28" i="13"/>
  <c r="L41" i="13"/>
  <c r="N41" i="13"/>
  <c r="L52" i="13"/>
  <c r="L94" i="13"/>
  <c r="N94" i="13"/>
  <c r="N61" i="13"/>
  <c r="L61" i="13"/>
  <c r="N48" i="13"/>
  <c r="L48" i="13"/>
  <c r="L92" i="13"/>
  <c r="N92" i="13"/>
  <c r="L24" i="13"/>
  <c r="N24" i="13"/>
  <c r="N82" i="13"/>
  <c r="L82" i="13"/>
  <c r="N51" i="13"/>
  <c r="L51" i="13"/>
  <c r="L72" i="13"/>
  <c r="N72" i="13"/>
  <c r="L99" i="13"/>
  <c r="N99" i="13"/>
  <c r="N69" i="13"/>
  <c r="L69" i="13"/>
  <c r="L111" i="13"/>
  <c r="N111" i="13"/>
  <c r="L77" i="13"/>
  <c r="L86" i="13"/>
  <c r="N86" i="13"/>
  <c r="L103" i="13"/>
  <c r="N103" i="13"/>
  <c r="L14" i="13"/>
  <c r="N14" i="13"/>
  <c r="L50" i="13"/>
  <c r="N50" i="13"/>
  <c r="L75" i="13"/>
  <c r="N67" i="13"/>
  <c r="L67" i="13"/>
  <c r="L110" i="13"/>
  <c r="N110" i="13"/>
  <c r="L59" i="13"/>
  <c r="N59" i="13"/>
  <c r="L36" i="13"/>
  <c r="N36" i="13"/>
  <c r="L79" i="13"/>
  <c r="N79" i="13"/>
  <c r="N25" i="13"/>
  <c r="L25" i="13"/>
  <c r="L104" i="13"/>
  <c r="N104" i="13"/>
  <c r="L66" i="13"/>
  <c r="N66" i="13"/>
  <c r="N64" i="13"/>
  <c r="L64" i="13"/>
  <c r="L19" i="13"/>
  <c r="N84" i="13"/>
  <c r="L84" i="13"/>
  <c r="O46" i="14" l="1"/>
  <c r="P42" i="14"/>
  <c r="P41" i="14"/>
  <c r="R37" i="14"/>
  <c r="Q39" i="14"/>
  <c r="Q38" i="14"/>
  <c r="N5" i="13"/>
  <c r="O2" i="13"/>
  <c r="F55" i="1" s="1"/>
  <c r="J10" i="13"/>
  <c r="P46" i="14" l="1"/>
  <c r="R39" i="14"/>
  <c r="R38" i="14"/>
  <c r="S37" i="14"/>
  <c r="Q41" i="14"/>
  <c r="Q42" i="14"/>
  <c r="F68" i="3"/>
  <c r="F70" i="3" s="1"/>
  <c r="H8" i="7" s="1"/>
  <c r="J11" i="13"/>
  <c r="K10" i="13"/>
  <c r="T37" i="14" l="1"/>
  <c r="S38" i="14"/>
  <c r="S39" i="14"/>
  <c r="Q46" i="14"/>
  <c r="R41" i="14"/>
  <c r="R42" i="14"/>
  <c r="E22" i="14"/>
  <c r="H10" i="7"/>
  <c r="H12" i="7" s="1"/>
  <c r="H13" i="7" s="1"/>
  <c r="H15" i="7" s="1"/>
  <c r="J12" i="13"/>
  <c r="K11" i="13"/>
  <c r="S42" i="14" l="1"/>
  <c r="S41" i="14"/>
  <c r="R46" i="14"/>
  <c r="T39" i="14"/>
  <c r="T38" i="14"/>
  <c r="T40" i="14" s="1"/>
  <c r="U37" i="14"/>
  <c r="G40" i="14"/>
  <c r="G47" i="14" s="1"/>
  <c r="K40" i="14"/>
  <c r="K47" i="14" s="1"/>
  <c r="O40" i="14"/>
  <c r="O47" i="14" s="1"/>
  <c r="S40" i="14"/>
  <c r="H40" i="14"/>
  <c r="H47" i="14" s="1"/>
  <c r="L40" i="14"/>
  <c r="L47" i="14" s="1"/>
  <c r="E40" i="14"/>
  <c r="E47" i="14" s="1"/>
  <c r="I40" i="14"/>
  <c r="I47" i="14" s="1"/>
  <c r="M40" i="14"/>
  <c r="M47" i="14" s="1"/>
  <c r="Q40" i="14"/>
  <c r="Q47" i="14" s="1"/>
  <c r="P40" i="14"/>
  <c r="P47" i="14" s="1"/>
  <c r="F40" i="14"/>
  <c r="F47" i="14" s="1"/>
  <c r="J40" i="14"/>
  <c r="J47" i="14" s="1"/>
  <c r="N40" i="14"/>
  <c r="N47" i="14" s="1"/>
  <c r="R40" i="14"/>
  <c r="H11" i="7"/>
  <c r="H14" i="7" s="1"/>
  <c r="H19" i="7" s="1"/>
  <c r="H18" i="7" s="1"/>
  <c r="H20" i="7" s="1"/>
  <c r="H22" i="7" s="1"/>
  <c r="J13" i="13"/>
  <c r="K12" i="13"/>
  <c r="S46" i="14" l="1"/>
  <c r="S47" i="14" s="1"/>
  <c r="S49" i="14" s="1"/>
  <c r="T42" i="14"/>
  <c r="T41" i="14"/>
  <c r="R47" i="14"/>
  <c r="R49" i="14" s="1"/>
  <c r="V37" i="14"/>
  <c r="U39" i="14"/>
  <c r="U38" i="14"/>
  <c r="U40" i="14" s="1"/>
  <c r="N49" i="14"/>
  <c r="N50" i="14"/>
  <c r="P50" i="14"/>
  <c r="P49" i="14"/>
  <c r="Q49" i="14"/>
  <c r="Q50" i="14"/>
  <c r="M50" i="14"/>
  <c r="M49" i="14"/>
  <c r="L50" i="14"/>
  <c r="L49" i="14"/>
  <c r="O50" i="14"/>
  <c r="O49" i="14"/>
  <c r="J49" i="14"/>
  <c r="J50" i="14"/>
  <c r="I50" i="14"/>
  <c r="I49" i="14"/>
  <c r="H50" i="14"/>
  <c r="H49" i="14"/>
  <c r="K49" i="14"/>
  <c r="K50" i="14"/>
  <c r="F49" i="14"/>
  <c r="F50" i="14"/>
  <c r="E49" i="14"/>
  <c r="E50" i="14"/>
  <c r="G49" i="14"/>
  <c r="G50" i="14"/>
  <c r="H28" i="7"/>
  <c r="F71" i="3" s="1"/>
  <c r="F72" i="3" s="1"/>
  <c r="J14" i="13"/>
  <c r="K13" i="13"/>
  <c r="S50" i="14" l="1"/>
  <c r="S52" i="14" s="1"/>
  <c r="S53" i="14" s="1"/>
  <c r="S54" i="14" s="1"/>
  <c r="S56" i="14" s="1"/>
  <c r="T46" i="14"/>
  <c r="T47" i="14" s="1"/>
  <c r="T50" i="14" s="1"/>
  <c r="U42" i="14"/>
  <c r="U41" i="14"/>
  <c r="H52" i="14"/>
  <c r="H53" i="14" s="1"/>
  <c r="H54" i="14" s="1"/>
  <c r="H56" i="14" s="1"/>
  <c r="O52" i="14"/>
  <c r="O53" i="14" s="1"/>
  <c r="O54" i="14" s="1"/>
  <c r="O56" i="14" s="1"/>
  <c r="M52" i="14"/>
  <c r="M53" i="14" s="1"/>
  <c r="M54" i="14" s="1"/>
  <c r="M56" i="14" s="1"/>
  <c r="P52" i="14"/>
  <c r="P53" i="14" s="1"/>
  <c r="P54" i="14" s="1"/>
  <c r="P56" i="14" s="1"/>
  <c r="R50" i="14"/>
  <c r="R52" i="14" s="1"/>
  <c r="R53" i="14" s="1"/>
  <c r="R54" i="14" s="1"/>
  <c r="R56" i="14" s="1"/>
  <c r="V39" i="14"/>
  <c r="V38" i="14"/>
  <c r="V40" i="14" s="1"/>
  <c r="W37" i="14"/>
  <c r="K52" i="14"/>
  <c r="K53" i="14" s="1"/>
  <c r="K54" i="14" s="1"/>
  <c r="K56" i="14" s="1"/>
  <c r="J52" i="14"/>
  <c r="J53" i="14" s="1"/>
  <c r="J54" i="14" s="1"/>
  <c r="J56" i="14" s="1"/>
  <c r="Q52" i="14"/>
  <c r="Q53" i="14" s="1"/>
  <c r="Q54" i="14" s="1"/>
  <c r="Q56" i="14" s="1"/>
  <c r="N52" i="14"/>
  <c r="N53" i="14" s="1"/>
  <c r="N54" i="14" s="1"/>
  <c r="N56" i="14" s="1"/>
  <c r="G52" i="14"/>
  <c r="G53" i="14" s="1"/>
  <c r="G54" i="14" s="1"/>
  <c r="G56" i="14" s="1"/>
  <c r="E52" i="14"/>
  <c r="E53" i="14" s="1"/>
  <c r="E54" i="14" s="1"/>
  <c r="E56" i="14" s="1"/>
  <c r="E57" i="14" s="1"/>
  <c r="E60" i="14" s="1"/>
  <c r="F52" i="14"/>
  <c r="F53" i="14" s="1"/>
  <c r="F54" i="14" s="1"/>
  <c r="F56" i="14" s="1"/>
  <c r="I52" i="14"/>
  <c r="I53" i="14" s="1"/>
  <c r="I54" i="14" s="1"/>
  <c r="I56" i="14" s="1"/>
  <c r="L52" i="14"/>
  <c r="L53" i="14" s="1"/>
  <c r="L54" i="14" s="1"/>
  <c r="L56" i="14" s="1"/>
  <c r="F68" i="1"/>
  <c r="O159" i="3"/>
  <c r="O160" i="3" s="1"/>
  <c r="O150" i="3"/>
  <c r="O154" i="3"/>
  <c r="J15" i="13"/>
  <c r="K14" i="13"/>
  <c r="M58" i="14" l="1"/>
  <c r="M61" i="14" s="1"/>
  <c r="P57" i="14"/>
  <c r="P60" i="14" s="1"/>
  <c r="M57" i="14"/>
  <c r="M60" i="14" s="1"/>
  <c r="J58" i="14"/>
  <c r="J61" i="14" s="1"/>
  <c r="O58" i="14"/>
  <c r="O61" i="14" s="1"/>
  <c r="T49" i="14"/>
  <c r="T52" i="14" s="1"/>
  <c r="T53" i="14" s="1"/>
  <c r="T54" i="14" s="1"/>
  <c r="T56" i="14" s="1"/>
  <c r="T57" i="14" s="1"/>
  <c r="T60" i="14" s="1"/>
  <c r="U46" i="14"/>
  <c r="U47" i="14" s="1"/>
  <c r="U50" i="14" s="1"/>
  <c r="V41" i="14"/>
  <c r="V42" i="14"/>
  <c r="X37" i="14"/>
  <c r="W39" i="14"/>
  <c r="W38" i="14"/>
  <c r="W40" i="14" s="1"/>
  <c r="O57" i="14"/>
  <c r="O60" i="14" s="1"/>
  <c r="R57" i="14"/>
  <c r="R60" i="14" s="1"/>
  <c r="R58" i="14"/>
  <c r="R61" i="14" s="1"/>
  <c r="K57" i="14"/>
  <c r="K60" i="14" s="1"/>
  <c r="N58" i="14"/>
  <c r="N61" i="14" s="1"/>
  <c r="Q57" i="14"/>
  <c r="Q60" i="14" s="1"/>
  <c r="Q58" i="14"/>
  <c r="Q61" i="14" s="1"/>
  <c r="P58" i="14"/>
  <c r="P61" i="14" s="1"/>
  <c r="N57" i="14"/>
  <c r="N60" i="14" s="1"/>
  <c r="S57" i="14"/>
  <c r="S60" i="14" s="1"/>
  <c r="J57" i="14"/>
  <c r="J60" i="14" s="1"/>
  <c r="I58" i="14"/>
  <c r="I61" i="14" s="1"/>
  <c r="I57" i="14"/>
  <c r="I60" i="14" s="1"/>
  <c r="G57" i="14"/>
  <c r="G60" i="14" s="1"/>
  <c r="G58" i="14"/>
  <c r="G61" i="14" s="1"/>
  <c r="F57" i="14"/>
  <c r="F60" i="14" s="1"/>
  <c r="F58" i="14"/>
  <c r="F61" i="14" s="1"/>
  <c r="H58" i="14"/>
  <c r="H61" i="14" s="1"/>
  <c r="K58" i="14"/>
  <c r="K61" i="14" s="1"/>
  <c r="L57" i="14"/>
  <c r="L60" i="14" s="1"/>
  <c r="L58" i="14"/>
  <c r="L61" i="14" s="1"/>
  <c r="H57" i="14"/>
  <c r="H60" i="14" s="1"/>
  <c r="O153" i="3"/>
  <c r="O157" i="3"/>
  <c r="O151" i="3"/>
  <c r="O152" i="3"/>
  <c r="O156" i="3"/>
  <c r="O161" i="3"/>
  <c r="O162" i="3"/>
  <c r="O158" i="3"/>
  <c r="O155" i="3"/>
  <c r="O163" i="3"/>
  <c r="J16" i="13"/>
  <c r="K15" i="13"/>
  <c r="U49" i="14" l="1"/>
  <c r="U52" i="14" s="1"/>
  <c r="U53" i="14" s="1"/>
  <c r="U54" i="14" s="1"/>
  <c r="U56" i="14" s="1"/>
  <c r="U57" i="14" s="1"/>
  <c r="U60" i="14" s="1"/>
  <c r="S58" i="14"/>
  <c r="S61" i="14" s="1"/>
  <c r="X39" i="14"/>
  <c r="X38" i="14"/>
  <c r="X40" i="14" s="1"/>
  <c r="V46" i="14"/>
  <c r="V47" i="14" s="1"/>
  <c r="W42" i="14"/>
  <c r="W41" i="14"/>
  <c r="J17" i="13"/>
  <c r="K16" i="13"/>
  <c r="W46" i="14" l="1"/>
  <c r="W47" i="14" s="1"/>
  <c r="W50" i="14" s="1"/>
  <c r="T58" i="14"/>
  <c r="T61" i="14" s="1"/>
  <c r="V50" i="14"/>
  <c r="V49" i="14"/>
  <c r="X41" i="14"/>
  <c r="X42" i="14"/>
  <c r="J18" i="13"/>
  <c r="K17" i="13"/>
  <c r="W49" i="14" l="1"/>
  <c r="W52" i="14" s="1"/>
  <c r="W53" i="14" s="1"/>
  <c r="W54" i="14" s="1"/>
  <c r="W56" i="14" s="1"/>
  <c r="X46" i="14"/>
  <c r="X47" i="14" s="1"/>
  <c r="X49" i="14" s="1"/>
  <c r="V52" i="14"/>
  <c r="V53" i="14" s="1"/>
  <c r="V54" i="14" s="1"/>
  <c r="V56" i="14" s="1"/>
  <c r="J19" i="13"/>
  <c r="K18" i="13"/>
  <c r="X50" i="14" l="1"/>
  <c r="X52" i="14" s="1"/>
  <c r="X53" i="14" s="1"/>
  <c r="X54" i="14" s="1"/>
  <c r="X56" i="14" s="1"/>
  <c r="V58" i="14"/>
  <c r="V61" i="14" s="1"/>
  <c r="V57" i="14"/>
  <c r="V60" i="14" s="1"/>
  <c r="U58" i="14"/>
  <c r="U61" i="14" s="1"/>
  <c r="W57" i="14"/>
  <c r="W60" i="14" s="1"/>
  <c r="J20" i="13"/>
  <c r="K19" i="13"/>
  <c r="X58" i="14" l="1"/>
  <c r="X61" i="14" s="1"/>
  <c r="X57" i="14"/>
  <c r="X60" i="14" s="1"/>
  <c r="K29" i="14" s="1"/>
  <c r="L29" i="14" s="1"/>
  <c r="F62" i="1" s="1"/>
  <c r="W58" i="14"/>
  <c r="W61" i="14" s="1"/>
  <c r="J21" i="13"/>
  <c r="K20" i="13"/>
  <c r="K30" i="14" l="1"/>
  <c r="L30" i="14" s="1"/>
  <c r="F63" i="1" s="1"/>
  <c r="J22" i="13"/>
  <c r="K21" i="13"/>
  <c r="J23" i="13" l="1"/>
  <c r="K22" i="13"/>
  <c r="J24" i="13" l="1"/>
  <c r="K23" i="13"/>
  <c r="J25" i="13" l="1"/>
  <c r="K24" i="13"/>
  <c r="J26" i="13" l="1"/>
  <c r="K25" i="13"/>
  <c r="J27" i="13" l="1"/>
  <c r="K26" i="13"/>
  <c r="J28" i="13" l="1"/>
  <c r="K27" i="13"/>
  <c r="J29" i="13" l="1"/>
  <c r="K28" i="13"/>
  <c r="J30" i="13" l="1"/>
  <c r="K29" i="13"/>
  <c r="J31" i="13" l="1"/>
  <c r="K30" i="13"/>
  <c r="J32" i="13" l="1"/>
  <c r="K31" i="13"/>
  <c r="J33" i="13" l="1"/>
  <c r="K32" i="13"/>
  <c r="J34" i="13" l="1"/>
  <c r="K33" i="13"/>
  <c r="J35" i="13" l="1"/>
  <c r="K34" i="13"/>
  <c r="J36" i="13" l="1"/>
  <c r="K35" i="13"/>
  <c r="J37" i="13" l="1"/>
  <c r="K36" i="13"/>
  <c r="J38" i="13" l="1"/>
  <c r="K37" i="13"/>
  <c r="J39" i="13" l="1"/>
  <c r="K38" i="13"/>
  <c r="J40" i="13" l="1"/>
  <c r="K39" i="13"/>
  <c r="J41" i="13" l="1"/>
  <c r="K40" i="13"/>
  <c r="J42" i="13" l="1"/>
  <c r="K41" i="13"/>
  <c r="J43" i="13" l="1"/>
  <c r="K42" i="13"/>
  <c r="J44" i="13" l="1"/>
  <c r="K43" i="13"/>
  <c r="J45" i="13" l="1"/>
  <c r="K44" i="13"/>
  <c r="J46" i="13" l="1"/>
  <c r="K45" i="13"/>
  <c r="J47" i="13" l="1"/>
  <c r="K46" i="13"/>
  <c r="J48" i="13" l="1"/>
  <c r="K47" i="13"/>
  <c r="J49" i="13" l="1"/>
  <c r="K48" i="13"/>
  <c r="J50" i="13" l="1"/>
  <c r="K49" i="13"/>
  <c r="J51" i="13" l="1"/>
  <c r="K50" i="13"/>
  <c r="J52" i="13" l="1"/>
  <c r="K51" i="13"/>
  <c r="J53" i="13" l="1"/>
  <c r="K52" i="13"/>
  <c r="J54" i="13" l="1"/>
  <c r="K53" i="13"/>
  <c r="J55" i="13" l="1"/>
  <c r="K54" i="13"/>
  <c r="J56" i="13" l="1"/>
  <c r="K55" i="13"/>
  <c r="J57" i="13" l="1"/>
  <c r="K56" i="13"/>
  <c r="J58" i="13" l="1"/>
  <c r="K57" i="13"/>
  <c r="J59" i="13" l="1"/>
  <c r="K58" i="13"/>
  <c r="J60" i="13" l="1"/>
  <c r="K59" i="13"/>
  <c r="J61" i="13" l="1"/>
  <c r="K60" i="13"/>
  <c r="J62" i="13" l="1"/>
  <c r="K61" i="13"/>
  <c r="J63" i="13" l="1"/>
  <c r="K62" i="13"/>
  <c r="J64" i="13" l="1"/>
  <c r="K63" i="13"/>
  <c r="J65" i="13" l="1"/>
  <c r="K64" i="13"/>
  <c r="J66" i="13" l="1"/>
  <c r="K65" i="13"/>
  <c r="J67" i="13" l="1"/>
  <c r="K66" i="13"/>
  <c r="J68" i="13" l="1"/>
  <c r="K67" i="13"/>
  <c r="J69" i="13" l="1"/>
  <c r="K68" i="13"/>
  <c r="J70" i="13" l="1"/>
  <c r="K69" i="13"/>
  <c r="J71" i="13" l="1"/>
  <c r="K70" i="13"/>
  <c r="J72" i="13" l="1"/>
  <c r="K71" i="13"/>
  <c r="J73" i="13" l="1"/>
  <c r="K72" i="13"/>
  <c r="J74" i="13" l="1"/>
  <c r="K73" i="13"/>
  <c r="J75" i="13" l="1"/>
  <c r="K74" i="13"/>
  <c r="J76" i="13" l="1"/>
  <c r="K75" i="13"/>
  <c r="J77" i="13" l="1"/>
  <c r="K76" i="13"/>
  <c r="J78" i="13" l="1"/>
  <c r="K77" i="13"/>
  <c r="J79" i="13" l="1"/>
  <c r="K78" i="13"/>
  <c r="J80" i="13" l="1"/>
  <c r="K79" i="13"/>
  <c r="J81" i="13" l="1"/>
  <c r="K80" i="13"/>
  <c r="J82" i="13" l="1"/>
  <c r="K81" i="13"/>
  <c r="J83" i="13" l="1"/>
  <c r="K82" i="13"/>
  <c r="J84" i="13" l="1"/>
  <c r="K83" i="13"/>
  <c r="J85" i="13" l="1"/>
  <c r="K84" i="13"/>
  <c r="J86" i="13" l="1"/>
  <c r="K85" i="13"/>
  <c r="J87" i="13" l="1"/>
  <c r="K86" i="13"/>
  <c r="J88" i="13" l="1"/>
  <c r="K87" i="13"/>
  <c r="J89" i="13" l="1"/>
  <c r="K88" i="13"/>
  <c r="J90" i="13" l="1"/>
  <c r="K89" i="13"/>
  <c r="J91" i="13" l="1"/>
  <c r="K90" i="13"/>
  <c r="J92" i="13" l="1"/>
  <c r="K91" i="13"/>
  <c r="J93" i="13" l="1"/>
  <c r="K92" i="13"/>
  <c r="J94" i="13" l="1"/>
  <c r="K93" i="13"/>
  <c r="J95" i="13" l="1"/>
  <c r="K94" i="13"/>
  <c r="J96" i="13" l="1"/>
  <c r="K95" i="13"/>
  <c r="J97" i="13" l="1"/>
  <c r="K96" i="13"/>
  <c r="J98" i="13" l="1"/>
  <c r="K97" i="13"/>
  <c r="J99" i="13" l="1"/>
  <c r="K98" i="13"/>
  <c r="J100" i="13" l="1"/>
  <c r="K99" i="13"/>
  <c r="J101" i="13" l="1"/>
  <c r="K100" i="13"/>
  <c r="J102" i="13" l="1"/>
  <c r="K101" i="13"/>
  <c r="J103" i="13" l="1"/>
  <c r="K102" i="13"/>
  <c r="J104" i="13" l="1"/>
  <c r="K103" i="13"/>
  <c r="J105" i="13" l="1"/>
  <c r="K104" i="13"/>
  <c r="J106" i="13" l="1"/>
  <c r="K105" i="13"/>
  <c r="J107" i="13" l="1"/>
  <c r="K106" i="13"/>
  <c r="J108" i="13" l="1"/>
  <c r="K107" i="13"/>
  <c r="J109" i="13" l="1"/>
  <c r="K108" i="13"/>
  <c r="J110" i="13" l="1"/>
  <c r="K109" i="13"/>
  <c r="J111" i="13" l="1"/>
  <c r="K110" i="13"/>
  <c r="J112" i="13" l="1"/>
  <c r="K111" i="13"/>
  <c r="J113" i="13" l="1"/>
  <c r="K112" i="13"/>
  <c r="J114" i="13" l="1"/>
  <c r="K113" i="13"/>
  <c r="M2" i="13" l="1"/>
  <c r="K114" i="13"/>
  <c r="K115" i="13" s="1"/>
  <c r="F54" i="1" l="1"/>
  <c r="F53" i="3"/>
  <c r="F55" i="3" s="1"/>
  <c r="F56" i="3" s="1"/>
  <c r="F56" i="1" l="1"/>
  <c r="F57" i="1"/>
</calcChain>
</file>

<file path=xl/comments1.xml><?xml version="1.0" encoding="utf-8"?>
<comments xmlns="http://schemas.openxmlformats.org/spreadsheetml/2006/main">
  <authors>
    <author>dmorgan</author>
    <author>a0272042</author>
    <author>Alex Triano</author>
    <author>bdemsc</author>
  </authors>
  <commentList>
    <comment ref="F14" authorId="0">
      <text>
        <r>
          <rPr>
            <b/>
            <sz val="8"/>
            <color indexed="81"/>
            <rFont val="Tahoma"/>
            <family val="2"/>
          </rPr>
          <t>The minimum system voltage must be no less than 10V</t>
        </r>
      </text>
    </comment>
    <comment ref="F16" authorId="0">
      <text>
        <r>
          <rPr>
            <b/>
            <sz val="8"/>
            <color indexed="81"/>
            <rFont val="Tahoma"/>
            <family val="2"/>
          </rPr>
          <t>The maximum system voltage must be no greater than 80V.</t>
        </r>
      </text>
    </comment>
    <comment ref="F18" authorId="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21" authorId="1">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22" authorId="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23" authorId="1">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28" authorId="1">
      <text>
        <r>
          <rPr>
            <b/>
            <sz val="9"/>
            <color indexed="81"/>
            <rFont val="Tahoma"/>
            <family val="2"/>
          </rPr>
          <t xml:space="preserve">Ensure that the minimum current limit is above maximum load. </t>
        </r>
      </text>
    </comment>
    <comment ref="F29" authorId="1">
      <text>
        <r>
          <rPr>
            <b/>
            <sz val="9"/>
            <color indexed="81"/>
            <rFont val="Tahoma"/>
            <family val="2"/>
          </rPr>
          <t xml:space="preserve">Ensure that the minimum current limit is above maximum load. </t>
        </r>
        <r>
          <rPr>
            <sz val="9"/>
            <color indexed="81"/>
            <rFont val="Tahoma"/>
            <family val="2"/>
          </rPr>
          <t xml:space="preserve">
</t>
        </r>
      </text>
    </comment>
    <comment ref="F30" authorId="1">
      <text>
        <r>
          <rPr>
            <b/>
            <sz val="9"/>
            <color indexed="81"/>
            <rFont val="Tahoma"/>
            <family val="2"/>
          </rPr>
          <t xml:space="preserve">Ensure that the minimum current limit is above maximum load. </t>
        </r>
        <r>
          <rPr>
            <sz val="9"/>
            <color indexed="81"/>
            <rFont val="Tahoma"/>
            <family val="2"/>
          </rPr>
          <t xml:space="preserve">
</t>
        </r>
      </text>
    </comment>
    <comment ref="F31" authorId="0">
      <text>
        <r>
          <rPr>
            <b/>
            <sz val="8"/>
            <color indexed="81"/>
            <rFont val="Tahoma"/>
            <family val="2"/>
          </rPr>
          <t>The power dissipation is calculated using the maximum normal load current.
Ensure the selected resistor is rated for this power dissipation.</t>
        </r>
      </text>
    </comment>
    <comment ref="F33" authorId="2">
      <text>
        <r>
          <rPr>
            <b/>
            <sz val="9"/>
            <color indexed="81"/>
            <rFont val="Tahoma"/>
            <family val="2"/>
          </rPr>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r>
      </text>
    </comment>
    <comment ref="F35" authorId="1">
      <text>
        <r>
          <rPr>
            <b/>
            <sz val="9"/>
            <color indexed="81"/>
            <rFont val="Tahoma"/>
            <family val="2"/>
          </rPr>
          <t>This number may need to be adjusted iteratively based on the result of cell C44.</t>
        </r>
        <r>
          <rPr>
            <sz val="9"/>
            <color indexed="81"/>
            <rFont val="Tahoma"/>
            <family val="2"/>
          </rPr>
          <t xml:space="preserve">
</t>
        </r>
      </text>
    </comment>
    <comment ref="F43" authorId="1">
      <text>
        <r>
          <rPr>
            <sz val="9"/>
            <color indexed="81"/>
            <rFont val="Tahoma"/>
            <family val="2"/>
          </rPr>
          <t xml:space="preserve">If FET temperature is too high, increase the # of FETs, reduce the load, or reduce the RθJA by adding more heat sinking to MOSFETs. 
</t>
        </r>
      </text>
    </comment>
    <comment ref="F45" authorId="1">
      <text>
        <r>
          <rPr>
            <sz val="9"/>
            <color indexed="81"/>
            <rFont val="Tahoma"/>
            <family val="2"/>
          </rPr>
          <t xml:space="preserve">Usually this can be set to PLIM,MIN.  If a load is present during start-up a higher Plim, may be preferred. </t>
        </r>
        <r>
          <rPr>
            <b/>
            <sz val="9"/>
            <color indexed="81"/>
            <rFont val="Tahoma"/>
            <family val="2"/>
          </rPr>
          <t xml:space="preserve">
</t>
        </r>
      </text>
    </comment>
    <comment ref="F49" authorId="1">
      <text>
        <r>
          <rPr>
            <sz val="9"/>
            <color indexed="81"/>
            <rFont val="Tahoma"/>
            <family val="2"/>
          </rPr>
          <t xml:space="preserve">Cell turns Red if the actual power limit is below Minimum Power Limit (cell F46)
</t>
        </r>
      </text>
    </comment>
    <comment ref="F51" authorId="3">
      <text>
        <r>
          <rPr>
            <b/>
            <sz val="8"/>
            <color indexed="81"/>
            <rFont val="Tahoma"/>
            <family val="2"/>
          </rPr>
          <t>Select if the load will draw current during start-up. 
For no Load, choose constant current and set to zero</t>
        </r>
      </text>
    </comment>
    <comment ref="F53" authorId="3">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55" authorId="1">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56" authorId="0">
      <text>
        <r>
          <rPr>
            <b/>
            <sz val="8"/>
            <color indexed="81"/>
            <rFont val="Tahoma"/>
            <family val="2"/>
          </rPr>
          <t xml:space="preserve">TO ensure start-up the faul time out must be longer than the start-up time. It is recommended to choose a fault timer that is larger than the typical start-time to account for variations in Plim, timer current, and timer capacitance. </t>
        </r>
      </text>
    </comment>
    <comment ref="F58" authorId="1">
      <text>
        <r>
          <rPr>
            <b/>
            <sz val="9"/>
            <color indexed="81"/>
            <rFont val="Tahoma"/>
            <family val="2"/>
          </rPr>
          <t>Pick closest capacitor that is larger than the Target capacitance</t>
        </r>
        <r>
          <rPr>
            <sz val="9"/>
            <color indexed="81"/>
            <rFont val="Tahoma"/>
            <family val="2"/>
          </rPr>
          <t xml:space="preserve">
</t>
        </r>
      </text>
    </comment>
    <comment ref="F60" authorId="1">
      <text>
        <r>
          <rPr>
            <sz val="9"/>
            <color indexed="81"/>
            <rFont val="Tahoma"/>
            <family val="2"/>
          </rPr>
          <t>A ratio over 1.1 is required and over 1.3 is preferred.  This will account for variation in Power limit and timer
If the margin is poor with a PLIM based start-up,  reduce timer, reduce power limit, use more FETs in parallel or switch to soft start (cell F55)</t>
        </r>
      </text>
    </comment>
    <comment ref="F61" authorId="3">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62" authorId="1">
      <text>
        <r>
          <rPr>
            <b/>
            <sz val="9"/>
            <color indexed="81"/>
            <rFont val="Tahoma"/>
            <family val="2"/>
          </rPr>
          <t xml:space="preserve">If these cells are red, there is no suitable slew rate for keeping FET whithin SOA. 
Reduce load at start-up or pick FET with better SOA. </t>
        </r>
      </text>
    </comment>
    <comment ref="F63" authorId="1">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64" authorId="1">
      <text>
        <r>
          <rPr>
            <b/>
            <sz val="9"/>
            <color indexed="81"/>
            <rFont val="Tahoma"/>
            <family val="2"/>
          </rPr>
          <t>Ensure that this is lower than max ss slew rate in the cell above</t>
        </r>
        <r>
          <rPr>
            <sz val="9"/>
            <color indexed="81"/>
            <rFont val="Tahoma"/>
            <family val="2"/>
          </rPr>
          <t xml:space="preserve">
</t>
        </r>
      </text>
    </comment>
    <comment ref="F67" authorId="1">
      <text>
        <r>
          <rPr>
            <b/>
            <sz val="9"/>
            <color indexed="81"/>
            <rFont val="Tahoma"/>
            <family val="2"/>
          </rPr>
          <t>Ensure that this is lower than max ss slew rate.</t>
        </r>
      </text>
    </comment>
    <comment ref="F68" authorId="1">
      <text>
        <r>
          <rPr>
            <sz val="9"/>
            <color indexed="81"/>
            <rFont val="Tahoma"/>
            <family val="2"/>
          </rPr>
          <t>A margin of &gt;1.1 is required and a margin of &gt;1.3 is recommended to accout for the variation in the gate current. 
Reduce dv/dt rate to reduce inrush current and increase SOA margin</t>
        </r>
      </text>
    </comment>
    <comment ref="F73" authorId="1">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74" authorId="0">
      <text>
        <r>
          <rPr>
            <b/>
            <sz val="8"/>
            <color indexed="81"/>
            <rFont val="Tahoma"/>
            <family val="2"/>
          </rPr>
          <t>This threshold must be between 2.9V and 17V.</t>
        </r>
      </text>
    </comment>
  </commentList>
</comments>
</file>

<file path=xl/comments2.xml><?xml version="1.0" encoding="utf-8"?>
<comments xmlns="http://schemas.openxmlformats.org/spreadsheetml/2006/main">
  <authors>
    <author>bdemsc</author>
  </authors>
  <commentList>
    <comment ref="C39" author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0" author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1" author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List>
</comments>
</file>

<file path=xl/sharedStrings.xml><?xml version="1.0" encoding="utf-8"?>
<sst xmlns="http://schemas.openxmlformats.org/spreadsheetml/2006/main" count="580" uniqueCount="391">
  <si>
    <t>Max Rs =</t>
  </si>
  <si>
    <t>Min. Current limit =</t>
  </si>
  <si>
    <t>Typ. Current limit =</t>
  </si>
  <si>
    <t>Max. Current limit =</t>
  </si>
  <si>
    <t>Rs Power Diss. =</t>
  </si>
  <si>
    <t>ms</t>
  </si>
  <si>
    <t>(V)</t>
  </si>
  <si>
    <t>(A)</t>
  </si>
  <si>
    <t>R1 =</t>
  </si>
  <si>
    <t>R2 =</t>
  </si>
  <si>
    <t>R3 =</t>
  </si>
  <si>
    <t>R4 =</t>
  </si>
  <si>
    <r>
      <t>C</t>
    </r>
    <r>
      <rPr>
        <vertAlign val="subscript"/>
        <sz val="10"/>
        <rFont val="Arial"/>
        <family val="2"/>
      </rPr>
      <t>T</t>
    </r>
    <r>
      <rPr>
        <sz val="10"/>
        <rFont val="Arial"/>
        <family val="2"/>
      </rPr>
      <t xml:space="preserve"> =</t>
    </r>
  </si>
  <si>
    <t>Notes:</t>
  </si>
  <si>
    <t>Option B</t>
  </si>
  <si>
    <t>R3</t>
  </si>
  <si>
    <t>R4</t>
  </si>
  <si>
    <t>A</t>
  </si>
  <si>
    <t>Minimum</t>
  </si>
  <si>
    <t>Typical</t>
  </si>
  <si>
    <t>Maximum</t>
  </si>
  <si>
    <t>Resulting Thresholds:</t>
  </si>
  <si>
    <r>
      <t>V</t>
    </r>
    <r>
      <rPr>
        <b/>
        <vertAlign val="subscript"/>
        <sz val="10"/>
        <rFont val="Arial"/>
        <family val="2"/>
      </rPr>
      <t>DS</t>
    </r>
  </si>
  <si>
    <t>GRAPH:</t>
  </si>
  <si>
    <t>Selected Rs =</t>
  </si>
  <si>
    <t>Max System voltage =</t>
  </si>
  <si>
    <t>Current Lim (min) =</t>
  </si>
  <si>
    <t>Current Lim (typ) =</t>
  </si>
  <si>
    <t>Current Lim (max) =</t>
  </si>
  <si>
    <t>Power Limit (typ)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</si>
  <si>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</si>
  <si>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</si>
  <si>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</si>
  <si>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</si>
  <si>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</si>
  <si>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</si>
  <si>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</si>
  <si>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</si>
  <si>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</si>
  <si>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</si>
  <si>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</si>
  <si>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</si>
  <si>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</si>
  <si>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</si>
  <si>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</si>
  <si>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</si>
  <si>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</si>
  <si>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</si>
  <si>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</si>
  <si>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</si>
  <si>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</si>
  <si>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</si>
  <si>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</si>
  <si>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</si>
  <si>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r>
      <t>1. Although not mandatory, C</t>
    </r>
    <r>
      <rPr>
        <vertAlign val="subscript"/>
        <sz val="10"/>
        <rFont val="Arial"/>
        <family val="2"/>
      </rPr>
      <t>IN</t>
    </r>
    <r>
      <rPr>
        <sz val="10"/>
        <rFont val="Arial"/>
        <family val="2"/>
      </rPr>
      <t xml:space="preserve"> provides transient suppression at the VIN pin</t>
    </r>
  </si>
  <si>
    <t xml:space="preserve">Resulting Upper UVLO Threshold = </t>
  </si>
  <si>
    <t xml:space="preserve">Resulting Lower UVLO Threshold = </t>
  </si>
  <si>
    <t>Resulting Minimum Current Limit</t>
  </si>
  <si>
    <t>Resulting Typical Current Limit</t>
  </si>
  <si>
    <t>Resulting Maximum Current Limit</t>
  </si>
  <si>
    <t>Calculated Values are shown in White Cells</t>
  </si>
  <si>
    <t>www.ti.com/hotswap</t>
  </si>
  <si>
    <r>
      <t>Enter the Resistance for R</t>
    </r>
    <r>
      <rPr>
        <vertAlign val="subscript"/>
        <sz val="10"/>
        <rFont val="Arial"/>
        <family val="2"/>
      </rPr>
      <t>S</t>
    </r>
  </si>
  <si>
    <t>2. A TVS clamp from VIN to GND is absolutely mandatory to clamp the voltage overshoot upon MOSFET turn-off, e.g. during circuit breaker</t>
  </si>
  <si>
    <r>
      <rPr>
        <sz val="11"/>
        <color theme="1"/>
        <rFont val="Arial"/>
        <family val="2"/>
      </rPr>
      <t>R</t>
    </r>
    <r>
      <rPr>
        <vertAlign val="subscript"/>
        <sz val="11"/>
        <color theme="1"/>
        <rFont val="Arial"/>
        <family val="2"/>
      </rPr>
      <t>S</t>
    </r>
    <r>
      <rPr>
        <sz val="11"/>
        <color theme="1"/>
        <rFont val="Arial"/>
        <family val="2"/>
      </rPr>
      <t xml:space="preserve"> =</t>
    </r>
  </si>
  <si>
    <r>
      <t>Minimum Input Operating Voltage: V</t>
    </r>
    <r>
      <rPr>
        <vertAlign val="subscript"/>
        <sz val="10"/>
        <rFont val="Arial"/>
        <family val="2"/>
      </rPr>
      <t>IN(MIN)</t>
    </r>
  </si>
  <si>
    <r>
      <t>Maximum Input Operating Voltage: V</t>
    </r>
    <r>
      <rPr>
        <vertAlign val="subscript"/>
        <sz val="10"/>
        <rFont val="Arial"/>
        <family val="2"/>
      </rPr>
      <t>IN(MAX)</t>
    </r>
  </si>
  <si>
    <r>
      <t>Maximum Power Dissipation in R</t>
    </r>
    <r>
      <rPr>
        <vertAlign val="subscript"/>
        <sz val="10"/>
        <rFont val="Arial"/>
        <family val="2"/>
      </rPr>
      <t>S</t>
    </r>
  </si>
  <si>
    <r>
      <t>I</t>
    </r>
    <r>
      <rPr>
        <b/>
        <vertAlign val="subscript"/>
        <sz val="10"/>
        <rFont val="Arial"/>
        <family val="2"/>
      </rPr>
      <t>D</t>
    </r>
  </si>
  <si>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</si>
  <si>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</si>
  <si>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</si>
  <si>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</si>
  <si>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</si>
  <si>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Number of MosFETs</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</si>
  <si>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</si>
  <si>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</si>
  <si>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</si>
  <si>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</si>
  <si>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</si>
  <si>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</si>
  <si>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</si>
  <si>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</si>
  <si>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</si>
  <si>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</si>
  <si>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</si>
  <si>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</si>
  <si>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</si>
  <si>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</si>
  <si>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</si>
  <si>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</si>
  <si>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</si>
  <si>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</si>
  <si>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</si>
  <si>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</si>
  <si>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</si>
  <si>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</si>
  <si>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</si>
  <si>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</si>
  <si>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</si>
  <si>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</si>
  <si>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</si>
  <si>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</si>
  <si>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</si>
  <si>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Nominal</t>
  </si>
  <si>
    <t>Derated at TJ</t>
  </si>
  <si>
    <t>Operating Conditions</t>
  </si>
  <si>
    <t>Input Voltage</t>
  </si>
  <si>
    <t>Threshold Voltage CL = VDD</t>
  </si>
  <si>
    <t>Sense input Current</t>
  </si>
  <si>
    <t>Units</t>
  </si>
  <si>
    <t>uA</t>
  </si>
  <si>
    <t>Timer</t>
  </si>
  <si>
    <t>Upper Threshold</t>
  </si>
  <si>
    <t>Fault detection current</t>
  </si>
  <si>
    <t>ICAP</t>
  </si>
  <si>
    <t>Junction Temperature</t>
  </si>
  <si>
    <t>VIN</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</si>
  <si>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</si>
  <si>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</si>
  <si>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</si>
  <si>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</si>
  <si>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</si>
  <si>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</si>
  <si>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</si>
  <si>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</si>
  <si>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</si>
  <si>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</si>
  <si>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</si>
  <si>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</si>
  <si>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</si>
  <si>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</si>
  <si>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</si>
  <si>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</si>
  <si>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</si>
  <si>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</si>
  <si>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</si>
  <si>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</si>
  <si>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</si>
  <si>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</si>
  <si>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</si>
  <si>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</si>
  <si>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</si>
  <si>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</si>
  <si>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</si>
  <si>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Use External Soft-Start Control</t>
  </si>
  <si>
    <t>Yes</t>
  </si>
  <si>
    <t>Gate</t>
  </si>
  <si>
    <r>
      <t>Use External Resistor Divider to Reduce Effecitve R</t>
    </r>
    <r>
      <rPr>
        <vertAlign val="subscript"/>
        <sz val="10"/>
        <rFont val="Arial"/>
        <family val="2"/>
      </rPr>
      <t>S</t>
    </r>
  </si>
  <si>
    <t>Gate Sourcing Current</t>
  </si>
  <si>
    <t>Recommended Value for RCL1</t>
  </si>
  <si>
    <t>Recommended Value for RCL2</t>
  </si>
  <si>
    <t>Enter value for RCL1</t>
  </si>
  <si>
    <t>Enter value for RCL2</t>
  </si>
  <si>
    <t>CLMAX =</t>
  </si>
  <si>
    <t xml:space="preserve">CLNOM = </t>
  </si>
  <si>
    <t>CLMIN =</t>
  </si>
  <si>
    <t>RCL1 Recommended  =</t>
  </si>
  <si>
    <t>RCL2 Recommmended =</t>
  </si>
  <si>
    <t>Effective Rs =</t>
  </si>
  <si>
    <t>Step 5: UVLO, OVLO &amp; PGD Thresholds</t>
  </si>
  <si>
    <r>
      <t>R</t>
    </r>
    <r>
      <rPr>
        <vertAlign val="subscript"/>
        <sz val="11"/>
        <color theme="1"/>
        <rFont val="Arial"/>
        <family val="2"/>
      </rPr>
      <t>CL1</t>
    </r>
    <r>
      <rPr>
        <sz val="11"/>
        <color theme="1"/>
        <rFont val="Arial"/>
        <family val="2"/>
      </rPr>
      <t xml:space="preserve"> =</t>
    </r>
  </si>
  <si>
    <r>
      <t>R</t>
    </r>
    <r>
      <rPr>
        <vertAlign val="subscript"/>
        <sz val="11"/>
        <color theme="1"/>
        <rFont val="Arial"/>
        <family val="2"/>
      </rPr>
      <t>CL2</t>
    </r>
    <r>
      <rPr>
        <sz val="11"/>
        <color theme="1"/>
        <rFont val="Arial"/>
        <family val="2"/>
      </rPr>
      <t xml:space="preserve"> =</t>
    </r>
  </si>
  <si>
    <t>Design Summary</t>
  </si>
  <si>
    <t>Current limit</t>
  </si>
  <si>
    <t>Fault Timeout</t>
  </si>
  <si>
    <t>Upper UVLO Threshold</t>
  </si>
  <si>
    <t>Lower UVLO Threshold</t>
  </si>
  <si>
    <t>100us</t>
  </si>
  <si>
    <t>Step 2: Current Limit and Circuit Breaker</t>
  </si>
  <si>
    <r>
      <t>Maximum Output Load Capacitance: C</t>
    </r>
    <r>
      <rPr>
        <vertAlign val="subscript"/>
        <sz val="10"/>
        <rFont val="Arial"/>
        <family val="2"/>
      </rPr>
      <t>LOAD</t>
    </r>
  </si>
  <si>
    <t>Retry</t>
  </si>
  <si>
    <t>Latch Off</t>
  </si>
  <si>
    <t>3. Componet tolerances not accounted for in Min/Max Calculations.</t>
  </si>
  <si>
    <r>
      <t>Estimated MOSFET R</t>
    </r>
    <r>
      <rPr>
        <sz val="10"/>
        <rFont val="Symbol"/>
        <family val="1"/>
        <charset val="2"/>
      </rPr>
      <t>Q</t>
    </r>
    <r>
      <rPr>
        <vertAlign val="subscript"/>
        <sz val="10"/>
        <rFont val="Arial"/>
        <family val="2"/>
      </rPr>
      <t>JA</t>
    </r>
  </si>
  <si>
    <t>Values Used</t>
  </si>
  <si>
    <t xml:space="preserve"> </t>
  </si>
  <si>
    <r>
      <t>Effective Sense Resistance (R</t>
    </r>
    <r>
      <rPr>
        <vertAlign val="subscript"/>
        <sz val="10"/>
        <rFont val="Arial"/>
        <family val="2"/>
      </rPr>
      <t>S,EFF</t>
    </r>
    <r>
      <rPr>
        <sz val="10"/>
        <rFont val="Arial"/>
        <family val="2"/>
      </rPr>
      <t>)</t>
    </r>
  </si>
  <si>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</si>
  <si>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</si>
  <si>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Plim</t>
  </si>
  <si>
    <t>Plim (Vds) = Plim (Vin,max) + (Vds - Vin,max)*Vos,syst/Rs</t>
  </si>
  <si>
    <t>Target Power Limit</t>
  </si>
  <si>
    <t>Target PLIM</t>
  </si>
  <si>
    <t>k-ohm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</si>
  <si>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</si>
  <si>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</si>
  <si>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</si>
  <si>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</si>
  <si>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</si>
  <si>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</si>
  <si>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</si>
  <si>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</si>
  <si>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</si>
  <si>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</si>
  <si>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</si>
  <si>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</si>
  <si>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</si>
  <si>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</si>
  <si>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</si>
  <si>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</si>
  <si>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Typical Start Time with Vinmax (Tstart)</t>
  </si>
  <si>
    <t>Target Fault Timer: Tstart + Margin</t>
  </si>
  <si>
    <t>Typical Start time</t>
  </si>
  <si>
    <t>Start-slop</t>
  </si>
  <si>
    <t>Target Fault Timer</t>
  </si>
  <si>
    <t>Target Timer capacitance</t>
  </si>
  <si>
    <t>Selected Timer capacitance</t>
  </si>
  <si>
    <t>IFET - ILOAD margin (lowest for Vout range)</t>
  </si>
  <si>
    <t xml:space="preserve">Selected Timer capacitance </t>
  </si>
  <si>
    <t>Final Fault Timer</t>
  </si>
  <si>
    <t>Note: I added an adjustment for the systematic offset</t>
  </si>
  <si>
    <t>Vos syst</t>
  </si>
  <si>
    <t>Rs (ohm)</t>
  </si>
  <si>
    <t>Vin, max</t>
  </si>
  <si>
    <t>Plim tolerance</t>
  </si>
  <si>
    <t>Temp Derated SOA</t>
  </si>
  <si>
    <t>Derated SOA / PLIM</t>
  </si>
  <si>
    <t>SOA / PLIM</t>
  </si>
  <si>
    <t>IFET_PLIM</t>
  </si>
  <si>
    <t>I_FET_SS</t>
  </si>
  <si>
    <t>SS</t>
  </si>
  <si>
    <t>FET Power dissapation at full load (per FET)</t>
  </si>
  <si>
    <t>With PLIM</t>
  </si>
  <si>
    <t>dv/dt rate</t>
  </si>
  <si>
    <t>V/ms</t>
  </si>
  <si>
    <t>I_Cout</t>
  </si>
  <si>
    <t>46 mV</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</si>
  <si>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</si>
  <si>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</si>
  <si>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</si>
  <si>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</si>
  <si>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</si>
  <si>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</si>
  <si>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</si>
  <si>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</si>
  <si>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</si>
  <si>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</si>
  <si>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</si>
  <si>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</si>
  <si>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</si>
  <si>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</si>
  <si>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</si>
  <si>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</si>
  <si>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</si>
  <si>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</si>
  <si>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</si>
  <si>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</si>
  <si>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</si>
  <si>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</si>
  <si>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</si>
  <si>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</si>
  <si>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</si>
  <si>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</si>
  <si>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</si>
  <si>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</si>
  <si>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</si>
  <si>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t>Available derated SOA for Tfault</t>
  </si>
  <si>
    <t>Actual Fault Time (Tfault)</t>
  </si>
  <si>
    <t>dv/dt rate on Vout</t>
  </si>
  <si>
    <t>actual dv/dt rate on Vout</t>
  </si>
  <si>
    <t>SOA Check - Based on Timer</t>
  </si>
  <si>
    <t>Final Fault Timer(Tfault)</t>
  </si>
  <si>
    <t>SOA margin during "hot-short" or "start-into short"</t>
  </si>
  <si>
    <t>timer_constant</t>
  </si>
  <si>
    <t>Enter Values in Green Shaded Cells</t>
  </si>
  <si>
    <t>1s/DC</t>
  </si>
  <si>
    <t>Can a "hot" board be hotplugged</t>
  </si>
  <si>
    <t>Temp for derating</t>
  </si>
  <si>
    <t>board hot?</t>
  </si>
  <si>
    <t>FET_Energy</t>
  </si>
  <si>
    <t>Tiime (ms)</t>
  </si>
  <si>
    <t>Recommended slew Rate (max)</t>
  </si>
  <si>
    <t>Recommended slew Rate (min)</t>
  </si>
  <si>
    <r>
      <t>100</t>
    </r>
    <r>
      <rPr>
        <sz val="10"/>
        <rFont val="Symbol"/>
        <family val="1"/>
        <charset val="2"/>
      </rPr>
      <t>m</t>
    </r>
    <r>
      <rPr>
        <sz val="10"/>
        <rFont val="Arial"/>
        <family val="2"/>
      </rPr>
      <t>s SOA Current (re-use 1ms data if unavailable) @ V</t>
    </r>
    <r>
      <rPr>
        <vertAlign val="subscript"/>
        <sz val="10"/>
        <rFont val="Arial"/>
        <family val="2"/>
      </rPr>
      <t>IN(MAX)</t>
    </r>
  </si>
  <si>
    <r>
      <t>1ms SOA Current @ V</t>
    </r>
    <r>
      <rPr>
        <vertAlign val="subscript"/>
        <sz val="10"/>
        <rFont val="Arial"/>
        <family val="2"/>
      </rPr>
      <t>IN(MAX)</t>
    </r>
  </si>
  <si>
    <r>
      <t>10ms SOA Current @ V</t>
    </r>
    <r>
      <rPr>
        <vertAlign val="subscript"/>
        <sz val="10"/>
        <rFont val="Arial"/>
        <family val="2"/>
      </rPr>
      <t>IN(MAX)</t>
    </r>
  </si>
  <si>
    <r>
      <t>100ms  Current at @ V</t>
    </r>
    <r>
      <rPr>
        <vertAlign val="subscript"/>
        <sz val="10"/>
        <rFont val="Arial"/>
        <family val="2"/>
      </rPr>
      <t>IN(MAX)</t>
    </r>
    <r>
      <rPr>
        <sz val="10"/>
        <rFont val="Arial"/>
        <family val="2"/>
      </rPr>
      <t xml:space="preserve"> (use DC if 100ms not available)</t>
    </r>
  </si>
  <si>
    <r>
      <t>1s or DC SOA Current at @ V</t>
    </r>
    <r>
      <rPr>
        <vertAlign val="subscript"/>
        <sz val="10"/>
        <rFont val="Arial"/>
        <family val="2"/>
      </rPr>
      <t>IN(MAX)</t>
    </r>
    <r>
      <rPr>
        <sz val="10"/>
        <rFont val="Arial"/>
        <family val="2"/>
      </rPr>
      <t xml:space="preserve"> (use DC if 1s not available)</t>
    </r>
  </si>
  <si>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</si>
  <si>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</si>
  <si>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</si>
  <si>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</si>
  <si>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</si>
  <si>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</si>
  <si>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</si>
  <si>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</si>
  <si>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</si>
  <si>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</si>
  <si>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</si>
  <si>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</si>
  <si>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</si>
  <si>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</si>
  <si>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</si>
  <si>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</si>
  <si>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</si>
  <si>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</si>
  <si>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</si>
  <si>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</si>
  <si>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</si>
  <si>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</si>
  <si>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</si>
  <si>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</si>
  <si>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</si>
  <si>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</si>
  <si>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</si>
  <si>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</si>
  <si>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</si>
  <si>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</si>
  <si>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</si>
  <si>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</si>
  <si>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</si>
  <si>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 of points</t>
  </si>
  <si>
    <t>mult per point</t>
  </si>
  <si>
    <t xml:space="preserve">Pass? </t>
  </si>
  <si>
    <t>first yes</t>
  </si>
  <si>
    <t>2nd yes</t>
  </si>
  <si>
    <t>N</t>
  </si>
  <si>
    <t>Mult 1</t>
  </si>
  <si>
    <t>mult2</t>
  </si>
  <si>
    <t xml:space="preserve">max slew rate </t>
  </si>
  <si>
    <t>min slew rate</t>
  </si>
  <si>
    <t>Initial</t>
  </si>
  <si>
    <t xml:space="preserve">Yellow and Red cells highlight pottential issues with the design. Red highlights items that are higher risk. </t>
  </si>
  <si>
    <r>
      <t>Actual Timer Capacitance (pick one smaller than C</t>
    </r>
    <r>
      <rPr>
        <vertAlign val="subscript"/>
        <sz val="10"/>
        <rFont val="Arial"/>
        <family val="2"/>
      </rPr>
      <t>T,CALC</t>
    </r>
    <r>
      <rPr>
        <sz val="10"/>
        <rFont val="Arial"/>
        <family val="2"/>
      </rPr>
      <t xml:space="preserve">) </t>
    </r>
  </si>
  <si>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</si>
  <si>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</si>
  <si>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</si>
  <si>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</si>
  <si>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1. Enter operating conditions.</t>
  </si>
  <si>
    <t>2. Select current limit parameters.</t>
  </si>
  <si>
    <t>3. Enter MOSTFET SOA characteristics &amp; power limit.</t>
  </si>
  <si>
    <t>4. Select start up conditions (load and/or soft start). Check whether FET is operating with reasonable margin, within the SOA curve.</t>
  </si>
  <si>
    <t xml:space="preserve">    If not, try changing start-up conditions (soft start values, timer values), add more FETs in parallel, or switch to FET with better SOA.</t>
  </si>
  <si>
    <t>5. Enter desired UVLO and OVLO values to get recommended resistor values.</t>
  </si>
  <si>
    <t>6. Done</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</si>
  <si>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</si>
  <si>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</si>
  <si>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</si>
  <si>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</si>
  <si>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</si>
  <si>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t>Note: TI recommends choosing a FET with SOA current specified for 100ms and/or 1s or DC. If choosing a FET without these parameters, this calculator will estimate the values via extrapolation, which leaves an inherent associated risk.</t>
  </si>
  <si>
    <t>Q1 FET Name</t>
  </si>
  <si>
    <t>Lower time (adjusted)</t>
  </si>
  <si>
    <t>Higher time</t>
  </si>
  <si>
    <t>Higher time (adjusted)</t>
  </si>
  <si>
    <t>Upper bound Slew Rate (4ms start-up) (V/ms)</t>
  </si>
  <si>
    <t>Min Slew Rate (400 ms start - up) (V/ms)</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</si>
  <si>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</si>
  <si>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</si>
  <si>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</si>
  <si>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&lt;-- Cannot plot zero on a log graph. If slope ~=0, then use 1e-12 as value</t>
  </si>
  <si>
    <t>MOSFET's SOA</t>
  </si>
  <si>
    <t>Note: This is the typical dv/dt rate, but max value can be larger. This is because the gate source current can vary from 16uA to 28uA. Thus TI recommends keeping the overall SOA margin during start-up &gt;1.5 in order to compensate for this.</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</si>
  <si>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</si>
  <si>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Robust Hot Swap Design</t>
  </si>
  <si>
    <t>Q1 =</t>
  </si>
  <si>
    <r>
      <t xml:space="preserve">                       </t>
    </r>
    <r>
      <rPr>
        <sz val="22"/>
        <color theme="0"/>
        <rFont val="Arial"/>
        <family val="2"/>
      </rPr>
      <t>TPS2490/1/2/3 &amp; TPS2480/1/2/3 Hot Swap Design Tool</t>
    </r>
  </si>
  <si>
    <t>TPS249x/8x Design Tool- Rev. A</t>
  </si>
  <si>
    <t>Maximum Recommended Value for Rs</t>
  </si>
  <si>
    <r>
      <t>C</t>
    </r>
    <r>
      <rPr>
        <vertAlign val="subscript"/>
        <sz val="10"/>
        <rFont val="Arial"/>
        <family val="2"/>
      </rPr>
      <t>1</t>
    </r>
    <r>
      <rPr>
        <sz val="10"/>
        <rFont val="Arial"/>
        <family val="2"/>
      </rPr>
      <t xml:space="preserve"> = </t>
    </r>
  </si>
  <si>
    <r>
      <t>R</t>
    </r>
    <r>
      <rPr>
        <vertAlign val="subscript"/>
        <sz val="11"/>
        <color theme="1"/>
        <rFont val="Arial"/>
        <family val="2"/>
      </rPr>
      <t>G</t>
    </r>
    <r>
      <rPr>
        <sz val="11"/>
        <color theme="1"/>
        <rFont val="Arial"/>
        <family val="2"/>
      </rPr>
      <t xml:space="preserve"> =</t>
    </r>
  </si>
  <si>
    <r>
      <t>C</t>
    </r>
    <r>
      <rPr>
        <vertAlign val="subscript"/>
        <sz val="11"/>
        <color theme="1"/>
        <rFont val="Arial"/>
        <family val="2"/>
      </rPr>
      <t>G</t>
    </r>
    <r>
      <rPr>
        <sz val="11"/>
        <color theme="1"/>
        <rFont val="Arial"/>
        <family val="2"/>
      </rPr>
      <t xml:space="preserve"> =</t>
    </r>
  </si>
  <si>
    <r>
      <t>Select R</t>
    </r>
    <r>
      <rPr>
        <vertAlign val="subscript"/>
        <sz val="10"/>
        <rFont val="Arial"/>
        <family val="2"/>
      </rPr>
      <t>3</t>
    </r>
  </si>
  <si>
    <r>
      <t>Calculated R</t>
    </r>
    <r>
      <rPr>
        <vertAlign val="subscript"/>
        <sz val="10"/>
        <rFont val="Arial"/>
        <family val="2"/>
      </rPr>
      <t>4</t>
    </r>
  </si>
  <si>
    <t>Target Vprog</t>
  </si>
  <si>
    <t>R = R4 / (R4+R3)</t>
  </si>
  <si>
    <t>R* R4 + R*R3 = R4</t>
  </si>
  <si>
    <t>R4(1-R) = R *R3</t>
  </si>
  <si>
    <t>Res. Div.</t>
  </si>
  <si>
    <t>R4 = R3 * R/(1-R)</t>
  </si>
  <si>
    <t>Act R4</t>
  </si>
  <si>
    <t>Vprog</t>
  </si>
  <si>
    <t>Note: For dv/dt keep inrush to be 3x lower than plim</t>
  </si>
  <si>
    <t>Max Target Iinr during start-up (A)</t>
  </si>
  <si>
    <t>UVLO</t>
  </si>
  <si>
    <t>Enable</t>
  </si>
  <si>
    <t>Rising</t>
  </si>
  <si>
    <t>Falling</t>
  </si>
  <si>
    <t>Recommended R2</t>
  </si>
  <si>
    <t>Actual R2</t>
  </si>
  <si>
    <t>Calculated R1</t>
  </si>
  <si>
    <t>Target Under - Voltage</t>
  </si>
  <si>
    <t>Actual R1</t>
  </si>
  <si>
    <t>1.35 = UV * R2/(R2+R1)</t>
  </si>
  <si>
    <t>R2+R1 = UV * R2 /1.35</t>
  </si>
  <si>
    <t>R1 = R2*(-1+UV/1.35)</t>
  </si>
  <si>
    <r>
      <t>Actual R</t>
    </r>
    <r>
      <rPr>
        <vertAlign val="subscript"/>
        <sz val="10"/>
        <rFont val="Arial"/>
        <family val="2"/>
      </rPr>
      <t xml:space="preserve">4 </t>
    </r>
    <r>
      <rPr>
        <sz val="10"/>
        <rFont val="Arial"/>
        <family val="2"/>
      </rPr>
      <t>(Select next available std. value)</t>
    </r>
  </si>
  <si>
    <t>© 2016</t>
  </si>
  <si>
    <r>
      <t>Minimum Power Limit to Ensure Vsns &gt; 5mV &amp; Vprog &gt; 0.4V (P</t>
    </r>
    <r>
      <rPr>
        <vertAlign val="subscript"/>
        <sz val="10"/>
        <rFont val="Arial"/>
        <family val="2"/>
      </rPr>
      <t>LIM,MIN</t>
    </r>
    <r>
      <rPr>
        <sz val="10"/>
        <rFont val="Arial"/>
        <family val="2"/>
      </rPr>
      <t>)</t>
    </r>
  </si>
  <si>
    <t>FDB031N08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</si>
</sst>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0E+0"/>
  </numFmts>
  <fonts count="42" x14ac:knownFonts="1">
    <font>
      <sz val="10"/>
      <name val="Arial"/>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b/>
      <vertAlign val="subscript"/>
      <sz val="10"/>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vertAlign val="subscript"/>
      <sz val="11"/>
      <color theme="1"/>
      <name val="Arial"/>
      <family val="2"/>
    </font>
    <font>
      <b/>
      <sz val="11"/>
      <name val="Arial"/>
      <family val="2"/>
    </font>
    <font>
      <b/>
      <sz val="8"/>
      <color indexed="10"/>
      <name val="Tahoma"/>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b/>
      <sz val="10"/>
      <color rgb="FFFF0000"/>
      <name val="Arial"/>
      <family val="2"/>
    </font>
    <font>
      <sz val="11"/>
      <color rgb="FF000000"/>
      <name val="Arial"/>
      <family val="2"/>
    </font>
  </fonts>
  <fills count="13">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5" tint="0.39997558519241921"/>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indexed="13"/>
        <bgColor indexed="64"/>
      </patternFill>
    </fill>
    <fill>
      <patternFill patternType="solid">
        <fgColor theme="7"/>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style="thin">
        <color indexed="64"/>
      </left>
      <right style="thin">
        <color indexed="64"/>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thin">
        <color indexed="64"/>
      </left>
      <right/>
      <top/>
      <bottom style="medium">
        <color auto="1"/>
      </bottom>
      <diagonal/>
    </border>
  </borders>
  <cellStyleXfs count="3">
    <xf numFmtId="0" fontId="0" fillId="0" borderId="0"/>
    <xf numFmtId="0" fontId="14" fillId="0" borderId="0" applyNumberFormat="0" applyFill="0" applyBorder="0" applyAlignment="0" applyProtection="0">
      <alignment vertical="top"/>
      <protection locked="0"/>
    </xf>
    <xf numFmtId="0" fontId="1" fillId="0" borderId="0"/>
  </cellStyleXfs>
  <cellXfs count="304">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2" fontId="0" fillId="0" borderId="0" xfId="0" applyNumberFormat="1" applyAlignment="1">
      <alignment horizontal="center"/>
    </xf>
    <xf numFmtId="0" fontId="0" fillId="0" borderId="1" xfId="0" applyFill="1" applyBorder="1" applyAlignment="1">
      <alignment horizontal="center"/>
    </xf>
    <xf numFmtId="0" fontId="2" fillId="0" borderId="0" xfId="0" applyFont="1"/>
    <xf numFmtId="2" fontId="0" fillId="0" borderId="1" xfId="0" applyNumberFormat="1" applyBorder="1" applyAlignment="1">
      <alignment horizontal="center"/>
    </xf>
    <xf numFmtId="0" fontId="0" fillId="0" borderId="5" xfId="0" applyBorder="1" applyAlignment="1">
      <alignment horizontal="center"/>
    </xf>
    <xf numFmtId="0" fontId="0" fillId="0" borderId="8" xfId="0" applyFill="1" applyBorder="1" applyAlignment="1">
      <alignment horizontal="center"/>
    </xf>
    <xf numFmtId="0" fontId="0" fillId="2" borderId="0" xfId="0" applyFill="1" applyProtection="1"/>
    <xf numFmtId="0" fontId="1" fillId="0" borderId="0" xfId="0" applyFont="1"/>
    <xf numFmtId="0" fontId="1" fillId="0" borderId="0" xfId="0" applyFont="1" applyAlignment="1">
      <alignment horizontal="right"/>
    </xf>
    <xf numFmtId="0" fontId="1" fillId="2" borderId="0" xfId="0" applyFont="1" applyFill="1" applyBorder="1" applyAlignment="1">
      <alignment horizontal="right"/>
    </xf>
    <xf numFmtId="0" fontId="15" fillId="2" borderId="0" xfId="1" applyFont="1" applyFill="1" applyAlignment="1" applyProtection="1"/>
    <xf numFmtId="0" fontId="16" fillId="3" borderId="0" xfId="0" applyFont="1" applyFill="1" applyProtection="1"/>
    <xf numFmtId="0" fontId="19" fillId="3" borderId="0" xfId="0" applyFont="1" applyFill="1" applyBorder="1" applyProtection="1"/>
    <xf numFmtId="0" fontId="19" fillId="3" borderId="0" xfId="0" applyFont="1" applyFill="1" applyProtection="1"/>
    <xf numFmtId="0" fontId="18" fillId="3" borderId="18" xfId="0" applyFont="1" applyFill="1" applyBorder="1" applyAlignment="1" applyProtection="1">
      <alignment horizontal="center" vertical="center"/>
    </xf>
    <xf numFmtId="2" fontId="0" fillId="2" borderId="10" xfId="0" applyNumberFormat="1" applyFill="1" applyBorder="1" applyAlignment="1">
      <alignment horizontal="center" vertical="center"/>
    </xf>
    <xf numFmtId="0" fontId="1" fillId="2" borderId="0" xfId="0" applyFont="1" applyFill="1" applyAlignment="1">
      <alignment horizontal="right"/>
    </xf>
    <xf numFmtId="0" fontId="0" fillId="0" borderId="1" xfId="0" applyFill="1" applyBorder="1" applyAlignment="1" applyProtection="1">
      <alignment horizontal="center" vertical="center"/>
      <protection locked="0"/>
    </xf>
    <xf numFmtId="0" fontId="1" fillId="0" borderId="0" xfId="2" applyAlignment="1" applyProtection="1">
      <alignment horizontal="center"/>
    </xf>
    <xf numFmtId="0" fontId="1" fillId="0" borderId="0" xfId="2"/>
    <xf numFmtId="164" fontId="1" fillId="0" borderId="0" xfId="2" applyNumberFormat="1" applyAlignment="1" applyProtection="1">
      <alignment horizontal="center"/>
    </xf>
    <xf numFmtId="166" fontId="1" fillId="0" borderId="0" xfId="2" applyNumberFormat="1" applyAlignment="1" applyProtection="1">
      <alignment horizontal="center"/>
    </xf>
    <xf numFmtId="2" fontId="1" fillId="0" borderId="19" xfId="2" applyNumberFormat="1" applyBorder="1" applyAlignment="1" applyProtection="1">
      <alignment horizontal="center"/>
    </xf>
    <xf numFmtId="0" fontId="1" fillId="0" borderId="1" xfId="2" applyFont="1" applyBorder="1"/>
    <xf numFmtId="0" fontId="1" fillId="0" borderId="1" xfId="2" applyBorder="1"/>
    <xf numFmtId="0" fontId="1" fillId="0" borderId="0" xfId="0" applyFont="1" applyFill="1" applyBorder="1"/>
    <xf numFmtId="0" fontId="0" fillId="0" borderId="0" xfId="0" applyFill="1" applyBorder="1" applyAlignment="1" applyProtection="1">
      <alignment horizontal="center" vertical="center"/>
      <protection locked="0"/>
    </xf>
    <xf numFmtId="0" fontId="1" fillId="0" borderId="0" xfId="0" applyFont="1" applyFill="1" applyAlignment="1">
      <alignment horizontal="right"/>
    </xf>
    <xf numFmtId="166" fontId="1" fillId="0" borderId="0" xfId="2" applyNumberFormat="1" applyAlignment="1">
      <alignment horizontal="center"/>
    </xf>
    <xf numFmtId="2" fontId="1" fillId="0" borderId="0" xfId="2" applyNumberFormat="1" applyAlignment="1">
      <alignment horizontal="center"/>
    </xf>
    <xf numFmtId="0" fontId="1" fillId="0" borderId="0" xfId="0" applyFont="1" applyAlignment="1">
      <alignment horizontal="center"/>
    </xf>
    <xf numFmtId="0" fontId="0" fillId="0" borderId="0" xfId="0" applyAlignment="1">
      <alignment horizontal="left"/>
    </xf>
    <xf numFmtId="2"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2" fillId="2" borderId="0" xfId="0" applyFont="1" applyFill="1" applyBorder="1" applyAlignment="1">
      <alignment horizontal="right"/>
    </xf>
    <xf numFmtId="0" fontId="2" fillId="2" borderId="0" xfId="0" applyFont="1" applyFill="1" applyBorder="1" applyAlignment="1">
      <alignment horizontal="center"/>
    </xf>
    <xf numFmtId="0" fontId="0" fillId="0" borderId="0" xfId="0" applyFill="1" applyBorder="1" applyAlignment="1" applyProtection="1">
      <alignment horizontal="center"/>
    </xf>
    <xf numFmtId="0" fontId="16" fillId="0" borderId="0" xfId="0" applyFont="1" applyFill="1" applyBorder="1" applyProtection="1"/>
    <xf numFmtId="0" fontId="30" fillId="0" borderId="0" xfId="0" applyFont="1"/>
    <xf numFmtId="0" fontId="2" fillId="0" borderId="0" xfId="0" applyFont="1" applyFill="1" applyAlignment="1" applyProtection="1">
      <alignment horizontal="left"/>
      <protection locked="0"/>
    </xf>
    <xf numFmtId="0" fontId="0" fillId="0" borderId="0" xfId="0" applyFill="1"/>
    <xf numFmtId="0" fontId="2" fillId="0" borderId="9" xfId="0" applyFont="1" applyFill="1" applyBorder="1" applyAlignment="1">
      <alignment horizontal="center"/>
    </xf>
    <xf numFmtId="0" fontId="2" fillId="0" borderId="11" xfId="0" applyFont="1" applyFill="1" applyBorder="1" applyAlignment="1">
      <alignment horizontal="center"/>
    </xf>
    <xf numFmtId="0" fontId="2" fillId="0" borderId="12" xfId="0" applyFont="1" applyFill="1" applyBorder="1" applyAlignment="1">
      <alignment horizontal="center"/>
    </xf>
    <xf numFmtId="0" fontId="2" fillId="0" borderId="13" xfId="0" applyFont="1" applyFill="1" applyBorder="1" applyAlignment="1">
      <alignment horizontal="center"/>
    </xf>
    <xf numFmtId="0" fontId="0" fillId="0" borderId="12"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16" xfId="0" applyFill="1" applyBorder="1" applyAlignment="1" applyProtection="1">
      <alignment horizontal="center"/>
      <protection locked="0"/>
    </xf>
    <xf numFmtId="2" fontId="0" fillId="3" borderId="1" xfId="0" applyNumberFormat="1" applyFill="1" applyBorder="1" applyAlignment="1" applyProtection="1">
      <alignment horizontal="center" vertical="center"/>
    </xf>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xf>
    <xf numFmtId="0" fontId="1" fillId="0" borderId="1" xfId="0" applyFont="1" applyBorder="1" applyAlignment="1">
      <alignment horizontal="center"/>
    </xf>
    <xf numFmtId="0" fontId="1" fillId="0" borderId="0" xfId="0" applyFont="1" applyAlignment="1">
      <alignment horizontal="left"/>
    </xf>
    <xf numFmtId="2" fontId="1" fillId="0" borderId="0" xfId="2" applyNumberFormat="1"/>
    <xf numFmtId="0" fontId="27" fillId="0" borderId="0" xfId="2" applyFont="1"/>
    <xf numFmtId="0" fontId="27" fillId="0" borderId="0" xfId="2" applyFont="1" applyAlignment="1" applyProtection="1">
      <alignment horizontal="center"/>
    </xf>
    <xf numFmtId="0" fontId="27" fillId="0" borderId="0" xfId="2" applyFont="1" applyAlignment="1">
      <alignment horizontal="center"/>
    </xf>
    <xf numFmtId="10" fontId="1" fillId="0" borderId="0" xfId="2" applyNumberFormat="1"/>
    <xf numFmtId="0" fontId="1" fillId="0" borderId="0" xfId="0" applyFont="1" applyAlignment="1">
      <alignment horizontal="center"/>
    </xf>
    <xf numFmtId="0" fontId="0" fillId="0" borderId="0" xfId="0" applyAlignment="1">
      <alignment horizontal="center"/>
    </xf>
    <xf numFmtId="0" fontId="1" fillId="0" borderId="1" xfId="0" applyFont="1" applyFill="1" applyBorder="1" applyAlignment="1">
      <alignment horizontal="center"/>
    </xf>
    <xf numFmtId="0" fontId="1" fillId="0" borderId="3" xfId="0" applyFont="1" applyFill="1" applyBorder="1" applyAlignment="1">
      <alignment horizontal="center"/>
    </xf>
    <xf numFmtId="0" fontId="28" fillId="0" borderId="0" xfId="2" applyFont="1"/>
    <xf numFmtId="165" fontId="0" fillId="0" borderId="1" xfId="0" applyNumberFormat="1" applyFill="1" applyBorder="1" applyAlignment="1" applyProtection="1">
      <alignment horizontal="center" vertical="center"/>
    </xf>
    <xf numFmtId="0" fontId="27" fillId="0" borderId="0" xfId="0" applyFont="1" applyAlignment="1">
      <alignment horizontal="center"/>
    </xf>
    <xf numFmtId="0" fontId="2" fillId="0" borderId="0" xfId="0" applyFont="1" applyAlignment="1">
      <alignment horizontal="center"/>
    </xf>
    <xf numFmtId="0" fontId="1" fillId="3" borderId="0" xfId="0" applyFont="1" applyFill="1" applyAlignment="1">
      <alignment horizontal="right"/>
    </xf>
    <xf numFmtId="0" fontId="1" fillId="0" borderId="0" xfId="0" applyFont="1" applyFill="1" applyBorder="1" applyAlignment="1">
      <alignment horizontal="right"/>
    </xf>
    <xf numFmtId="2" fontId="1" fillId="0" borderId="0" xfId="0" applyNumberFormat="1" applyFont="1"/>
    <xf numFmtId="0" fontId="0" fillId="0" borderId="0" xfId="0" applyAlignment="1">
      <alignment horizontal="center"/>
    </xf>
    <xf numFmtId="0" fontId="0" fillId="9" borderId="10"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0" fillId="9" borderId="15" xfId="0" applyFill="1" applyBorder="1" applyAlignment="1" applyProtection="1">
      <alignment horizontal="center" vertical="center"/>
      <protection locked="0"/>
    </xf>
    <xf numFmtId="0" fontId="1" fillId="6" borderId="10"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65" fontId="0" fillId="6" borderId="1" xfId="0" applyNumberFormat="1" applyFill="1" applyBorder="1" applyAlignment="1" applyProtection="1">
      <alignment horizontal="center" vertical="center"/>
      <protection locked="0"/>
    </xf>
    <xf numFmtId="0" fontId="0" fillId="6" borderId="10"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xf>
    <xf numFmtId="165" fontId="1" fillId="0" borderId="0" xfId="2" applyNumberFormat="1" applyAlignment="1">
      <alignment horizontal="center"/>
    </xf>
    <xf numFmtId="165" fontId="1" fillId="0" borderId="0" xfId="2" applyNumberFormat="1"/>
    <xf numFmtId="0" fontId="1" fillId="0" borderId="0" xfId="2"/>
    <xf numFmtId="0" fontId="1" fillId="11" borderId="27" xfId="2" applyFill="1" applyBorder="1" applyProtection="1"/>
    <xf numFmtId="0" fontId="1" fillId="11" borderId="28" xfId="2" applyFill="1" applyBorder="1" applyProtection="1"/>
    <xf numFmtId="0" fontId="1" fillId="11" borderId="29" xfId="2" applyFill="1" applyBorder="1" applyProtection="1"/>
    <xf numFmtId="0" fontId="1" fillId="11" borderId="30" xfId="2" applyFill="1" applyBorder="1" applyProtection="1"/>
    <xf numFmtId="0" fontId="1" fillId="11" borderId="0" xfId="2" applyFill="1" applyBorder="1" applyProtection="1"/>
    <xf numFmtId="0" fontId="1" fillId="11" borderId="31" xfId="2" applyFill="1" applyBorder="1" applyProtection="1"/>
    <xf numFmtId="0" fontId="33" fillId="11" borderId="0" xfId="2" applyFont="1" applyFill="1" applyBorder="1" applyProtection="1"/>
    <xf numFmtId="0" fontId="34" fillId="11" borderId="0" xfId="2" applyFont="1" applyFill="1" applyBorder="1" applyProtection="1"/>
    <xf numFmtId="0" fontId="35" fillId="11" borderId="0" xfId="2" applyFont="1" applyFill="1" applyBorder="1" applyProtection="1"/>
    <xf numFmtId="0" fontId="36" fillId="11" borderId="0" xfId="2" applyFont="1" applyFill="1" applyProtection="1"/>
    <xf numFmtId="0" fontId="1" fillId="11" borderId="0" xfId="2" applyFill="1" applyProtection="1"/>
    <xf numFmtId="0" fontId="37" fillId="11" borderId="0" xfId="2" applyFont="1" applyFill="1" applyAlignment="1" applyProtection="1"/>
    <xf numFmtId="0" fontId="37" fillId="11" borderId="0" xfId="2" applyFont="1" applyFill="1" applyAlignment="1" applyProtection="1">
      <alignment wrapText="1"/>
    </xf>
    <xf numFmtId="0" fontId="38" fillId="11" borderId="0" xfId="2" applyFont="1" applyFill="1" applyAlignment="1" applyProtection="1">
      <alignment vertical="center"/>
    </xf>
    <xf numFmtId="0" fontId="38" fillId="11" borderId="0" xfId="2" applyFont="1" applyFill="1" applyProtection="1"/>
    <xf numFmtId="0" fontId="1" fillId="11" borderId="32" xfId="2" applyFill="1" applyBorder="1" applyProtection="1"/>
    <xf numFmtId="0" fontId="1" fillId="11" borderId="33" xfId="2" applyFill="1" applyBorder="1" applyProtection="1"/>
    <xf numFmtId="0" fontId="1" fillId="11" borderId="34" xfId="2" applyFill="1" applyBorder="1" applyProtection="1"/>
    <xf numFmtId="0" fontId="1" fillId="11" borderId="0" xfId="2" applyFont="1" applyFill="1" applyBorder="1" applyProtection="1"/>
    <xf numFmtId="0" fontId="1" fillId="5" borderId="1" xfId="2" applyFill="1" applyBorder="1" applyAlignment="1" applyProtection="1">
      <alignment horizontal="center" vertical="center"/>
      <protection locked="0"/>
    </xf>
    <xf numFmtId="2" fontId="1" fillId="0" borderId="0" xfId="2" applyNumberFormat="1" applyAlignment="1">
      <alignment horizontal="center"/>
    </xf>
    <xf numFmtId="0" fontId="1" fillId="0" borderId="0" xfId="2"/>
    <xf numFmtId="0" fontId="1" fillId="0" borderId="0" xfId="2" applyAlignment="1">
      <alignment horizontal="center"/>
    </xf>
    <xf numFmtId="2" fontId="1" fillId="0" borderId="0" xfId="2" applyNumberFormat="1"/>
    <xf numFmtId="0" fontId="1" fillId="0" borderId="0" xfId="2" applyFont="1"/>
    <xf numFmtId="0" fontId="1" fillId="0" borderId="0" xfId="2" applyFont="1" applyAlignment="1">
      <alignment horizontal="center"/>
    </xf>
    <xf numFmtId="0" fontId="1" fillId="0" borderId="0" xfId="2" applyBorder="1" applyAlignment="1">
      <alignment horizontal="center"/>
    </xf>
    <xf numFmtId="2" fontId="1" fillId="0" borderId="0" xfId="2" applyNumberFormat="1" applyBorder="1" applyAlignment="1">
      <alignment horizontal="center"/>
    </xf>
    <xf numFmtId="0" fontId="28" fillId="0" borderId="0" xfId="2" applyFont="1"/>
    <xf numFmtId="0" fontId="1" fillId="0" borderId="0" xfId="2" applyFont="1" applyBorder="1" applyAlignment="1">
      <alignment horizontal="center"/>
    </xf>
    <xf numFmtId="0" fontId="28" fillId="0" borderId="0" xfId="2" applyFont="1" applyAlignment="1">
      <alignment horizontal="center"/>
    </xf>
    <xf numFmtId="0" fontId="28" fillId="10" borderId="0" xfId="2" applyFont="1" applyFill="1"/>
    <xf numFmtId="2" fontId="28" fillId="0" borderId="0" xfId="2" applyNumberFormat="1" applyFont="1" applyBorder="1" applyAlignment="1">
      <alignment horizontal="center"/>
    </xf>
    <xf numFmtId="0" fontId="1" fillId="0" borderId="0" xfId="2"/>
    <xf numFmtId="0" fontId="1" fillId="0" borderId="0" xfId="2" applyAlignment="1">
      <alignment horizontal="center"/>
    </xf>
    <xf numFmtId="0" fontId="1" fillId="0" borderId="0" xfId="2" applyBorder="1"/>
    <xf numFmtId="2" fontId="1" fillId="0" borderId="0" xfId="2" applyNumberFormat="1" applyAlignment="1">
      <alignment horizontal="center"/>
    </xf>
    <xf numFmtId="0" fontId="1" fillId="0" borderId="0" xfId="2" applyFont="1"/>
    <xf numFmtId="0" fontId="1" fillId="0" borderId="0" xfId="2" applyFont="1" applyAlignment="1">
      <alignment horizontal="right"/>
    </xf>
    <xf numFmtId="0" fontId="1" fillId="0" borderId="0" xfId="2" applyFont="1" applyAlignment="1">
      <alignment horizontal="center"/>
    </xf>
    <xf numFmtId="0" fontId="1" fillId="0" borderId="1" xfId="2" applyBorder="1"/>
    <xf numFmtId="0" fontId="1" fillId="0" borderId="0" xfId="2" applyFill="1" applyBorder="1" applyAlignment="1">
      <alignment horizontal="center"/>
    </xf>
    <xf numFmtId="0" fontId="1" fillId="0" borderId="1" xfId="2" applyFont="1" applyBorder="1"/>
    <xf numFmtId="0" fontId="1" fillId="0" borderId="0" xfId="2" applyBorder="1" applyAlignment="1">
      <alignment horizontal="center"/>
    </xf>
    <xf numFmtId="2" fontId="1" fillId="0" borderId="0" xfId="2" applyNumberFormat="1" applyBorder="1" applyAlignment="1">
      <alignment horizontal="center"/>
    </xf>
    <xf numFmtId="2" fontId="1" fillId="0" borderId="1" xfId="2" applyNumberFormat="1" applyBorder="1"/>
    <xf numFmtId="0" fontId="1" fillId="0" borderId="0" xfId="2" applyFont="1" applyBorder="1"/>
    <xf numFmtId="0" fontId="28" fillId="0" borderId="0" xfId="2" applyFont="1"/>
    <xf numFmtId="0" fontId="29" fillId="0" borderId="0" xfId="2" applyFont="1" applyBorder="1" applyAlignment="1">
      <alignment horizontal="center"/>
    </xf>
    <xf numFmtId="2" fontId="1" fillId="0" borderId="0" xfId="2" applyNumberFormat="1" applyBorder="1"/>
    <xf numFmtId="0" fontId="1" fillId="0" borderId="0" xfId="2" applyFont="1" applyBorder="1" applyAlignment="1">
      <alignment horizontal="right"/>
    </xf>
    <xf numFmtId="2" fontId="1" fillId="0" borderId="0" xfId="2" applyNumberFormat="1" applyFont="1" applyBorder="1" applyAlignment="1">
      <alignment horizontal="left"/>
    </xf>
    <xf numFmtId="0" fontId="1" fillId="0" borderId="0" xfId="2" applyFont="1" applyBorder="1" applyAlignment="1">
      <alignment horizontal="center"/>
    </xf>
    <xf numFmtId="0" fontId="28" fillId="0" borderId="0" xfId="2" applyFont="1" applyBorder="1" applyAlignment="1">
      <alignment horizontal="center"/>
    </xf>
    <xf numFmtId="0" fontId="28" fillId="0" borderId="0" xfId="2" applyFont="1" applyBorder="1" applyAlignment="1">
      <alignment horizontal="left"/>
    </xf>
    <xf numFmtId="0" fontId="1" fillId="0" borderId="5" xfId="2" applyBorder="1"/>
    <xf numFmtId="0" fontId="1" fillId="0" borderId="1" xfId="2" applyFont="1" applyFill="1" applyBorder="1"/>
    <xf numFmtId="2" fontId="28" fillId="0" borderId="0" xfId="2" applyNumberFormat="1" applyFont="1" applyBorder="1" applyAlignment="1">
      <alignment horizontal="center"/>
    </xf>
    <xf numFmtId="0" fontId="1" fillId="0" borderId="0" xfId="2" applyBorder="1" applyAlignment="1"/>
    <xf numFmtId="11" fontId="0" fillId="0" borderId="0"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164" fontId="0" fillId="0" borderId="0" xfId="0" applyNumberFormat="1" applyFill="1" applyBorder="1" applyAlignment="1" applyProtection="1">
      <alignment horizontal="center" vertical="center"/>
      <protection locked="0"/>
    </xf>
    <xf numFmtId="2" fontId="0" fillId="0" borderId="0" xfId="0" applyNumberFormat="1" applyAlignment="1">
      <alignment horizontal="right" indent="2"/>
    </xf>
    <xf numFmtId="0" fontId="0" fillId="2" borderId="0" xfId="0" applyFill="1" applyBorder="1" applyProtection="1"/>
    <xf numFmtId="0" fontId="0" fillId="2" borderId="0" xfId="0" applyFill="1" applyAlignment="1" applyProtection="1">
      <alignment horizontal="center"/>
    </xf>
    <xf numFmtId="0" fontId="0" fillId="0" borderId="0" xfId="0" applyProtection="1"/>
    <xf numFmtId="0" fontId="8" fillId="2" borderId="0" xfId="0" applyFont="1" applyFill="1" applyAlignment="1" applyProtection="1">
      <alignment horizontal="left"/>
    </xf>
    <xf numFmtId="0" fontId="1" fillId="2" borderId="0" xfId="0" applyFont="1" applyFill="1" applyProtection="1"/>
    <xf numFmtId="14" fontId="8" fillId="2" borderId="0" xfId="0" applyNumberFormat="1" applyFont="1" applyFill="1" applyAlignment="1" applyProtection="1">
      <alignment horizontal="left"/>
    </xf>
    <xf numFmtId="0" fontId="0" fillId="2" borderId="1" xfId="0" applyFill="1" applyBorder="1" applyAlignment="1" applyProtection="1">
      <alignment horizontal="center"/>
    </xf>
    <xf numFmtId="0" fontId="0" fillId="3" borderId="0" xfId="0" applyFill="1" applyBorder="1" applyAlignment="1" applyProtection="1">
      <alignment horizontal="center"/>
    </xf>
    <xf numFmtId="0" fontId="0" fillId="5" borderId="1" xfId="0" applyFill="1" applyBorder="1" applyAlignment="1" applyProtection="1">
      <alignment horizontal="center"/>
    </xf>
    <xf numFmtId="0" fontId="30" fillId="4" borderId="1" xfId="0" applyFont="1" applyFill="1" applyBorder="1" applyAlignment="1" applyProtection="1">
      <alignment horizontal="center"/>
    </xf>
    <xf numFmtId="0" fontId="23" fillId="7" borderId="17" xfId="0" applyFont="1" applyFill="1" applyBorder="1" applyProtection="1"/>
    <xf numFmtId="0" fontId="0" fillId="2" borderId="18" xfId="0" applyFill="1" applyBorder="1" applyProtection="1"/>
    <xf numFmtId="0" fontId="1" fillId="2" borderId="18" xfId="0" applyFont="1" applyFill="1" applyBorder="1" applyAlignment="1" applyProtection="1">
      <alignment horizontal="right" vertical="center"/>
    </xf>
    <xf numFmtId="0" fontId="1" fillId="2" borderId="26" xfId="0" applyFont="1" applyFill="1" applyBorder="1" applyAlignment="1" applyProtection="1">
      <alignment horizontal="center" vertical="center"/>
    </xf>
    <xf numFmtId="0" fontId="0" fillId="2" borderId="22" xfId="0" applyFill="1" applyBorder="1" applyProtection="1"/>
    <xf numFmtId="0" fontId="20" fillId="2" borderId="19" xfId="0" applyFont="1" applyFill="1" applyBorder="1" applyProtection="1"/>
    <xf numFmtId="0" fontId="1" fillId="2" borderId="0" xfId="0" applyFont="1" applyFill="1" applyBorder="1" applyAlignment="1" applyProtection="1">
      <alignment horizontal="right" vertical="center"/>
    </xf>
    <xf numFmtId="0" fontId="1" fillId="2" borderId="7" xfId="0" applyFont="1" applyFill="1" applyBorder="1" applyAlignment="1" applyProtection="1">
      <alignment horizontal="center" vertical="center"/>
    </xf>
    <xf numFmtId="0" fontId="0" fillId="2" borderId="23" xfId="0" applyFill="1" applyBorder="1" applyProtection="1"/>
    <xf numFmtId="0" fontId="0" fillId="2" borderId="19" xfId="0" applyFill="1" applyBorder="1" applyProtection="1"/>
    <xf numFmtId="0" fontId="0" fillId="2" borderId="7" xfId="0" applyFill="1" applyBorder="1" applyAlignment="1" applyProtection="1">
      <alignment horizontal="center" vertical="center"/>
    </xf>
    <xf numFmtId="0" fontId="0" fillId="2" borderId="21" xfId="0" applyFill="1" applyBorder="1" applyProtection="1"/>
    <xf numFmtId="0" fontId="0" fillId="2" borderId="20" xfId="0" applyFill="1" applyBorder="1" applyProtection="1"/>
    <xf numFmtId="0" fontId="1" fillId="2" borderId="20" xfId="0" applyFont="1" applyFill="1" applyBorder="1" applyAlignment="1" applyProtection="1">
      <alignment horizontal="right" vertical="center"/>
    </xf>
    <xf numFmtId="0" fontId="1" fillId="2" borderId="25" xfId="0" applyFont="1" applyFill="1" applyBorder="1" applyAlignment="1" applyProtection="1">
      <alignment horizontal="center" vertical="center"/>
    </xf>
    <xf numFmtId="0" fontId="0" fillId="2" borderId="24" xfId="0" applyFill="1" applyBorder="1" applyProtection="1"/>
    <xf numFmtId="0" fontId="0" fillId="7" borderId="18" xfId="0" applyFill="1" applyBorder="1" applyProtection="1"/>
    <xf numFmtId="2" fontId="0" fillId="0" borderId="1" xfId="0" applyNumberFormat="1" applyBorder="1" applyAlignment="1" applyProtection="1">
      <alignment horizontal="center" vertical="center"/>
    </xf>
    <xf numFmtId="0" fontId="1" fillId="0" borderId="0" xfId="0" applyFont="1" applyProtection="1"/>
    <xf numFmtId="0" fontId="1" fillId="2" borderId="0" xfId="0" applyFont="1" applyFill="1" applyBorder="1" applyProtection="1"/>
    <xf numFmtId="0" fontId="10" fillId="2" borderId="7" xfId="0" applyFont="1" applyFill="1" applyBorder="1" applyAlignment="1" applyProtection="1">
      <alignment horizontal="center" vertical="center"/>
    </xf>
    <xf numFmtId="0" fontId="0" fillId="2" borderId="3" xfId="0" applyFill="1" applyBorder="1" applyProtection="1"/>
    <xf numFmtId="0" fontId="0" fillId="5" borderId="0" xfId="0" applyFill="1" applyBorder="1" applyProtection="1"/>
    <xf numFmtId="0" fontId="1" fillId="5" borderId="0" xfId="0" applyFont="1" applyFill="1" applyBorder="1" applyAlignment="1" applyProtection="1">
      <alignment horizontal="right" vertical="center"/>
    </xf>
    <xf numFmtId="165" fontId="0" fillId="2" borderId="1" xfId="0" applyNumberFormat="1" applyFill="1" applyBorder="1" applyAlignment="1" applyProtection="1">
      <alignment horizontal="center" vertical="center"/>
    </xf>
    <xf numFmtId="0" fontId="0" fillId="6" borderId="0" xfId="0" applyFill="1" applyBorder="1" applyProtection="1"/>
    <xf numFmtId="0" fontId="1" fillId="6" borderId="0" xfId="0" applyFont="1" applyFill="1" applyBorder="1" applyAlignment="1" applyProtection="1">
      <alignment horizontal="right" vertical="center"/>
    </xf>
    <xf numFmtId="0" fontId="0" fillId="8" borderId="0" xfId="0" applyFill="1" applyBorder="1" applyProtection="1"/>
    <xf numFmtId="0" fontId="1" fillId="8" borderId="0" xfId="0" applyFont="1" applyFill="1" applyBorder="1" applyAlignment="1" applyProtection="1">
      <alignment horizontal="right" vertical="center"/>
    </xf>
    <xf numFmtId="0" fontId="0" fillId="0" borderId="0" xfId="0" applyBorder="1" applyProtection="1"/>
    <xf numFmtId="165" fontId="0" fillId="2" borderId="5" xfId="0" applyNumberFormat="1" applyFill="1" applyBorder="1" applyAlignment="1" applyProtection="1">
      <alignment horizontal="center" vertical="center"/>
    </xf>
    <xf numFmtId="0" fontId="1" fillId="2" borderId="18" xfId="0" applyFont="1" applyFill="1" applyBorder="1" applyAlignment="1" applyProtection="1">
      <alignment horizontal="right"/>
    </xf>
    <xf numFmtId="0" fontId="0" fillId="2" borderId="26" xfId="0" applyFill="1" applyBorder="1" applyAlignment="1" applyProtection="1">
      <alignment horizontal="center" vertical="center"/>
    </xf>
    <xf numFmtId="0" fontId="1" fillId="2" borderId="0" xfId="0" applyFont="1" applyFill="1" applyBorder="1" applyAlignment="1" applyProtection="1">
      <alignment horizontal="right"/>
    </xf>
    <xf numFmtId="0" fontId="2" fillId="0" borderId="0" xfId="0" applyFont="1" applyProtection="1"/>
    <xf numFmtId="0" fontId="6" fillId="2" borderId="7" xfId="0" applyFont="1" applyFill="1" applyBorder="1" applyAlignment="1" applyProtection="1">
      <alignment horizontal="center" vertical="center"/>
    </xf>
    <xf numFmtId="0" fontId="0" fillId="0" borderId="19" xfId="0" applyBorder="1" applyProtection="1"/>
    <xf numFmtId="2" fontId="0" fillId="2" borderId="1" xfId="0" applyNumberFormat="1" applyFill="1" applyBorder="1" applyAlignment="1" applyProtection="1">
      <alignment horizontal="center" vertical="center"/>
    </xf>
    <xf numFmtId="9" fontId="0" fillId="2" borderId="1" xfId="0" applyNumberFormat="1" applyFill="1" applyBorder="1" applyAlignment="1" applyProtection="1">
      <alignment horizontal="center" vertical="center"/>
    </xf>
    <xf numFmtId="0" fontId="0" fillId="3" borderId="0" xfId="0" applyFill="1" applyBorder="1" applyProtection="1"/>
    <xf numFmtId="0" fontId="1" fillId="3" borderId="0" xfId="0" applyFont="1" applyFill="1" applyBorder="1" applyAlignment="1" applyProtection="1">
      <alignment horizontal="right" vertical="center"/>
    </xf>
    <xf numFmtId="0" fontId="1" fillId="3" borderId="0" xfId="0" applyFont="1" applyFill="1" applyBorder="1" applyAlignment="1" applyProtection="1">
      <alignment horizontal="right"/>
    </xf>
    <xf numFmtId="0" fontId="1" fillId="0" borderId="0" xfId="0" applyFont="1" applyBorder="1" applyAlignment="1" applyProtection="1">
      <alignment horizontal="right"/>
    </xf>
    <xf numFmtId="0" fontId="1" fillId="0" borderId="7" xfId="0" applyFont="1" applyBorder="1" applyAlignment="1" applyProtection="1">
      <alignment horizontal="center"/>
    </xf>
    <xf numFmtId="0" fontId="1" fillId="0" borderId="0" xfId="0" applyFont="1" applyFill="1" applyBorder="1" applyAlignment="1" applyProtection="1">
      <alignment horizontal="right"/>
    </xf>
    <xf numFmtId="0" fontId="1" fillId="2" borderId="23" xfId="0" applyFont="1" applyFill="1" applyBorder="1" applyProtection="1"/>
    <xf numFmtId="0" fontId="0" fillId="3" borderId="20" xfId="0" applyFill="1" applyBorder="1" applyProtection="1"/>
    <xf numFmtId="0" fontId="1" fillId="3" borderId="20" xfId="0" applyFont="1" applyFill="1" applyBorder="1" applyAlignment="1" applyProtection="1">
      <alignment horizontal="right"/>
    </xf>
    <xf numFmtId="2" fontId="0" fillId="2" borderId="15" xfId="0" applyNumberFormat="1" applyFill="1" applyBorder="1" applyAlignment="1" applyProtection="1">
      <alignment horizontal="center" vertical="center"/>
    </xf>
    <xf numFmtId="0" fontId="0" fillId="2" borderId="25" xfId="0" applyFill="1" applyBorder="1" applyAlignment="1" applyProtection="1">
      <alignment horizontal="center" vertical="center"/>
    </xf>
    <xf numFmtId="0" fontId="1" fillId="2" borderId="24" xfId="0" applyFont="1" applyFill="1" applyBorder="1" applyProtection="1"/>
    <xf numFmtId="0" fontId="23" fillId="7" borderId="19" xfId="0" applyFont="1" applyFill="1" applyBorder="1" applyProtection="1"/>
    <xf numFmtId="0" fontId="0" fillId="7" borderId="0" xfId="0" applyFill="1" applyBorder="1" applyProtection="1"/>
    <xf numFmtId="0" fontId="1" fillId="0" borderId="0" xfId="0" applyFont="1" applyAlignment="1" applyProtection="1">
      <alignment horizontal="right"/>
    </xf>
    <xf numFmtId="0" fontId="1" fillId="2" borderId="4" xfId="0" applyFont="1" applyFill="1" applyBorder="1" applyAlignment="1" applyProtection="1">
      <alignment horizontal="center" vertical="center"/>
    </xf>
    <xf numFmtId="2" fontId="0" fillId="2" borderId="6" xfId="0" applyNumberForma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7" fillId="2" borderId="0" xfId="0" applyFont="1" applyFill="1" applyBorder="1" applyProtection="1"/>
    <xf numFmtId="0" fontId="0" fillId="2" borderId="4" xfId="0" applyFill="1" applyBorder="1" applyAlignment="1" applyProtection="1">
      <alignment horizontal="center"/>
    </xf>
    <xf numFmtId="0" fontId="2" fillId="2" borderId="0" xfId="0" applyFont="1" applyFill="1" applyBorder="1" applyAlignment="1" applyProtection="1">
      <alignment horizontal="right"/>
    </xf>
    <xf numFmtId="0" fontId="2" fillId="2" borderId="0" xfId="0" applyFont="1" applyFill="1" applyBorder="1" applyAlignment="1" applyProtection="1">
      <alignment horizontal="center"/>
    </xf>
    <xf numFmtId="2" fontId="0" fillId="2" borderId="9" xfId="0" applyNumberFormat="1" applyFill="1" applyBorder="1" applyAlignment="1" applyProtection="1">
      <alignment horizontal="center" vertical="center"/>
    </xf>
    <xf numFmtId="0" fontId="0" fillId="3" borderId="35" xfId="0" applyFill="1" applyBorder="1" applyProtection="1"/>
    <xf numFmtId="0" fontId="21" fillId="2" borderId="18" xfId="0" applyFont="1" applyFill="1" applyBorder="1" applyAlignment="1" applyProtection="1">
      <alignment horizontal="right" vertical="center"/>
    </xf>
    <xf numFmtId="0" fontId="0" fillId="2" borderId="10" xfId="0"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21" fillId="2" borderId="0" xfId="0" applyFont="1" applyFill="1" applyBorder="1" applyAlignment="1" applyProtection="1">
      <alignment horizontal="right" vertical="center"/>
    </xf>
    <xf numFmtId="0" fontId="0" fillId="2" borderId="8" xfId="0"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0" fillId="3" borderId="23" xfId="0" applyFill="1" applyBorder="1" applyProtection="1"/>
    <xf numFmtId="0" fontId="0" fillId="2" borderId="0" xfId="0" applyFill="1" applyBorder="1" applyAlignment="1" applyProtection="1">
      <alignment horizontal="right" vertical="center"/>
    </xf>
    <xf numFmtId="0" fontId="0" fillId="2" borderId="1" xfId="0" applyNumberForma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0" fillId="12" borderId="17" xfId="0" applyFill="1" applyBorder="1" applyProtection="1"/>
    <xf numFmtId="0" fontId="1" fillId="12" borderId="18" xfId="0" applyFont="1" applyFill="1" applyBorder="1" applyAlignment="1" applyProtection="1">
      <alignment horizontal="center"/>
    </xf>
    <xf numFmtId="0" fontId="2" fillId="12" borderId="18" xfId="0" applyFont="1" applyFill="1" applyBorder="1" applyAlignment="1" applyProtection="1">
      <alignment horizontal="center"/>
    </xf>
    <xf numFmtId="0" fontId="2" fillId="12" borderId="22" xfId="0" applyFont="1" applyFill="1" applyBorder="1" applyAlignment="1" applyProtection="1">
      <alignment horizontal="left"/>
    </xf>
    <xf numFmtId="0" fontId="2" fillId="2" borderId="0" xfId="0" applyFont="1" applyFill="1" applyBorder="1" applyProtection="1"/>
    <xf numFmtId="0" fontId="0" fillId="2" borderId="12" xfId="0" applyFill="1" applyBorder="1" applyProtection="1"/>
    <xf numFmtId="0" fontId="1" fillId="2" borderId="1" xfId="0" applyFont="1" applyFill="1" applyBorder="1" applyAlignment="1" applyProtection="1">
      <alignment horizontal="right"/>
    </xf>
    <xf numFmtId="165" fontId="0" fillId="2" borderId="1" xfId="0" applyNumberFormat="1" applyFill="1" applyBorder="1" applyAlignment="1" applyProtection="1">
      <alignment horizontal="center"/>
    </xf>
    <xf numFmtId="0" fontId="1" fillId="2" borderId="13" xfId="0" applyFont="1" applyFill="1" applyBorder="1" applyProtection="1"/>
    <xf numFmtId="165" fontId="0" fillId="2" borderId="0" xfId="0" applyNumberFormat="1" applyFill="1" applyBorder="1" applyAlignment="1" applyProtection="1">
      <alignment horizontal="center"/>
    </xf>
    <xf numFmtId="1" fontId="0" fillId="2" borderId="1" xfId="0" applyNumberFormat="1" applyFill="1" applyBorder="1" applyAlignment="1" applyProtection="1">
      <alignment horizontal="center"/>
    </xf>
    <xf numFmtId="1" fontId="0" fillId="2" borderId="0" xfId="0" applyNumberFormat="1" applyFill="1" applyBorder="1" applyAlignment="1" applyProtection="1">
      <alignment horizontal="center"/>
    </xf>
    <xf numFmtId="0" fontId="0" fillId="2" borderId="5" xfId="0" applyNumberFormat="1" applyFill="1" applyBorder="1" applyAlignment="1" applyProtection="1">
      <alignment horizontal="center" vertical="center"/>
    </xf>
    <xf numFmtId="164" fontId="0" fillId="2" borderId="1" xfId="0" applyNumberFormat="1" applyFill="1" applyBorder="1" applyAlignment="1" applyProtection="1">
      <alignment horizontal="center"/>
    </xf>
    <xf numFmtId="0" fontId="1" fillId="2" borderId="0" xfId="0" applyFont="1" applyFill="1" applyBorder="1" applyAlignment="1" applyProtection="1">
      <alignment horizontal="center" vertical="center"/>
    </xf>
    <xf numFmtId="164" fontId="1" fillId="2" borderId="1" xfId="0" applyNumberFormat="1" applyFont="1" applyFill="1" applyBorder="1" applyAlignment="1" applyProtection="1">
      <alignment horizontal="right"/>
    </xf>
    <xf numFmtId="2" fontId="0" fillId="2" borderId="0" xfId="0" applyNumberFormat="1" applyFill="1" applyBorder="1" applyAlignment="1" applyProtection="1">
      <alignment horizontal="center"/>
    </xf>
    <xf numFmtId="2" fontId="0" fillId="2" borderId="5" xfId="0" applyNumberFormat="1" applyFill="1" applyBorder="1" applyAlignment="1" applyProtection="1">
      <alignment horizontal="center" vertical="center"/>
    </xf>
    <xf numFmtId="0" fontId="1" fillId="2" borderId="0" xfId="2" applyFont="1" applyFill="1" applyBorder="1" applyAlignment="1" applyProtection="1">
      <alignment horizontal="right" vertical="center"/>
    </xf>
    <xf numFmtId="1" fontId="1" fillId="2" borderId="1" xfId="2" applyNumberFormat="1" applyFont="1" applyFill="1" applyBorder="1" applyAlignment="1" applyProtection="1">
      <alignment horizontal="center" vertical="center"/>
    </xf>
    <xf numFmtId="164" fontId="0" fillId="2" borderId="0" xfId="0" applyNumberFormat="1" applyFill="1" applyBorder="1" applyAlignment="1" applyProtection="1">
      <alignment horizontal="center"/>
    </xf>
    <xf numFmtId="0" fontId="0" fillId="2" borderId="1" xfId="0" applyFill="1" applyBorder="1" applyAlignment="1" applyProtection="1">
      <alignment horizontal="center" vertical="center"/>
    </xf>
    <xf numFmtId="0" fontId="0" fillId="0" borderId="1" xfId="0" applyBorder="1" applyAlignment="1" applyProtection="1">
      <alignment horizontal="center"/>
    </xf>
    <xf numFmtId="0" fontId="0" fillId="0" borderId="0" xfId="0" applyAlignment="1" applyProtection="1">
      <alignment horizontal="center"/>
    </xf>
    <xf numFmtId="1" fontId="1" fillId="2" borderId="0" xfId="0" applyNumberFormat="1" applyFont="1" applyFill="1" applyBorder="1" applyAlignment="1" applyProtection="1">
      <alignment horizontal="center" vertical="center"/>
    </xf>
    <xf numFmtId="0" fontId="0" fillId="2" borderId="0" xfId="0" applyFill="1" applyBorder="1" applyAlignment="1" applyProtection="1">
      <alignment horizontal="center"/>
    </xf>
    <xf numFmtId="0" fontId="1" fillId="2" borderId="19" xfId="0" applyFont="1" applyFill="1" applyBorder="1" applyAlignment="1" applyProtection="1">
      <alignment horizontal="right"/>
    </xf>
    <xf numFmtId="0" fontId="1" fillId="2" borderId="0" xfId="0" applyFont="1" applyFill="1" applyBorder="1" applyAlignment="1" applyProtection="1">
      <alignment horizontal="left"/>
    </xf>
    <xf numFmtId="0" fontId="0" fillId="2" borderId="0" xfId="0" applyFill="1" applyBorder="1" applyAlignment="1" applyProtection="1">
      <alignment horizontal="right"/>
    </xf>
    <xf numFmtId="14" fontId="1" fillId="2" borderId="0" xfId="0" applyNumberFormat="1" applyFont="1" applyFill="1" applyBorder="1" applyAlignment="1" applyProtection="1">
      <alignment horizontal="center"/>
    </xf>
    <xf numFmtId="0" fontId="1" fillId="2" borderId="20" xfId="0" applyFont="1" applyFill="1" applyBorder="1" applyAlignment="1" applyProtection="1">
      <alignment horizontal="left"/>
    </xf>
    <xf numFmtId="0" fontId="0" fillId="2" borderId="20" xfId="0" applyFill="1" applyBorder="1" applyAlignment="1" applyProtection="1">
      <alignment horizontal="center"/>
    </xf>
    <xf numFmtId="0" fontId="20" fillId="2" borderId="0" xfId="0" applyFont="1" applyFill="1" applyProtection="1"/>
    <xf numFmtId="0" fontId="0" fillId="3" borderId="0" xfId="0" applyFill="1" applyProtection="1"/>
    <xf numFmtId="0" fontId="0" fillId="3" borderId="0" xfId="0" applyFill="1" applyAlignment="1" applyProtection="1">
      <alignment horizontal="center"/>
    </xf>
    <xf numFmtId="0" fontId="23" fillId="2" borderId="0" xfId="0" applyFont="1" applyFill="1" applyProtection="1"/>
    <xf numFmtId="0" fontId="14" fillId="5" borderId="0" xfId="1" applyFill="1" applyAlignment="1" applyProtection="1"/>
    <xf numFmtId="0" fontId="41" fillId="0" borderId="17"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22" xfId="0" applyFont="1" applyBorder="1" applyAlignment="1">
      <alignment horizontal="center" vertical="center" wrapText="1"/>
    </xf>
    <xf numFmtId="0" fontId="41" fillId="0" borderId="19"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21" xfId="0" applyFont="1" applyBorder="1" applyAlignment="1">
      <alignment horizontal="center" vertical="center" wrapText="1"/>
    </xf>
    <xf numFmtId="0" fontId="41" fillId="0" borderId="20" xfId="0" applyFont="1" applyBorder="1" applyAlignment="1">
      <alignment horizontal="center" vertical="center" wrapText="1"/>
    </xf>
    <xf numFmtId="0" fontId="41" fillId="0" borderId="24" xfId="0" applyFont="1" applyBorder="1" applyAlignment="1">
      <alignment horizontal="center" vertical="center" wrapText="1"/>
    </xf>
    <xf numFmtId="0" fontId="14" fillId="11" borderId="0" xfId="1" applyFill="1" applyAlignment="1" applyProtection="1">
      <alignment horizontal="left"/>
    </xf>
    <xf numFmtId="0" fontId="13" fillId="3" borderId="0" xfId="0" applyFont="1" applyFill="1" applyBorder="1" applyAlignment="1" applyProtection="1">
      <alignment horizontal="center" vertical="center"/>
    </xf>
    <xf numFmtId="0" fontId="17" fillId="4" borderId="17" xfId="0" applyFont="1" applyFill="1" applyBorder="1" applyAlignment="1" applyProtection="1">
      <alignment horizontal="left" vertical="center"/>
    </xf>
    <xf numFmtId="0" fontId="17" fillId="4" borderId="18" xfId="0" applyFont="1" applyFill="1" applyBorder="1" applyAlignment="1" applyProtection="1">
      <alignment horizontal="left" vertical="center"/>
    </xf>
    <xf numFmtId="0" fontId="1" fillId="2" borderId="3" xfId="0" applyFont="1" applyFill="1" applyBorder="1" applyAlignment="1" applyProtection="1">
      <alignment horizontal="left" vertical="center" wrapText="1"/>
    </xf>
    <xf numFmtId="0" fontId="1" fillId="2" borderId="0" xfId="0" applyFont="1" applyFill="1" applyAlignment="1" applyProtection="1">
      <alignment horizontal="left" vertical="center" wrapText="1"/>
    </xf>
    <xf numFmtId="0" fontId="39" fillId="2" borderId="19" xfId="2" applyFont="1" applyFill="1" applyBorder="1" applyAlignment="1" applyProtection="1">
      <alignment horizontal="left" vertical="top" wrapText="1"/>
    </xf>
    <xf numFmtId="0" fontId="40" fillId="2" borderId="19" xfId="0" applyFont="1" applyFill="1" applyBorder="1" applyAlignment="1" applyProtection="1">
      <alignment horizontal="left" vertical="top" wrapText="1"/>
    </xf>
    <xf numFmtId="0" fontId="40" fillId="2" borderId="0" xfId="0" applyFont="1" applyFill="1" applyBorder="1" applyAlignment="1" applyProtection="1">
      <alignment horizontal="left" vertical="top" wrapText="1"/>
    </xf>
    <xf numFmtId="0" fontId="27" fillId="0" borderId="0" xfId="0" applyFont="1" applyAlignment="1">
      <alignment horizontal="center"/>
    </xf>
    <xf numFmtId="0" fontId="28" fillId="0" borderId="0" xfId="0" applyFont="1" applyAlignment="1">
      <alignment horizontal="center"/>
    </xf>
    <xf numFmtId="0" fontId="2" fillId="0" borderId="0" xfId="0" applyFont="1" applyAlignment="1">
      <alignment horizontal="center"/>
    </xf>
    <xf numFmtId="0" fontId="27" fillId="0" borderId="1" xfId="2" applyFont="1" applyBorder="1" applyAlignment="1">
      <alignment horizontal="center"/>
    </xf>
    <xf numFmtId="0" fontId="1" fillId="0" borderId="5" xfId="2" applyFont="1" applyBorder="1" applyAlignment="1">
      <alignment horizontal="center"/>
    </xf>
    <xf numFmtId="0" fontId="1" fillId="0" borderId="5" xfId="2" applyBorder="1" applyAlignment="1">
      <alignment horizontal="center"/>
    </xf>
    <xf numFmtId="0" fontId="28" fillId="0" borderId="0" xfId="2" applyFont="1" applyBorder="1" applyAlignment="1">
      <alignment horizontal="center"/>
    </xf>
    <xf numFmtId="2" fontId="1" fillId="0" borderId="0" xfId="2" applyNumberFormat="1" applyFont="1" applyBorder="1" applyAlignment="1">
      <alignment horizontal="center"/>
    </xf>
    <xf numFmtId="2" fontId="1" fillId="0" borderId="0" xfId="2" applyNumberFormat="1" applyBorder="1" applyAlignment="1">
      <alignment horizontal="center"/>
    </xf>
  </cellXfs>
  <cellStyles count="3">
    <cellStyle name="Hyperlink" xfId="1" builtinId="8"/>
    <cellStyle name="Normal" xfId="0" builtinId="0"/>
    <cellStyle name="Normal 2" xfId="2"/>
  </cellStyles>
  <dxfs count="21">
    <dxf>
      <font>
        <color theme="0"/>
      </font>
      <fill>
        <patternFill>
          <fgColor theme="0"/>
          <bgColor theme="0"/>
        </patternFill>
      </fill>
    </dxf>
    <dxf>
      <fill>
        <patternFill>
          <bgColor rgb="FFFF0000"/>
        </patternFill>
      </fill>
    </dxf>
    <dxf>
      <font>
        <color theme="0"/>
      </font>
      <fill>
        <patternFill>
          <bgColor theme="0"/>
        </patternFill>
      </fill>
    </dxf>
    <dxf>
      <font>
        <color theme="0"/>
      </font>
      <fill>
        <patternFill patternType="solid">
          <bgColor theme="0"/>
        </patternFill>
      </fill>
      <border>
        <left/>
        <right/>
      </border>
    </dxf>
    <dxf>
      <fill>
        <patternFill>
          <bgColor rgb="FFFF0000"/>
        </patternFill>
      </fill>
    </dxf>
    <dxf>
      <fill>
        <patternFill>
          <bgColor rgb="FFFF0000"/>
        </patternFill>
      </fill>
    </dxf>
    <dxf>
      <fill>
        <patternFill>
          <bgColor rgb="FFFFFF00"/>
        </patternFill>
      </fill>
    </dxf>
    <dxf>
      <fill>
        <patternFill>
          <bgColor rgb="FFFF0000"/>
        </patternFill>
      </fill>
    </dxf>
    <dxf>
      <font>
        <color theme="0"/>
      </font>
      <fill>
        <patternFill>
          <fgColor theme="0"/>
          <bgColor theme="0"/>
        </patternFill>
      </fill>
    </dxf>
    <dxf>
      <font>
        <strike val="0"/>
        <color theme="0"/>
      </font>
      <fill>
        <patternFill patternType="none">
          <bgColor auto="1"/>
        </patternFill>
      </fill>
    </dxf>
    <dxf>
      <font>
        <strike/>
        <color theme="0" tint="-0.24994659260841701"/>
      </font>
      <fill>
        <patternFill patternType="none">
          <bgColor auto="1"/>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
      <fill>
        <patternFill>
          <bgColor indexed="10"/>
        </patternFill>
      </fill>
    </dxf>
    <dxf>
      <font>
        <condense val="0"/>
        <extend val="0"/>
        <color indexed="9"/>
      </font>
      <fill>
        <patternFill>
          <bgColor indexed="9"/>
        </patternFill>
      </fill>
      <border>
        <left/>
        <right/>
        <top style="thin">
          <color indexed="64"/>
        </top>
        <bottom/>
      </border>
    </dxf>
  </dxfs>
  <tableStyles count="0" defaultTableStyle="TableStyleMedium9" defaultPivotStyle="PivotStyleLight16"/>
  <colors>
    <mruColors>
      <color rgb="FF0053FA"/>
      <color rgb="FFFF5050"/>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8"/>
          <c:w val="0.83144069779259888"/>
          <c:h val="0.76916929287639557"/>
        </c:manualLayout>
      </c:layout>
      <c:scatterChart>
        <c:scatterStyle val="lineMarker"/>
        <c:varyColors val="0"/>
        <c:ser>
          <c:idx val="3"/>
          <c:order val="0"/>
          <c:tx>
            <c:v>Temp Derated FET SOA (t = Tfault)</c:v>
          </c:tx>
          <c:spPr>
            <a:ln w="25400">
              <a:solidFill>
                <a:srgbClr val="008000"/>
              </a:solidFill>
              <a:prstDash val="solid"/>
            </a:ln>
          </c:spPr>
          <c:marker>
            <c:symbol val="none"/>
          </c:marker>
          <c:xVal>
            <c:numRef>
              <c:f>Equations!$R$146:$R$162</c:f>
              <c:numCache>
                <c:formatCode>General</c:formatCode>
                <c:ptCount val="17"/>
                <c:pt idx="0">
                  <c:v>0.27500000000000002</c:v>
                </c:pt>
                <c:pt idx="1">
                  <c:v>2.75</c:v>
                </c:pt>
                <c:pt idx="2">
                  <c:v>5.5</c:v>
                </c:pt>
                <c:pt idx="3">
                  <c:v>8.25</c:v>
                </c:pt>
                <c:pt idx="4">
                  <c:v>11</c:v>
                </c:pt>
                <c:pt idx="5">
                  <c:v>13.75</c:v>
                </c:pt>
                <c:pt idx="6">
                  <c:v>16.5</c:v>
                </c:pt>
                <c:pt idx="7">
                  <c:v>19.25</c:v>
                </c:pt>
                <c:pt idx="8">
                  <c:v>22</c:v>
                </c:pt>
                <c:pt idx="9">
                  <c:v>24.75</c:v>
                </c:pt>
                <c:pt idx="10">
                  <c:v>27.5</c:v>
                </c:pt>
                <c:pt idx="11">
                  <c:v>30.25</c:v>
                </c:pt>
                <c:pt idx="12">
                  <c:v>33</c:v>
                </c:pt>
                <c:pt idx="13">
                  <c:v>35.75</c:v>
                </c:pt>
                <c:pt idx="14">
                  <c:v>38.5</c:v>
                </c:pt>
                <c:pt idx="15">
                  <c:v>41.25</c:v>
                </c:pt>
                <c:pt idx="16">
                  <c:v>44</c:v>
                </c:pt>
              </c:numCache>
            </c:numRef>
          </c:xVal>
          <c:yVal>
            <c:numRef>
              <c:f>Equations!$V$146:$V$162</c:f>
              <c:numCache>
                <c:formatCode>0.00</c:formatCode>
                <c:ptCount val="17"/>
                <c:pt idx="0">
                  <c:v>447.94161525448021</c:v>
                </c:pt>
                <c:pt idx="1">
                  <c:v>44.794161525448025</c:v>
                </c:pt>
                <c:pt idx="2">
                  <c:v>22.397080762724013</c:v>
                </c:pt>
                <c:pt idx="3">
                  <c:v>14.931387175149341</c:v>
                </c:pt>
                <c:pt idx="4">
                  <c:v>11.198540381362006</c:v>
                </c:pt>
                <c:pt idx="5">
                  <c:v>8.9588323050896044</c:v>
                </c:pt>
                <c:pt idx="6">
                  <c:v>7.4656935875746706</c:v>
                </c:pt>
                <c:pt idx="7">
                  <c:v>6.3991659322068601</c:v>
                </c:pt>
                <c:pt idx="8">
                  <c:v>5.5992701906810032</c:v>
                </c:pt>
                <c:pt idx="9">
                  <c:v>4.9771290583831131</c:v>
                </c:pt>
                <c:pt idx="10">
                  <c:v>4.4794161525448022</c:v>
                </c:pt>
                <c:pt idx="11">
                  <c:v>4.0721965023134565</c:v>
                </c:pt>
                <c:pt idx="12">
                  <c:v>3.7328467937873353</c:v>
                </c:pt>
                <c:pt idx="13">
                  <c:v>3.4457047327267709</c:v>
                </c:pt>
                <c:pt idx="14">
                  <c:v>3.1995829661034301</c:v>
                </c:pt>
                <c:pt idx="15">
                  <c:v>2.986277435029868</c:v>
                </c:pt>
                <c:pt idx="16">
                  <c:v>2.7996350953405016</c:v>
                </c:pt>
              </c:numCache>
            </c:numRef>
          </c:yVal>
          <c:smooth val="0"/>
        </c:ser>
        <c:ser>
          <c:idx val="1"/>
          <c:order val="1"/>
          <c:tx>
            <c:v>Typ Device SOA Limit</c:v>
          </c:tx>
          <c:spPr>
            <a:ln w="25400">
              <a:solidFill>
                <a:srgbClr val="FF0000"/>
              </a:solidFill>
              <a:prstDash val="solid"/>
            </a:ln>
          </c:spPr>
          <c:marker>
            <c:symbol val="none"/>
          </c:marker>
          <c:xVal>
            <c:numRef>
              <c:f>Equations!$R$146:$R$165</c:f>
              <c:numCache>
                <c:formatCode>General</c:formatCode>
                <c:ptCount val="20"/>
                <c:pt idx="0">
                  <c:v>0.27500000000000002</c:v>
                </c:pt>
                <c:pt idx="1">
                  <c:v>2.75</c:v>
                </c:pt>
                <c:pt idx="2">
                  <c:v>5.5</c:v>
                </c:pt>
                <c:pt idx="3">
                  <c:v>8.25</c:v>
                </c:pt>
                <c:pt idx="4">
                  <c:v>11</c:v>
                </c:pt>
                <c:pt idx="5">
                  <c:v>13.75</c:v>
                </c:pt>
                <c:pt idx="6">
                  <c:v>16.5</c:v>
                </c:pt>
                <c:pt idx="7">
                  <c:v>19.25</c:v>
                </c:pt>
                <c:pt idx="8">
                  <c:v>22</c:v>
                </c:pt>
                <c:pt idx="9">
                  <c:v>24.75</c:v>
                </c:pt>
                <c:pt idx="10">
                  <c:v>27.5</c:v>
                </c:pt>
                <c:pt idx="11">
                  <c:v>30.25</c:v>
                </c:pt>
                <c:pt idx="12">
                  <c:v>33</c:v>
                </c:pt>
                <c:pt idx="13">
                  <c:v>35.75</c:v>
                </c:pt>
                <c:pt idx="14">
                  <c:v>38.5</c:v>
                </c:pt>
                <c:pt idx="15">
                  <c:v>41.25</c:v>
                </c:pt>
                <c:pt idx="16">
                  <c:v>44</c:v>
                </c:pt>
              </c:numCache>
            </c:numRef>
          </c:xVal>
          <c:yVal>
            <c:numRef>
              <c:f>Equations!$T$146:$T$165</c:f>
              <c:numCache>
                <c:formatCode>0.00</c:formatCode>
                <c:ptCount val="20"/>
                <c:pt idx="0">
                  <c:v>25</c:v>
                </c:pt>
                <c:pt idx="1">
                  <c:v>25</c:v>
                </c:pt>
                <c:pt idx="2">
                  <c:v>19.762845849802371</c:v>
                </c:pt>
                <c:pt idx="3">
                  <c:v>13.175230566534912</c:v>
                </c:pt>
                <c:pt idx="4">
                  <c:v>9.8814229249011856</c:v>
                </c:pt>
                <c:pt idx="5">
                  <c:v>7.9051383399209474</c:v>
                </c:pt>
                <c:pt idx="6">
                  <c:v>6.5876152832674562</c:v>
                </c:pt>
                <c:pt idx="7">
                  <c:v>5.6465273856578202</c:v>
                </c:pt>
                <c:pt idx="8">
                  <c:v>4.9407114624505928</c:v>
                </c:pt>
                <c:pt idx="9">
                  <c:v>4.3917435221783041</c:v>
                </c:pt>
                <c:pt idx="10">
                  <c:v>3.9525691699604737</c:v>
                </c:pt>
                <c:pt idx="11">
                  <c:v>3.593244699964067</c:v>
                </c:pt>
                <c:pt idx="12">
                  <c:v>3.2938076416337281</c:v>
                </c:pt>
                <c:pt idx="13">
                  <c:v>5.0000000000000003E-10</c:v>
                </c:pt>
                <c:pt idx="14">
                  <c:v>5.0000000000000003E-10</c:v>
                </c:pt>
                <c:pt idx="15">
                  <c:v>5.0000000000000003E-10</c:v>
                </c:pt>
                <c:pt idx="16">
                  <c:v>5.0000000000000003E-10</c:v>
                </c:pt>
                <c:pt idx="17">
                  <c:v>0</c:v>
                </c:pt>
                <c:pt idx="18">
                  <c:v>0</c:v>
                </c:pt>
                <c:pt idx="19">
                  <c:v>0</c:v>
                </c:pt>
              </c:numCache>
            </c:numRef>
          </c:yVal>
          <c:smooth val="0"/>
        </c:ser>
        <c:dLbls>
          <c:showLegendKey val="0"/>
          <c:showVal val="0"/>
          <c:showCatName val="0"/>
          <c:showSerName val="0"/>
          <c:showPercent val="0"/>
          <c:showBubbleSize val="0"/>
        </c:dLbls>
        <c:axId val="169120128"/>
        <c:axId val="169122048"/>
      </c:scatterChart>
      <c:valAx>
        <c:axId val="169120128"/>
        <c:scaling>
          <c:logBase val="10"/>
          <c:orientation val="minMax"/>
          <c:max val="10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07"/>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69122048"/>
        <c:crossesAt val="0.1"/>
        <c:crossBetween val="midCat"/>
      </c:valAx>
      <c:valAx>
        <c:axId val="169122048"/>
        <c:scaling>
          <c:logBase val="10"/>
          <c:orientation val="minMax"/>
          <c:max val="100"/>
          <c:min val="0.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2E-2"/>
              <c:y val="0.2149786071261640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69120128"/>
        <c:crosses val="autoZero"/>
        <c:crossBetween val="midCat"/>
      </c:valAx>
      <c:spPr>
        <a:solidFill>
          <a:srgbClr val="FFFFFF"/>
        </a:solidFill>
        <a:ln w="12700">
          <a:solidFill>
            <a:srgbClr val="808080"/>
          </a:solidFill>
          <a:prstDash val="solid"/>
        </a:ln>
      </c:spPr>
    </c:plotArea>
    <c:legend>
      <c:legendPos val="r"/>
      <c:layout>
        <c:manualLayout>
          <c:xMode val="edge"/>
          <c:yMode val="edge"/>
          <c:x val="0.50994825783805042"/>
          <c:y val="2.4282023990083109E-2"/>
          <c:w val="0.47145813152771249"/>
          <c:h val="0.1879447513242687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Vout </a:t>
            </a:r>
            <a:r>
              <a:rPr lang="en-US" sz="1600" b="1" i="0" baseline="0">
                <a:effectLst/>
              </a:rPr>
              <a:t>(V</a:t>
            </a:r>
            <a:r>
              <a:rPr lang="en-US" sz="1600" b="1" i="0" baseline="-25000">
                <a:effectLst/>
              </a:rPr>
              <a:t>IN</a:t>
            </a:r>
            <a:r>
              <a:rPr lang="en-US" sz="1600" b="1" i="0" baseline="0">
                <a:effectLst/>
              </a:rPr>
              <a:t> = V</a:t>
            </a:r>
            <a:r>
              <a:rPr lang="en-US" sz="1600" b="1" i="0" baseline="-25000">
                <a:effectLst/>
              </a:rPr>
              <a:t>INMAX</a:t>
            </a:r>
            <a:r>
              <a:rPr lang="en-US" sz="1600" b="1" i="0" baseline="0">
                <a:effectLst/>
              </a:rPr>
              <a:t>)</a:t>
            </a:r>
            <a:r>
              <a:rPr lang="en-US" sz="1600" baseline="0"/>
              <a:t>                                               </a:t>
            </a:r>
            <a:endParaRPr lang="en-US" sz="1600" baseline="-25000"/>
          </a:p>
        </c:rich>
      </c:tx>
      <c:layout>
        <c:manualLayout>
          <c:xMode val="edge"/>
          <c:yMode val="edge"/>
          <c:x val="0.16494063286351637"/>
          <c:y val="3.0591748387251084E-2"/>
        </c:manualLayout>
      </c:layout>
      <c:overlay val="1"/>
      <c:spPr>
        <a:solidFill>
          <a:schemeClr val="bg1"/>
        </a:solidFill>
      </c:spPr>
    </c:title>
    <c:autoTitleDeleted val="0"/>
    <c:plotArea>
      <c:layout>
        <c:manualLayout>
          <c:layoutTarget val="inner"/>
          <c:xMode val="edge"/>
          <c:yMode val="edge"/>
          <c:x val="0.15203109554174482"/>
          <c:y val="0.13835811263066838"/>
          <c:w val="0.76865751103613689"/>
          <c:h val="0.70165890209112658"/>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0.31730769230769235</c:v>
                </c:pt>
                <c:pt idx="2">
                  <c:v>0.63461538461538469</c:v>
                </c:pt>
                <c:pt idx="3">
                  <c:v>0.95192307692307698</c:v>
                </c:pt>
                <c:pt idx="4">
                  <c:v>1.2692307692307694</c:v>
                </c:pt>
                <c:pt idx="5">
                  <c:v>1.5865384615384617</c:v>
                </c:pt>
                <c:pt idx="6">
                  <c:v>1.903846153846154</c:v>
                </c:pt>
                <c:pt idx="7">
                  <c:v>2.2211538461538463</c:v>
                </c:pt>
                <c:pt idx="8">
                  <c:v>2.5384615384615388</c:v>
                </c:pt>
                <c:pt idx="9">
                  <c:v>2.8557692307692308</c:v>
                </c:pt>
                <c:pt idx="10">
                  <c:v>3.1730769230769234</c:v>
                </c:pt>
                <c:pt idx="11">
                  <c:v>3.4903846153846154</c:v>
                </c:pt>
                <c:pt idx="12">
                  <c:v>3.8076923076923079</c:v>
                </c:pt>
                <c:pt idx="13">
                  <c:v>4.125</c:v>
                </c:pt>
                <c:pt idx="14">
                  <c:v>4.4423076923076925</c:v>
                </c:pt>
                <c:pt idx="15">
                  <c:v>4.7596153846153841</c:v>
                </c:pt>
                <c:pt idx="16">
                  <c:v>5.0769230769230775</c:v>
                </c:pt>
                <c:pt idx="17">
                  <c:v>5.3942307692307692</c:v>
                </c:pt>
                <c:pt idx="18">
                  <c:v>5.7115384615384617</c:v>
                </c:pt>
                <c:pt idx="19">
                  <c:v>6.0288461538461533</c:v>
                </c:pt>
                <c:pt idx="20">
                  <c:v>6.3461538461538467</c:v>
                </c:pt>
                <c:pt idx="21">
                  <c:v>6.6634615384615383</c:v>
                </c:pt>
                <c:pt idx="22">
                  <c:v>6.9807692307692308</c:v>
                </c:pt>
                <c:pt idx="23">
                  <c:v>7.2980769230769225</c:v>
                </c:pt>
                <c:pt idx="24">
                  <c:v>7.6153846153846159</c:v>
                </c:pt>
                <c:pt idx="25">
                  <c:v>7.9326923076923075</c:v>
                </c:pt>
                <c:pt idx="26">
                  <c:v>8.25</c:v>
                </c:pt>
                <c:pt idx="27">
                  <c:v>8.5673076923076934</c:v>
                </c:pt>
                <c:pt idx="28">
                  <c:v>8.884615384615385</c:v>
                </c:pt>
                <c:pt idx="29">
                  <c:v>9.2019230769230766</c:v>
                </c:pt>
                <c:pt idx="30">
                  <c:v>9.5192307692307683</c:v>
                </c:pt>
                <c:pt idx="31">
                  <c:v>9.8365384615384617</c:v>
                </c:pt>
                <c:pt idx="32">
                  <c:v>10.153846153846155</c:v>
                </c:pt>
                <c:pt idx="33">
                  <c:v>10.471153846153845</c:v>
                </c:pt>
                <c:pt idx="34">
                  <c:v>10.788461538461538</c:v>
                </c:pt>
                <c:pt idx="35">
                  <c:v>11.105769230769232</c:v>
                </c:pt>
                <c:pt idx="36">
                  <c:v>11.423076923076923</c:v>
                </c:pt>
                <c:pt idx="37">
                  <c:v>11.740384615384615</c:v>
                </c:pt>
                <c:pt idx="38">
                  <c:v>12.057692307692307</c:v>
                </c:pt>
                <c:pt idx="39">
                  <c:v>12.375</c:v>
                </c:pt>
                <c:pt idx="40">
                  <c:v>12.692307692307693</c:v>
                </c:pt>
                <c:pt idx="41">
                  <c:v>13.009615384615385</c:v>
                </c:pt>
                <c:pt idx="42">
                  <c:v>13.326923076923077</c:v>
                </c:pt>
                <c:pt idx="43">
                  <c:v>13.644230769230768</c:v>
                </c:pt>
                <c:pt idx="44">
                  <c:v>13.961538461538462</c:v>
                </c:pt>
                <c:pt idx="45">
                  <c:v>14.278846153846155</c:v>
                </c:pt>
                <c:pt idx="46">
                  <c:v>14.596153846153845</c:v>
                </c:pt>
                <c:pt idx="47">
                  <c:v>14.913461538461538</c:v>
                </c:pt>
                <c:pt idx="48">
                  <c:v>15.230769230769232</c:v>
                </c:pt>
                <c:pt idx="49">
                  <c:v>15.548076923076923</c:v>
                </c:pt>
                <c:pt idx="50">
                  <c:v>15.865384615384615</c:v>
                </c:pt>
                <c:pt idx="51">
                  <c:v>16.182692307692307</c:v>
                </c:pt>
                <c:pt idx="52">
                  <c:v>16.5</c:v>
                </c:pt>
                <c:pt idx="53">
                  <c:v>16.81730769230769</c:v>
                </c:pt>
                <c:pt idx="54">
                  <c:v>17.134615384615387</c:v>
                </c:pt>
                <c:pt idx="55">
                  <c:v>17.451923076923077</c:v>
                </c:pt>
                <c:pt idx="56">
                  <c:v>17.76923076923077</c:v>
                </c:pt>
                <c:pt idx="57">
                  <c:v>18.086538461538463</c:v>
                </c:pt>
                <c:pt idx="58">
                  <c:v>18.403846153846153</c:v>
                </c:pt>
                <c:pt idx="59">
                  <c:v>18.721153846153847</c:v>
                </c:pt>
                <c:pt idx="60">
                  <c:v>19.038461538461537</c:v>
                </c:pt>
                <c:pt idx="61">
                  <c:v>19.35576923076923</c:v>
                </c:pt>
                <c:pt idx="62">
                  <c:v>19.673076923076923</c:v>
                </c:pt>
                <c:pt idx="63">
                  <c:v>19.990384615384613</c:v>
                </c:pt>
                <c:pt idx="64">
                  <c:v>20.30769230769231</c:v>
                </c:pt>
                <c:pt idx="65">
                  <c:v>20.625</c:v>
                </c:pt>
                <c:pt idx="66">
                  <c:v>20.94230769230769</c:v>
                </c:pt>
                <c:pt idx="67">
                  <c:v>21.259615384615387</c:v>
                </c:pt>
                <c:pt idx="68">
                  <c:v>21.576923076923077</c:v>
                </c:pt>
                <c:pt idx="69">
                  <c:v>21.89423076923077</c:v>
                </c:pt>
                <c:pt idx="70">
                  <c:v>22.211538461538463</c:v>
                </c:pt>
                <c:pt idx="71">
                  <c:v>22.528846153846153</c:v>
                </c:pt>
                <c:pt idx="72">
                  <c:v>22.846153846153847</c:v>
                </c:pt>
                <c:pt idx="73">
                  <c:v>23.163461538461537</c:v>
                </c:pt>
                <c:pt idx="74">
                  <c:v>23.48076923076923</c:v>
                </c:pt>
                <c:pt idx="75">
                  <c:v>23.798076923076923</c:v>
                </c:pt>
                <c:pt idx="76">
                  <c:v>24.115384615384613</c:v>
                </c:pt>
                <c:pt idx="77">
                  <c:v>24.43269230769231</c:v>
                </c:pt>
                <c:pt idx="78">
                  <c:v>24.75</c:v>
                </c:pt>
                <c:pt idx="79">
                  <c:v>25.06730769230769</c:v>
                </c:pt>
                <c:pt idx="80">
                  <c:v>25.384615384615387</c:v>
                </c:pt>
                <c:pt idx="81">
                  <c:v>25.701923076923077</c:v>
                </c:pt>
                <c:pt idx="82">
                  <c:v>26.01923076923077</c:v>
                </c:pt>
                <c:pt idx="83">
                  <c:v>26.336538461538463</c:v>
                </c:pt>
                <c:pt idx="84">
                  <c:v>26.653846153846153</c:v>
                </c:pt>
                <c:pt idx="85">
                  <c:v>26.971153846153847</c:v>
                </c:pt>
                <c:pt idx="86">
                  <c:v>27.288461538461537</c:v>
                </c:pt>
                <c:pt idx="87">
                  <c:v>27.60576923076923</c:v>
                </c:pt>
                <c:pt idx="88">
                  <c:v>27.923076923076923</c:v>
                </c:pt>
                <c:pt idx="89">
                  <c:v>28.240384615384613</c:v>
                </c:pt>
                <c:pt idx="90">
                  <c:v>28.55769230769231</c:v>
                </c:pt>
                <c:pt idx="91">
                  <c:v>28.875</c:v>
                </c:pt>
                <c:pt idx="92">
                  <c:v>29.19230769230769</c:v>
                </c:pt>
                <c:pt idx="93">
                  <c:v>29.509615384615387</c:v>
                </c:pt>
                <c:pt idx="94">
                  <c:v>29.826923076923077</c:v>
                </c:pt>
                <c:pt idx="95">
                  <c:v>30.14423076923077</c:v>
                </c:pt>
                <c:pt idx="96">
                  <c:v>30.461538461538463</c:v>
                </c:pt>
                <c:pt idx="97">
                  <c:v>30.778846153846153</c:v>
                </c:pt>
                <c:pt idx="98">
                  <c:v>31.096153846153847</c:v>
                </c:pt>
                <c:pt idx="99">
                  <c:v>31.413461538461537</c:v>
                </c:pt>
                <c:pt idx="100">
                  <c:v>31.73076923076923</c:v>
                </c:pt>
                <c:pt idx="101">
                  <c:v>32.04807692307692</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ser>
        <c:ser>
          <c:idx val="1"/>
          <c:order val="1"/>
          <c:tx>
            <c:strRef>
              <c:f>Start_up!$G$7</c:f>
              <c:strCache>
                <c:ptCount val="1"/>
                <c:pt idx="0">
                  <c:v>IFET</c:v>
                </c:pt>
              </c:strCache>
            </c:strRef>
          </c:tx>
          <c:marker>
            <c:symbol val="none"/>
          </c:marker>
          <c:xVal>
            <c:numRef>
              <c:f>Start_up!$B$10:$B$111</c:f>
              <c:numCache>
                <c:formatCode>0.00</c:formatCode>
                <c:ptCount val="102"/>
                <c:pt idx="0">
                  <c:v>0</c:v>
                </c:pt>
                <c:pt idx="1">
                  <c:v>0.31730769230769235</c:v>
                </c:pt>
                <c:pt idx="2">
                  <c:v>0.63461538461538469</c:v>
                </c:pt>
                <c:pt idx="3">
                  <c:v>0.95192307692307698</c:v>
                </c:pt>
                <c:pt idx="4">
                  <c:v>1.2692307692307694</c:v>
                </c:pt>
                <c:pt idx="5">
                  <c:v>1.5865384615384617</c:v>
                </c:pt>
                <c:pt idx="6">
                  <c:v>1.903846153846154</c:v>
                </c:pt>
                <c:pt idx="7">
                  <c:v>2.2211538461538463</c:v>
                </c:pt>
                <c:pt idx="8">
                  <c:v>2.5384615384615388</c:v>
                </c:pt>
                <c:pt idx="9">
                  <c:v>2.8557692307692308</c:v>
                </c:pt>
                <c:pt idx="10">
                  <c:v>3.1730769230769234</c:v>
                </c:pt>
                <c:pt idx="11">
                  <c:v>3.4903846153846154</c:v>
                </c:pt>
                <c:pt idx="12">
                  <c:v>3.8076923076923079</c:v>
                </c:pt>
                <c:pt idx="13">
                  <c:v>4.125</c:v>
                </c:pt>
                <c:pt idx="14">
                  <c:v>4.4423076923076925</c:v>
                </c:pt>
                <c:pt idx="15">
                  <c:v>4.7596153846153841</c:v>
                </c:pt>
                <c:pt idx="16">
                  <c:v>5.0769230769230775</c:v>
                </c:pt>
                <c:pt idx="17">
                  <c:v>5.3942307692307692</c:v>
                </c:pt>
                <c:pt idx="18">
                  <c:v>5.7115384615384617</c:v>
                </c:pt>
                <c:pt idx="19">
                  <c:v>6.0288461538461533</c:v>
                </c:pt>
                <c:pt idx="20">
                  <c:v>6.3461538461538467</c:v>
                </c:pt>
                <c:pt idx="21">
                  <c:v>6.6634615384615383</c:v>
                </c:pt>
                <c:pt idx="22">
                  <c:v>6.9807692307692308</c:v>
                </c:pt>
                <c:pt idx="23">
                  <c:v>7.2980769230769225</c:v>
                </c:pt>
                <c:pt idx="24">
                  <c:v>7.6153846153846159</c:v>
                </c:pt>
                <c:pt idx="25">
                  <c:v>7.9326923076923075</c:v>
                </c:pt>
                <c:pt idx="26">
                  <c:v>8.25</c:v>
                </c:pt>
                <c:pt idx="27">
                  <c:v>8.5673076923076934</c:v>
                </c:pt>
                <c:pt idx="28">
                  <c:v>8.884615384615385</c:v>
                </c:pt>
                <c:pt idx="29">
                  <c:v>9.2019230769230766</c:v>
                </c:pt>
                <c:pt idx="30">
                  <c:v>9.5192307692307683</c:v>
                </c:pt>
                <c:pt idx="31">
                  <c:v>9.8365384615384617</c:v>
                </c:pt>
                <c:pt idx="32">
                  <c:v>10.153846153846155</c:v>
                </c:pt>
                <c:pt idx="33">
                  <c:v>10.471153846153845</c:v>
                </c:pt>
                <c:pt idx="34">
                  <c:v>10.788461538461538</c:v>
                </c:pt>
                <c:pt idx="35">
                  <c:v>11.105769230769232</c:v>
                </c:pt>
                <c:pt idx="36">
                  <c:v>11.423076923076923</c:v>
                </c:pt>
                <c:pt idx="37">
                  <c:v>11.740384615384615</c:v>
                </c:pt>
                <c:pt idx="38">
                  <c:v>12.057692307692307</c:v>
                </c:pt>
                <c:pt idx="39">
                  <c:v>12.375</c:v>
                </c:pt>
                <c:pt idx="40">
                  <c:v>12.692307692307693</c:v>
                </c:pt>
                <c:pt idx="41">
                  <c:v>13.009615384615385</c:v>
                </c:pt>
                <c:pt idx="42">
                  <c:v>13.326923076923077</c:v>
                </c:pt>
                <c:pt idx="43">
                  <c:v>13.644230769230768</c:v>
                </c:pt>
                <c:pt idx="44">
                  <c:v>13.961538461538462</c:v>
                </c:pt>
                <c:pt idx="45">
                  <c:v>14.278846153846155</c:v>
                </c:pt>
                <c:pt idx="46">
                  <c:v>14.596153846153845</c:v>
                </c:pt>
                <c:pt idx="47">
                  <c:v>14.913461538461538</c:v>
                </c:pt>
                <c:pt idx="48">
                  <c:v>15.230769230769232</c:v>
                </c:pt>
                <c:pt idx="49">
                  <c:v>15.548076923076923</c:v>
                </c:pt>
                <c:pt idx="50">
                  <c:v>15.865384615384615</c:v>
                </c:pt>
                <c:pt idx="51">
                  <c:v>16.182692307692307</c:v>
                </c:pt>
                <c:pt idx="52">
                  <c:v>16.5</c:v>
                </c:pt>
                <c:pt idx="53">
                  <c:v>16.81730769230769</c:v>
                </c:pt>
                <c:pt idx="54">
                  <c:v>17.134615384615387</c:v>
                </c:pt>
                <c:pt idx="55">
                  <c:v>17.451923076923077</c:v>
                </c:pt>
                <c:pt idx="56">
                  <c:v>17.76923076923077</c:v>
                </c:pt>
                <c:pt idx="57">
                  <c:v>18.086538461538463</c:v>
                </c:pt>
                <c:pt idx="58">
                  <c:v>18.403846153846153</c:v>
                </c:pt>
                <c:pt idx="59">
                  <c:v>18.721153846153847</c:v>
                </c:pt>
                <c:pt idx="60">
                  <c:v>19.038461538461537</c:v>
                </c:pt>
                <c:pt idx="61">
                  <c:v>19.35576923076923</c:v>
                </c:pt>
                <c:pt idx="62">
                  <c:v>19.673076923076923</c:v>
                </c:pt>
                <c:pt idx="63">
                  <c:v>19.990384615384613</c:v>
                </c:pt>
                <c:pt idx="64">
                  <c:v>20.30769230769231</c:v>
                </c:pt>
                <c:pt idx="65">
                  <c:v>20.625</c:v>
                </c:pt>
                <c:pt idx="66">
                  <c:v>20.94230769230769</c:v>
                </c:pt>
                <c:pt idx="67">
                  <c:v>21.259615384615387</c:v>
                </c:pt>
                <c:pt idx="68">
                  <c:v>21.576923076923077</c:v>
                </c:pt>
                <c:pt idx="69">
                  <c:v>21.89423076923077</c:v>
                </c:pt>
                <c:pt idx="70">
                  <c:v>22.211538461538463</c:v>
                </c:pt>
                <c:pt idx="71">
                  <c:v>22.528846153846153</c:v>
                </c:pt>
                <c:pt idx="72">
                  <c:v>22.846153846153847</c:v>
                </c:pt>
                <c:pt idx="73">
                  <c:v>23.163461538461537</c:v>
                </c:pt>
                <c:pt idx="74">
                  <c:v>23.48076923076923</c:v>
                </c:pt>
                <c:pt idx="75">
                  <c:v>23.798076923076923</c:v>
                </c:pt>
                <c:pt idx="76">
                  <c:v>24.115384615384613</c:v>
                </c:pt>
                <c:pt idx="77">
                  <c:v>24.43269230769231</c:v>
                </c:pt>
                <c:pt idx="78">
                  <c:v>24.75</c:v>
                </c:pt>
                <c:pt idx="79">
                  <c:v>25.06730769230769</c:v>
                </c:pt>
                <c:pt idx="80">
                  <c:v>25.384615384615387</c:v>
                </c:pt>
                <c:pt idx="81">
                  <c:v>25.701923076923077</c:v>
                </c:pt>
                <c:pt idx="82">
                  <c:v>26.01923076923077</c:v>
                </c:pt>
                <c:pt idx="83">
                  <c:v>26.336538461538463</c:v>
                </c:pt>
                <c:pt idx="84">
                  <c:v>26.653846153846153</c:v>
                </c:pt>
                <c:pt idx="85">
                  <c:v>26.971153846153847</c:v>
                </c:pt>
                <c:pt idx="86">
                  <c:v>27.288461538461537</c:v>
                </c:pt>
                <c:pt idx="87">
                  <c:v>27.60576923076923</c:v>
                </c:pt>
                <c:pt idx="88">
                  <c:v>27.923076923076923</c:v>
                </c:pt>
                <c:pt idx="89">
                  <c:v>28.240384615384613</c:v>
                </c:pt>
                <c:pt idx="90">
                  <c:v>28.55769230769231</c:v>
                </c:pt>
                <c:pt idx="91">
                  <c:v>28.875</c:v>
                </c:pt>
                <c:pt idx="92">
                  <c:v>29.19230769230769</c:v>
                </c:pt>
                <c:pt idx="93">
                  <c:v>29.509615384615387</c:v>
                </c:pt>
                <c:pt idx="94">
                  <c:v>29.826923076923077</c:v>
                </c:pt>
                <c:pt idx="95">
                  <c:v>30.14423076923077</c:v>
                </c:pt>
                <c:pt idx="96">
                  <c:v>30.461538461538463</c:v>
                </c:pt>
                <c:pt idx="97">
                  <c:v>30.778846153846153</c:v>
                </c:pt>
                <c:pt idx="98">
                  <c:v>31.096153846153847</c:v>
                </c:pt>
                <c:pt idx="99">
                  <c:v>31.413461538461537</c:v>
                </c:pt>
                <c:pt idx="100">
                  <c:v>31.73076923076923</c:v>
                </c:pt>
                <c:pt idx="101">
                  <c:v>32.04807692307692</c:v>
                </c:pt>
              </c:numCache>
            </c:numRef>
          </c:xVal>
          <c:yVal>
            <c:numRef>
              <c:f>Start_up!$G$10:$G$112</c:f>
              <c:numCache>
                <c:formatCode>General</c:formatCode>
                <c:ptCount val="103"/>
                <c:pt idx="0">
                  <c:v>0.25</c:v>
                </c:pt>
                <c:pt idx="1">
                  <c:v>0.25</c:v>
                </c:pt>
                <c:pt idx="2">
                  <c:v>0.25</c:v>
                </c:pt>
                <c:pt idx="3">
                  <c:v>0.25</c:v>
                </c:pt>
                <c:pt idx="4">
                  <c:v>0.25</c:v>
                </c:pt>
                <c:pt idx="5">
                  <c:v>0.25</c:v>
                </c:pt>
                <c:pt idx="6">
                  <c:v>0.25</c:v>
                </c:pt>
                <c:pt idx="7">
                  <c:v>0.25</c:v>
                </c:pt>
                <c:pt idx="8">
                  <c:v>0.25</c:v>
                </c:pt>
                <c:pt idx="9">
                  <c:v>0.25</c:v>
                </c:pt>
                <c:pt idx="10">
                  <c:v>0.25</c:v>
                </c:pt>
                <c:pt idx="11">
                  <c:v>0.25</c:v>
                </c:pt>
                <c:pt idx="12">
                  <c:v>0.25</c:v>
                </c:pt>
                <c:pt idx="13">
                  <c:v>0.25</c:v>
                </c:pt>
                <c:pt idx="14">
                  <c:v>0.25</c:v>
                </c:pt>
                <c:pt idx="15">
                  <c:v>0.25</c:v>
                </c:pt>
                <c:pt idx="16">
                  <c:v>0.25</c:v>
                </c:pt>
                <c:pt idx="17">
                  <c:v>0.25</c:v>
                </c:pt>
                <c:pt idx="18">
                  <c:v>0.25</c:v>
                </c:pt>
                <c:pt idx="19">
                  <c:v>0.25</c:v>
                </c:pt>
                <c:pt idx="20">
                  <c:v>0.25</c:v>
                </c:pt>
                <c:pt idx="21">
                  <c:v>0.25</c:v>
                </c:pt>
                <c:pt idx="22">
                  <c:v>0.25</c:v>
                </c:pt>
                <c:pt idx="23">
                  <c:v>0.25</c:v>
                </c:pt>
                <c:pt idx="24">
                  <c:v>0.25</c:v>
                </c:pt>
                <c:pt idx="25">
                  <c:v>0.25</c:v>
                </c:pt>
                <c:pt idx="26">
                  <c:v>0.25</c:v>
                </c:pt>
                <c:pt idx="27">
                  <c:v>0.25</c:v>
                </c:pt>
                <c:pt idx="28">
                  <c:v>0.25</c:v>
                </c:pt>
                <c:pt idx="29">
                  <c:v>0.25</c:v>
                </c:pt>
                <c:pt idx="30">
                  <c:v>0.25</c:v>
                </c:pt>
                <c:pt idx="31">
                  <c:v>0.25</c:v>
                </c:pt>
                <c:pt idx="32">
                  <c:v>0.25</c:v>
                </c:pt>
                <c:pt idx="33">
                  <c:v>0.25</c:v>
                </c:pt>
                <c:pt idx="34">
                  <c:v>0.25</c:v>
                </c:pt>
                <c:pt idx="35">
                  <c:v>0.25</c:v>
                </c:pt>
                <c:pt idx="36">
                  <c:v>0.25</c:v>
                </c:pt>
                <c:pt idx="37">
                  <c:v>0.25</c:v>
                </c:pt>
                <c:pt idx="38">
                  <c:v>0.25</c:v>
                </c:pt>
                <c:pt idx="39">
                  <c:v>0.25</c:v>
                </c:pt>
                <c:pt idx="40">
                  <c:v>0.25</c:v>
                </c:pt>
                <c:pt idx="41">
                  <c:v>0.25</c:v>
                </c:pt>
                <c:pt idx="42">
                  <c:v>0.25</c:v>
                </c:pt>
                <c:pt idx="43">
                  <c:v>0.25</c:v>
                </c:pt>
                <c:pt idx="44">
                  <c:v>0.25</c:v>
                </c:pt>
                <c:pt idx="45">
                  <c:v>0.25</c:v>
                </c:pt>
                <c:pt idx="46">
                  <c:v>0.25</c:v>
                </c:pt>
                <c:pt idx="47">
                  <c:v>0.25</c:v>
                </c:pt>
                <c:pt idx="48">
                  <c:v>0.25</c:v>
                </c:pt>
                <c:pt idx="49">
                  <c:v>0.25</c:v>
                </c:pt>
                <c:pt idx="50">
                  <c:v>0.25</c:v>
                </c:pt>
                <c:pt idx="51">
                  <c:v>0.25</c:v>
                </c:pt>
                <c:pt idx="52">
                  <c:v>0.25</c:v>
                </c:pt>
                <c:pt idx="53">
                  <c:v>0.25</c:v>
                </c:pt>
                <c:pt idx="54">
                  <c:v>0.25</c:v>
                </c:pt>
                <c:pt idx="55">
                  <c:v>0.25</c:v>
                </c:pt>
                <c:pt idx="56">
                  <c:v>0.25</c:v>
                </c:pt>
                <c:pt idx="57">
                  <c:v>0.25</c:v>
                </c:pt>
                <c:pt idx="58">
                  <c:v>0.25</c:v>
                </c:pt>
                <c:pt idx="59">
                  <c:v>0.25</c:v>
                </c:pt>
                <c:pt idx="60">
                  <c:v>0.25</c:v>
                </c:pt>
                <c:pt idx="61">
                  <c:v>0.25</c:v>
                </c:pt>
                <c:pt idx="62">
                  <c:v>0.25</c:v>
                </c:pt>
                <c:pt idx="63">
                  <c:v>0.25</c:v>
                </c:pt>
                <c:pt idx="64">
                  <c:v>0.25</c:v>
                </c:pt>
                <c:pt idx="65">
                  <c:v>0.25</c:v>
                </c:pt>
                <c:pt idx="66">
                  <c:v>0.25</c:v>
                </c:pt>
                <c:pt idx="67">
                  <c:v>0.25</c:v>
                </c:pt>
                <c:pt idx="68">
                  <c:v>0.25</c:v>
                </c:pt>
                <c:pt idx="69">
                  <c:v>0.25</c:v>
                </c:pt>
                <c:pt idx="70">
                  <c:v>0.25</c:v>
                </c:pt>
                <c:pt idx="71">
                  <c:v>0.25</c:v>
                </c:pt>
                <c:pt idx="72">
                  <c:v>0.25</c:v>
                </c:pt>
                <c:pt idx="73">
                  <c:v>0.25</c:v>
                </c:pt>
                <c:pt idx="74">
                  <c:v>0.25</c:v>
                </c:pt>
                <c:pt idx="75">
                  <c:v>0.25</c:v>
                </c:pt>
                <c:pt idx="76">
                  <c:v>0.25</c:v>
                </c:pt>
                <c:pt idx="77">
                  <c:v>0.25</c:v>
                </c:pt>
                <c:pt idx="78">
                  <c:v>0.25</c:v>
                </c:pt>
                <c:pt idx="79">
                  <c:v>0.25</c:v>
                </c:pt>
                <c:pt idx="80">
                  <c:v>0.25</c:v>
                </c:pt>
                <c:pt idx="81">
                  <c:v>0.25</c:v>
                </c:pt>
                <c:pt idx="82">
                  <c:v>0.25</c:v>
                </c:pt>
                <c:pt idx="83">
                  <c:v>0.25</c:v>
                </c:pt>
                <c:pt idx="84">
                  <c:v>0.25</c:v>
                </c:pt>
                <c:pt idx="85">
                  <c:v>0.25</c:v>
                </c:pt>
                <c:pt idx="86">
                  <c:v>0.25</c:v>
                </c:pt>
                <c:pt idx="87">
                  <c:v>0.25</c:v>
                </c:pt>
                <c:pt idx="88">
                  <c:v>0.25</c:v>
                </c:pt>
                <c:pt idx="89">
                  <c:v>0.25</c:v>
                </c:pt>
                <c:pt idx="90">
                  <c:v>0.25</c:v>
                </c:pt>
                <c:pt idx="91">
                  <c:v>0.25</c:v>
                </c:pt>
                <c:pt idx="92">
                  <c:v>0.25</c:v>
                </c:pt>
                <c:pt idx="93">
                  <c:v>0.25</c:v>
                </c:pt>
                <c:pt idx="94">
                  <c:v>0.25</c:v>
                </c:pt>
                <c:pt idx="95">
                  <c:v>0.25</c:v>
                </c:pt>
                <c:pt idx="96">
                  <c:v>0.25</c:v>
                </c:pt>
                <c:pt idx="97">
                  <c:v>0.25</c:v>
                </c:pt>
                <c:pt idx="98">
                  <c:v>0.25</c:v>
                </c:pt>
                <c:pt idx="99">
                  <c:v>0.25</c:v>
                </c:pt>
                <c:pt idx="100">
                  <c:v>0.25</c:v>
                </c:pt>
                <c:pt idx="101">
                  <c:v>0.25</c:v>
                </c:pt>
                <c:pt idx="102">
                  <c:v>0.25</c:v>
                </c:pt>
              </c:numCache>
            </c:numRef>
          </c:yVal>
          <c:smooth val="1"/>
        </c:ser>
        <c:dLbls>
          <c:showLegendKey val="0"/>
          <c:showVal val="0"/>
          <c:showCatName val="0"/>
          <c:showSerName val="0"/>
          <c:showPercent val="0"/>
          <c:showBubbleSize val="0"/>
        </c:dLbls>
        <c:axId val="187255808"/>
        <c:axId val="187262080"/>
      </c:scatterChart>
      <c:valAx>
        <c:axId val="187255808"/>
        <c:scaling>
          <c:orientation val="minMax"/>
        </c:scaling>
        <c:delete val="0"/>
        <c:axPos val="b"/>
        <c:majorGridlines/>
        <c:minorGridlines/>
        <c:title>
          <c:tx>
            <c:rich>
              <a:bodyPr/>
              <a:lstStyle/>
              <a:p>
                <a:pPr>
                  <a:defRPr/>
                </a:pPr>
                <a:r>
                  <a:rPr lang="en-US"/>
                  <a:t>Output</a:t>
                </a:r>
                <a:r>
                  <a:rPr lang="en-US" baseline="0"/>
                  <a:t> Voltage (V)</a:t>
                </a:r>
                <a:endParaRPr lang="en-US"/>
              </a:p>
            </c:rich>
          </c:tx>
          <c:layout>
            <c:manualLayout>
              <c:xMode val="edge"/>
              <c:yMode val="edge"/>
              <c:x val="0.40914479681091759"/>
              <c:y val="0.92545001031614371"/>
            </c:manualLayout>
          </c:layout>
          <c:overlay val="0"/>
        </c:title>
        <c:numFmt formatCode="0.0" sourceLinked="0"/>
        <c:majorTickMark val="out"/>
        <c:minorTickMark val="none"/>
        <c:tickLblPos val="nextTo"/>
        <c:txPr>
          <a:bodyPr/>
          <a:lstStyle/>
          <a:p>
            <a:pPr>
              <a:defRPr b="1"/>
            </a:pPr>
            <a:endParaRPr lang="en-US"/>
          </a:p>
        </c:txPr>
        <c:crossAx val="187262080"/>
        <c:crosses val="autoZero"/>
        <c:crossBetween val="midCat"/>
      </c:valAx>
      <c:valAx>
        <c:axId val="187262080"/>
        <c:scaling>
          <c:orientation val="minMax"/>
        </c:scaling>
        <c:delete val="0"/>
        <c:axPos val="l"/>
        <c:majorGridlines/>
        <c:minorGridlines/>
        <c:title>
          <c:tx>
            <c:rich>
              <a:bodyPr rot="-5400000" vert="horz"/>
              <a:lstStyle/>
              <a:p>
                <a:pPr>
                  <a:defRPr/>
                </a:pPr>
                <a:r>
                  <a:rPr lang="en-US"/>
                  <a:t>Current (A)</a:t>
                </a:r>
              </a:p>
            </c:rich>
          </c:tx>
          <c:layout>
            <c:manualLayout>
              <c:xMode val="edge"/>
              <c:yMode val="edge"/>
              <c:x val="2.2822940901788977E-2"/>
              <c:y val="0.40230001943237698"/>
            </c:manualLayout>
          </c:layout>
          <c:overlay val="0"/>
        </c:title>
        <c:numFmt formatCode="0.00" sourceLinked="0"/>
        <c:majorTickMark val="out"/>
        <c:minorTickMark val="none"/>
        <c:tickLblPos val="nextTo"/>
        <c:txPr>
          <a:bodyPr/>
          <a:lstStyle/>
          <a:p>
            <a:pPr>
              <a:defRPr b="1"/>
            </a:pPr>
            <a:endParaRPr lang="en-US"/>
          </a:p>
        </c:txPr>
        <c:crossAx val="187255808"/>
        <c:crosses val="autoZero"/>
        <c:crossBetween val="midCat"/>
      </c:valAx>
    </c:plotArea>
    <c:legend>
      <c:legendPos val="r"/>
      <c:layout>
        <c:manualLayout>
          <c:xMode val="edge"/>
          <c:yMode val="edge"/>
          <c:x val="0.20097942842412428"/>
          <c:y val="0.16726500821758991"/>
          <c:w val="0.21462230092985587"/>
          <c:h val="0.18516649249275954"/>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19627129299304633"/>
          <c:y val="4.7011518577863782E-3"/>
        </c:manualLayout>
      </c:layout>
      <c:overlay val="0"/>
      <c:spPr>
        <a:solidFill>
          <a:schemeClr val="bg1"/>
        </a:solidFill>
      </c:spPr>
    </c:title>
    <c:autoTitleDeleted val="0"/>
    <c:plotArea>
      <c:layout>
        <c:manualLayout>
          <c:layoutTarget val="inner"/>
          <c:xMode val="edge"/>
          <c:yMode val="edge"/>
          <c:x val="0.13897705213713227"/>
          <c:y val="8.0967958803185414E-2"/>
          <c:w val="0.7676811886700865"/>
          <c:h val="0.71875545525738083"/>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-10</c:v>
                </c:pt>
                <c:pt idx="1">
                  <c:v>-0.01</c:v>
                </c:pt>
                <c:pt idx="2" formatCode="0.0">
                  <c:v>0</c:v>
                </c:pt>
                <c:pt idx="3" formatCode="0.0">
                  <c:v>0.63461538461538469</c:v>
                </c:pt>
                <c:pt idx="4" formatCode="0.0">
                  <c:v>1.2692307692307694</c:v>
                </c:pt>
                <c:pt idx="5" formatCode="0.0">
                  <c:v>1.903846153846154</c:v>
                </c:pt>
                <c:pt idx="6" formatCode="0.0">
                  <c:v>2.5384615384615388</c:v>
                </c:pt>
                <c:pt idx="7" formatCode="0.0">
                  <c:v>3.1730769230769234</c:v>
                </c:pt>
                <c:pt idx="8" formatCode="0.0">
                  <c:v>3.8076923076923079</c:v>
                </c:pt>
                <c:pt idx="9" formatCode="0.0">
                  <c:v>4.4423076923076925</c:v>
                </c:pt>
                <c:pt idx="10" formatCode="0.0">
                  <c:v>5.0769230769230775</c:v>
                </c:pt>
                <c:pt idx="11" formatCode="0.0">
                  <c:v>5.7115384615384626</c:v>
                </c:pt>
                <c:pt idx="12" formatCode="0.0">
                  <c:v>6.3461538461538476</c:v>
                </c:pt>
                <c:pt idx="13" formatCode="0.0">
                  <c:v>6.9807692307692326</c:v>
                </c:pt>
                <c:pt idx="14" formatCode="0.0">
                  <c:v>7.6153846153846176</c:v>
                </c:pt>
                <c:pt idx="15" formatCode="0.0">
                  <c:v>8.2500000000000018</c:v>
                </c:pt>
                <c:pt idx="16" formatCode="0.0">
                  <c:v>8.8846153846153868</c:v>
                </c:pt>
                <c:pt idx="17" formatCode="0.0">
                  <c:v>9.5192307692307701</c:v>
                </c:pt>
                <c:pt idx="18" formatCode="0.0">
                  <c:v>10.153846153846155</c:v>
                </c:pt>
                <c:pt idx="19" formatCode="0.0">
                  <c:v>10.788461538461538</c:v>
                </c:pt>
                <c:pt idx="20" formatCode="0.0">
                  <c:v>11.423076923076923</c:v>
                </c:pt>
                <c:pt idx="21" formatCode="0.0">
                  <c:v>12.057692307692307</c:v>
                </c:pt>
                <c:pt idx="22" formatCode="0.0">
                  <c:v>12.692307692307692</c:v>
                </c:pt>
                <c:pt idx="23" formatCode="0.0">
                  <c:v>13.326923076923075</c:v>
                </c:pt>
                <c:pt idx="24" formatCode="0.0">
                  <c:v>13.96153846153846</c:v>
                </c:pt>
                <c:pt idx="25" formatCode="0.0">
                  <c:v>14.596153846153841</c:v>
                </c:pt>
                <c:pt idx="26" formatCode="0.0">
                  <c:v>15.230769230769228</c:v>
                </c:pt>
                <c:pt idx="27" formatCode="0.0">
                  <c:v>15.865384615384611</c:v>
                </c:pt>
                <c:pt idx="28" formatCode="0.0">
                  <c:v>16.499999999999996</c:v>
                </c:pt>
                <c:pt idx="29" formatCode="0.0">
                  <c:v>17.134615384615383</c:v>
                </c:pt>
                <c:pt idx="30" formatCode="0.0">
                  <c:v>17.769230769230766</c:v>
                </c:pt>
                <c:pt idx="31" formatCode="0.0">
                  <c:v>18.40384615384615</c:v>
                </c:pt>
                <c:pt idx="32" formatCode="0.0">
                  <c:v>19.038461538461533</c:v>
                </c:pt>
                <c:pt idx="33" formatCode="0.0">
                  <c:v>19.67307692307692</c:v>
                </c:pt>
                <c:pt idx="34" formatCode="0.0">
                  <c:v>20.307692307692303</c:v>
                </c:pt>
                <c:pt idx="35" formatCode="0.0">
                  <c:v>20.942307692307683</c:v>
                </c:pt>
                <c:pt idx="36" formatCode="0.0">
                  <c:v>21.57692307692307</c:v>
                </c:pt>
                <c:pt idx="37" formatCode="0.0">
                  <c:v>22.211538461538456</c:v>
                </c:pt>
                <c:pt idx="38" formatCode="0.0">
                  <c:v>22.84615384615384</c:v>
                </c:pt>
                <c:pt idx="39" formatCode="0.0">
                  <c:v>23.480769230769223</c:v>
                </c:pt>
                <c:pt idx="40" formatCode="0.0">
                  <c:v>24.115384615384606</c:v>
                </c:pt>
                <c:pt idx="41" formatCode="0.0">
                  <c:v>24.749999999999989</c:v>
                </c:pt>
                <c:pt idx="42" formatCode="0.0">
                  <c:v>25.384615384615376</c:v>
                </c:pt>
                <c:pt idx="43" formatCode="0.0">
                  <c:v>26.019230769230759</c:v>
                </c:pt>
                <c:pt idx="44" formatCode="0.0">
                  <c:v>26.653846153846143</c:v>
                </c:pt>
                <c:pt idx="45" formatCode="0.0">
                  <c:v>27.288461538461526</c:v>
                </c:pt>
                <c:pt idx="46" formatCode="0.0">
                  <c:v>27.923076923076913</c:v>
                </c:pt>
                <c:pt idx="47" formatCode="0.0">
                  <c:v>28.557692307692299</c:v>
                </c:pt>
                <c:pt idx="48" formatCode="0.0">
                  <c:v>29.192307692307676</c:v>
                </c:pt>
                <c:pt idx="49" formatCode="0.0">
                  <c:v>29.826923076923062</c:v>
                </c:pt>
                <c:pt idx="50" formatCode="0.0">
                  <c:v>30.461538461538449</c:v>
                </c:pt>
                <c:pt idx="51" formatCode="0.0">
                  <c:v>31.096153846153832</c:v>
                </c:pt>
                <c:pt idx="52" formatCode="0.0">
                  <c:v>31.730769230769216</c:v>
                </c:pt>
                <c:pt idx="53" formatCode="0.0">
                  <c:v>32.365384615384599</c:v>
                </c:pt>
                <c:pt idx="54" formatCode="0.0">
                  <c:v>32.999999999999986</c:v>
                </c:pt>
                <c:pt idx="55" formatCode="0.0">
                  <c:v>33.634615384615365</c:v>
                </c:pt>
                <c:pt idx="56" formatCode="0.0">
                  <c:v>34.269230769230759</c:v>
                </c:pt>
                <c:pt idx="57" formatCode="0.0">
                  <c:v>34.903846153846139</c:v>
                </c:pt>
                <c:pt idx="58" formatCode="0.0">
                  <c:v>35.538461538461526</c:v>
                </c:pt>
                <c:pt idx="59" formatCode="0.0">
                  <c:v>36.173076923076913</c:v>
                </c:pt>
                <c:pt idx="60" formatCode="0.0">
                  <c:v>36.807692307692292</c:v>
                </c:pt>
                <c:pt idx="61" formatCode="0.0">
                  <c:v>37.442307692307679</c:v>
                </c:pt>
                <c:pt idx="62" formatCode="0.0">
                  <c:v>38.076923076923059</c:v>
                </c:pt>
                <c:pt idx="63" formatCode="0.0">
                  <c:v>38.711538461538446</c:v>
                </c:pt>
                <c:pt idx="64" formatCode="0.0">
                  <c:v>39.346153846153832</c:v>
                </c:pt>
                <c:pt idx="65" formatCode="0.0">
                  <c:v>39.980769230769212</c:v>
                </c:pt>
                <c:pt idx="66" formatCode="0.0">
                  <c:v>40.615384615384599</c:v>
                </c:pt>
                <c:pt idx="67" formatCode="0.0">
                  <c:v>41.249999999999979</c:v>
                </c:pt>
                <c:pt idx="68" formatCode="0.0">
                  <c:v>41.884615384615358</c:v>
                </c:pt>
                <c:pt idx="69" formatCode="0.0">
                  <c:v>42.519230769230752</c:v>
                </c:pt>
                <c:pt idx="70" formatCode="0.0">
                  <c:v>43.153846153846132</c:v>
                </c:pt>
                <c:pt idx="71" formatCode="0.0">
                  <c:v>43.788461538461519</c:v>
                </c:pt>
                <c:pt idx="72" formatCode="0.0">
                  <c:v>44.423076923076906</c:v>
                </c:pt>
                <c:pt idx="73" formatCode="0.0">
                  <c:v>45.057692307692285</c:v>
                </c:pt>
                <c:pt idx="74" formatCode="0.0">
                  <c:v>45.692307692307672</c:v>
                </c:pt>
                <c:pt idx="75" formatCode="0.0">
                  <c:v>46.326923076923052</c:v>
                </c:pt>
                <c:pt idx="76" formatCode="0.0">
                  <c:v>46.961538461538439</c:v>
                </c:pt>
                <c:pt idx="77" formatCode="0.0">
                  <c:v>47.596153846153825</c:v>
                </c:pt>
                <c:pt idx="78" formatCode="0.0">
                  <c:v>48.230769230769205</c:v>
                </c:pt>
                <c:pt idx="79" formatCode="0.0">
                  <c:v>48.865384615384592</c:v>
                </c:pt>
                <c:pt idx="80" formatCode="0.0">
                  <c:v>49.499999999999972</c:v>
                </c:pt>
                <c:pt idx="81" formatCode="0.0">
                  <c:v>50.134615384615351</c:v>
                </c:pt>
                <c:pt idx="82" formatCode="0.0">
                  <c:v>50.769230769230745</c:v>
                </c:pt>
                <c:pt idx="83" formatCode="0.0">
                  <c:v>51.403846153846125</c:v>
                </c:pt>
                <c:pt idx="84" formatCode="0.0">
                  <c:v>52.038461538461512</c:v>
                </c:pt>
                <c:pt idx="85" formatCode="0.0">
                  <c:v>52.673076923076898</c:v>
                </c:pt>
                <c:pt idx="86" formatCode="0.0">
                  <c:v>53.307692307692278</c:v>
                </c:pt>
                <c:pt idx="87" formatCode="0.0">
                  <c:v>53.942307692307665</c:v>
                </c:pt>
                <c:pt idx="88" formatCode="0.0">
                  <c:v>54.576923076923045</c:v>
                </c:pt>
                <c:pt idx="89" formatCode="0.0">
                  <c:v>55.211538461538431</c:v>
                </c:pt>
                <c:pt idx="90" formatCode="0.0">
                  <c:v>55.846153846153818</c:v>
                </c:pt>
                <c:pt idx="91" formatCode="0.0">
                  <c:v>56.480769230769198</c:v>
                </c:pt>
                <c:pt idx="92" formatCode="0.0">
                  <c:v>57.115384615384592</c:v>
                </c:pt>
                <c:pt idx="93" formatCode="0.0">
                  <c:v>57.749999999999972</c:v>
                </c:pt>
                <c:pt idx="94" formatCode="0.0">
                  <c:v>58.384615384615344</c:v>
                </c:pt>
                <c:pt idx="95" formatCode="0.0">
                  <c:v>59.019230769230738</c:v>
                </c:pt>
                <c:pt idx="96" formatCode="0.0">
                  <c:v>59.653846153846118</c:v>
                </c:pt>
                <c:pt idx="97" formatCode="0.0">
                  <c:v>60.288461538461505</c:v>
                </c:pt>
                <c:pt idx="98" formatCode="0.0">
                  <c:v>60.923076923076891</c:v>
                </c:pt>
                <c:pt idx="99" formatCode="0.0">
                  <c:v>61.557692307692271</c:v>
                </c:pt>
                <c:pt idx="100" formatCode="0.0">
                  <c:v>62.192307692307658</c:v>
                </c:pt>
                <c:pt idx="101" formatCode="0.0">
                  <c:v>62.826923076923045</c:v>
                </c:pt>
                <c:pt idx="102" formatCode="0.0">
                  <c:v>63.461538461538431</c:v>
                </c:pt>
                <c:pt idx="103" formatCode="0.0">
                  <c:v>64.096153846153811</c:v>
                </c:pt>
                <c:pt idx="104" formatCode="0.0">
                  <c:v>64.730769230769198</c:v>
                </c:pt>
                <c:pt idx="105" formatCode="0.0">
                  <c:v>65.365384615384585</c:v>
                </c:pt>
                <c:pt idx="106" formatCode="0.0">
                  <c:v>65.999999999999972</c:v>
                </c:pt>
                <c:pt idx="107" formatCode="0.0">
                  <c:v>66.499999999999972</c:v>
                </c:pt>
              </c:numCache>
            </c:numRef>
          </c:xVal>
          <c:yVal>
            <c:numRef>
              <c:f>Start_up!$O$8:$O$115</c:f>
              <c:numCache>
                <c:formatCode>General</c:formatCode>
                <c:ptCount val="108"/>
                <c:pt idx="0">
                  <c:v>0</c:v>
                </c:pt>
                <c:pt idx="1">
                  <c:v>0</c:v>
                </c:pt>
                <c:pt idx="2">
                  <c:v>8.25</c:v>
                </c:pt>
                <c:pt idx="3">
                  <c:v>8.1706730769230766</c:v>
                </c:pt>
                <c:pt idx="4">
                  <c:v>8.0913461538461533</c:v>
                </c:pt>
                <c:pt idx="5">
                  <c:v>8.0120192307692299</c:v>
                </c:pt>
                <c:pt idx="6">
                  <c:v>7.9326923076923075</c:v>
                </c:pt>
                <c:pt idx="7">
                  <c:v>7.853365384615385</c:v>
                </c:pt>
                <c:pt idx="8">
                  <c:v>7.7740384615384617</c:v>
                </c:pt>
                <c:pt idx="9">
                  <c:v>7.6947115384615383</c:v>
                </c:pt>
                <c:pt idx="10">
                  <c:v>7.615384615384615</c:v>
                </c:pt>
                <c:pt idx="11">
                  <c:v>7.5360576923076925</c:v>
                </c:pt>
                <c:pt idx="12">
                  <c:v>7.4567307692307692</c:v>
                </c:pt>
                <c:pt idx="13">
                  <c:v>7.3774038461538458</c:v>
                </c:pt>
                <c:pt idx="14">
                  <c:v>7.2980769230769234</c:v>
                </c:pt>
                <c:pt idx="15">
                  <c:v>7.21875</c:v>
                </c:pt>
                <c:pt idx="16">
                  <c:v>7.1394230769230766</c:v>
                </c:pt>
                <c:pt idx="17">
                  <c:v>7.0600961538461542</c:v>
                </c:pt>
                <c:pt idx="18">
                  <c:v>6.9807692307692308</c:v>
                </c:pt>
                <c:pt idx="19">
                  <c:v>6.9014423076923075</c:v>
                </c:pt>
                <c:pt idx="20">
                  <c:v>6.822115384615385</c:v>
                </c:pt>
                <c:pt idx="21">
                  <c:v>6.7427884615384617</c:v>
                </c:pt>
                <c:pt idx="22">
                  <c:v>6.6634615384615383</c:v>
                </c:pt>
                <c:pt idx="23">
                  <c:v>6.584134615384615</c:v>
                </c:pt>
                <c:pt idx="24">
                  <c:v>6.5048076923076925</c:v>
                </c:pt>
                <c:pt idx="25">
                  <c:v>6.4254807692307692</c:v>
                </c:pt>
                <c:pt idx="26">
                  <c:v>6.3461538461538458</c:v>
                </c:pt>
                <c:pt idx="27">
                  <c:v>6.2668269230769234</c:v>
                </c:pt>
                <c:pt idx="28">
                  <c:v>6.1875</c:v>
                </c:pt>
                <c:pt idx="29">
                  <c:v>6.1081730769230766</c:v>
                </c:pt>
                <c:pt idx="30">
                  <c:v>6.0288461538461533</c:v>
                </c:pt>
                <c:pt idx="31">
                  <c:v>5.9495192307692308</c:v>
                </c:pt>
                <c:pt idx="32">
                  <c:v>5.8701923076923084</c:v>
                </c:pt>
                <c:pt idx="33">
                  <c:v>5.790865384615385</c:v>
                </c:pt>
                <c:pt idx="34">
                  <c:v>5.7115384615384617</c:v>
                </c:pt>
                <c:pt idx="35">
                  <c:v>5.6322115384615383</c:v>
                </c:pt>
                <c:pt idx="36">
                  <c:v>5.552884615384615</c:v>
                </c:pt>
                <c:pt idx="37">
                  <c:v>5.4735576923076916</c:v>
                </c:pt>
                <c:pt idx="38">
                  <c:v>5.3942307692307692</c:v>
                </c:pt>
                <c:pt idx="39">
                  <c:v>5.3149038461538467</c:v>
                </c:pt>
                <c:pt idx="40">
                  <c:v>5.2355769230769234</c:v>
                </c:pt>
                <c:pt idx="41">
                  <c:v>5.15625</c:v>
                </c:pt>
                <c:pt idx="42">
                  <c:v>5.0769230769230766</c:v>
                </c:pt>
                <c:pt idx="43">
                  <c:v>4.9975961538461533</c:v>
                </c:pt>
                <c:pt idx="44">
                  <c:v>4.9182692307692308</c:v>
                </c:pt>
                <c:pt idx="45">
                  <c:v>4.8389423076923084</c:v>
                </c:pt>
                <c:pt idx="46">
                  <c:v>4.759615384615385</c:v>
                </c:pt>
                <c:pt idx="47">
                  <c:v>4.6802884615384617</c:v>
                </c:pt>
                <c:pt idx="48">
                  <c:v>4.6009615384615383</c:v>
                </c:pt>
                <c:pt idx="49">
                  <c:v>4.521634615384615</c:v>
                </c:pt>
                <c:pt idx="50">
                  <c:v>4.4423076923076916</c:v>
                </c:pt>
                <c:pt idx="51">
                  <c:v>4.3629807692307692</c:v>
                </c:pt>
                <c:pt idx="52">
                  <c:v>4.2836538461538467</c:v>
                </c:pt>
                <c:pt idx="53">
                  <c:v>4.2043269230769234</c:v>
                </c:pt>
                <c:pt idx="54">
                  <c:v>4.125</c:v>
                </c:pt>
                <c:pt idx="55">
                  <c:v>4.0456730769230775</c:v>
                </c:pt>
                <c:pt idx="56">
                  <c:v>3.9663461538461533</c:v>
                </c:pt>
                <c:pt idx="57">
                  <c:v>3.8870192307692308</c:v>
                </c:pt>
                <c:pt idx="58">
                  <c:v>3.8076923076923075</c:v>
                </c:pt>
                <c:pt idx="59">
                  <c:v>3.7283653846153841</c:v>
                </c:pt>
                <c:pt idx="60">
                  <c:v>3.6490384615384617</c:v>
                </c:pt>
                <c:pt idx="61">
                  <c:v>3.5697115384615383</c:v>
                </c:pt>
                <c:pt idx="62">
                  <c:v>3.4903846153846159</c:v>
                </c:pt>
                <c:pt idx="63">
                  <c:v>3.4110576923076925</c:v>
                </c:pt>
                <c:pt idx="64">
                  <c:v>3.3317307692307692</c:v>
                </c:pt>
                <c:pt idx="65">
                  <c:v>3.2524038461538467</c:v>
                </c:pt>
                <c:pt idx="66">
                  <c:v>3.1730769230769225</c:v>
                </c:pt>
                <c:pt idx="67">
                  <c:v>3.09375</c:v>
                </c:pt>
                <c:pt idx="68">
                  <c:v>3.0144230769230775</c:v>
                </c:pt>
                <c:pt idx="69">
                  <c:v>2.9350961538461533</c:v>
                </c:pt>
                <c:pt idx="70">
                  <c:v>2.8557692307692308</c:v>
                </c:pt>
                <c:pt idx="71">
                  <c:v>2.7764423076923075</c:v>
                </c:pt>
                <c:pt idx="72">
                  <c:v>2.6971153846153841</c:v>
                </c:pt>
                <c:pt idx="73">
                  <c:v>2.6177884615384617</c:v>
                </c:pt>
                <c:pt idx="74">
                  <c:v>2.5384615384615383</c:v>
                </c:pt>
                <c:pt idx="75">
                  <c:v>2.4591346153846159</c:v>
                </c:pt>
                <c:pt idx="76">
                  <c:v>2.3798076923076925</c:v>
                </c:pt>
                <c:pt idx="77">
                  <c:v>2.3004807692307692</c:v>
                </c:pt>
                <c:pt idx="78">
                  <c:v>2.2211538461538467</c:v>
                </c:pt>
                <c:pt idx="79">
                  <c:v>2.1418269230769225</c:v>
                </c:pt>
                <c:pt idx="80">
                  <c:v>2.0625</c:v>
                </c:pt>
                <c:pt idx="81">
                  <c:v>1.9831730769230775</c:v>
                </c:pt>
                <c:pt idx="82">
                  <c:v>1.9038461538461533</c:v>
                </c:pt>
                <c:pt idx="83">
                  <c:v>1.8245192307692308</c:v>
                </c:pt>
                <c:pt idx="84">
                  <c:v>1.7451923076923075</c:v>
                </c:pt>
                <c:pt idx="85">
                  <c:v>1.6658653846153841</c:v>
                </c:pt>
                <c:pt idx="86">
                  <c:v>1.5865384615384617</c:v>
                </c:pt>
                <c:pt idx="87">
                  <c:v>1.5072115384615383</c:v>
                </c:pt>
                <c:pt idx="88">
                  <c:v>1.4278846153846159</c:v>
                </c:pt>
                <c:pt idx="89">
                  <c:v>1.3485576923076925</c:v>
                </c:pt>
                <c:pt idx="90">
                  <c:v>1.2692307692307692</c:v>
                </c:pt>
                <c:pt idx="91">
                  <c:v>1.1899038461538467</c:v>
                </c:pt>
                <c:pt idx="92">
                  <c:v>1.1105769230769225</c:v>
                </c:pt>
                <c:pt idx="93">
                  <c:v>1.03125</c:v>
                </c:pt>
                <c:pt idx="94">
                  <c:v>0.95192307692307754</c:v>
                </c:pt>
                <c:pt idx="95">
                  <c:v>0.8725961538461533</c:v>
                </c:pt>
                <c:pt idx="96">
                  <c:v>0.79326923076923084</c:v>
                </c:pt>
                <c:pt idx="97">
                  <c:v>0.71394230769230749</c:v>
                </c:pt>
                <c:pt idx="98">
                  <c:v>0.63461538461538414</c:v>
                </c:pt>
                <c:pt idx="99">
                  <c:v>0.55528846153846168</c:v>
                </c:pt>
                <c:pt idx="100">
                  <c:v>0.47596153846153832</c:v>
                </c:pt>
                <c:pt idx="101">
                  <c:v>0.39663461538461586</c:v>
                </c:pt>
                <c:pt idx="102">
                  <c:v>0.31730769230769251</c:v>
                </c:pt>
                <c:pt idx="103">
                  <c:v>0.23798076923077005</c:v>
                </c:pt>
                <c:pt idx="104">
                  <c:v>0.1586538461538467</c:v>
                </c:pt>
                <c:pt idx="105">
                  <c:v>7.932692307692335E-2</c:v>
                </c:pt>
                <c:pt idx="106">
                  <c:v>0</c:v>
                </c:pt>
                <c:pt idx="107">
                  <c:v>0</c:v>
                </c:pt>
              </c:numCache>
            </c:numRef>
          </c:yVal>
          <c:smooth val="0"/>
        </c:ser>
        <c:dLbls>
          <c:showLegendKey val="0"/>
          <c:showVal val="0"/>
          <c:showCatName val="0"/>
          <c:showSerName val="0"/>
          <c:showPercent val="0"/>
          <c:showBubbleSize val="0"/>
        </c:dLbls>
        <c:axId val="187278848"/>
        <c:axId val="187280768"/>
      </c:scatterChart>
      <c:valAx>
        <c:axId val="187278848"/>
        <c:scaling>
          <c:orientation val="minMax"/>
          <c:min val="-1"/>
        </c:scaling>
        <c:delete val="0"/>
        <c:axPos val="b"/>
        <c:minorGridlines/>
        <c:title>
          <c:tx>
            <c:rich>
              <a:bodyPr/>
              <a:lstStyle/>
              <a:p>
                <a:pPr>
                  <a:defRPr/>
                </a:pPr>
                <a:r>
                  <a:rPr lang="en-US"/>
                  <a:t>Time (ms)</a:t>
                </a:r>
              </a:p>
            </c:rich>
          </c:tx>
          <c:layout>
            <c:manualLayout>
              <c:xMode val="edge"/>
              <c:yMode val="edge"/>
              <c:x val="0.44799096768442925"/>
              <c:y val="0.90583847854517363"/>
            </c:manualLayout>
          </c:layout>
          <c:overlay val="0"/>
        </c:title>
        <c:numFmt formatCode="0.0" sourceLinked="1"/>
        <c:majorTickMark val="out"/>
        <c:minorTickMark val="none"/>
        <c:tickLblPos val="nextTo"/>
        <c:txPr>
          <a:bodyPr/>
          <a:lstStyle/>
          <a:p>
            <a:pPr>
              <a:defRPr b="1"/>
            </a:pPr>
            <a:endParaRPr lang="en-US"/>
          </a:p>
        </c:txPr>
        <c:crossAx val="187280768"/>
        <c:crosses val="autoZero"/>
        <c:crossBetween val="midCat"/>
      </c:valAx>
      <c:valAx>
        <c:axId val="187280768"/>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41E-2"/>
              <c:y val="0.25775146359374557"/>
            </c:manualLayout>
          </c:layout>
          <c:overlay val="0"/>
        </c:title>
        <c:numFmt formatCode="General" sourceLinked="1"/>
        <c:majorTickMark val="out"/>
        <c:minorTickMark val="none"/>
        <c:tickLblPos val="nextTo"/>
        <c:txPr>
          <a:bodyPr/>
          <a:lstStyle/>
          <a:p>
            <a:pPr>
              <a:defRPr b="1"/>
            </a:pPr>
            <a:endParaRPr lang="en-US"/>
          </a:p>
        </c:txPr>
        <c:crossAx val="187278848"/>
        <c:crossesAt val="-1"/>
        <c:crossBetween val="midCat"/>
      </c:valAx>
    </c:plotArea>
    <c:legend>
      <c:legendPos val="r"/>
      <c:layout>
        <c:manualLayout>
          <c:xMode val="edge"/>
          <c:yMode val="edge"/>
          <c:x val="0.58243391004423017"/>
          <c:y val="0.29201739268437199"/>
          <c:w val="0.39515213037394709"/>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58"/>
          <c:y val="0.14177960397727438"/>
          <c:w val="0.69967132057676096"/>
          <c:h val="0.7119118368882501"/>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0.31730769230769235</c:v>
                </c:pt>
                <c:pt idx="2">
                  <c:v>0.63461538461538469</c:v>
                </c:pt>
                <c:pt idx="3">
                  <c:v>0.95192307692307698</c:v>
                </c:pt>
                <c:pt idx="4">
                  <c:v>1.2692307692307694</c:v>
                </c:pt>
                <c:pt idx="5">
                  <c:v>1.5865384615384617</c:v>
                </c:pt>
                <c:pt idx="6">
                  <c:v>1.903846153846154</c:v>
                </c:pt>
                <c:pt idx="7">
                  <c:v>2.2211538461538463</c:v>
                </c:pt>
                <c:pt idx="8">
                  <c:v>2.5384615384615388</c:v>
                </c:pt>
                <c:pt idx="9">
                  <c:v>2.8557692307692308</c:v>
                </c:pt>
                <c:pt idx="10">
                  <c:v>3.1730769230769234</c:v>
                </c:pt>
                <c:pt idx="11">
                  <c:v>3.4903846153846154</c:v>
                </c:pt>
                <c:pt idx="12">
                  <c:v>3.8076923076923079</c:v>
                </c:pt>
                <c:pt idx="13">
                  <c:v>4.125</c:v>
                </c:pt>
                <c:pt idx="14">
                  <c:v>4.4423076923076925</c:v>
                </c:pt>
                <c:pt idx="15">
                  <c:v>4.7596153846153841</c:v>
                </c:pt>
                <c:pt idx="16">
                  <c:v>5.0769230769230775</c:v>
                </c:pt>
                <c:pt idx="17">
                  <c:v>5.3942307692307692</c:v>
                </c:pt>
                <c:pt idx="18">
                  <c:v>5.7115384615384617</c:v>
                </c:pt>
                <c:pt idx="19">
                  <c:v>6.0288461538461533</c:v>
                </c:pt>
                <c:pt idx="20">
                  <c:v>6.3461538461538467</c:v>
                </c:pt>
                <c:pt idx="21">
                  <c:v>6.6634615384615383</c:v>
                </c:pt>
                <c:pt idx="22">
                  <c:v>6.9807692307692308</c:v>
                </c:pt>
                <c:pt idx="23">
                  <c:v>7.2980769230769225</c:v>
                </c:pt>
                <c:pt idx="24">
                  <c:v>7.6153846153846159</c:v>
                </c:pt>
                <c:pt idx="25">
                  <c:v>7.9326923076923075</c:v>
                </c:pt>
                <c:pt idx="26">
                  <c:v>8.25</c:v>
                </c:pt>
                <c:pt idx="27">
                  <c:v>8.5673076923076934</c:v>
                </c:pt>
                <c:pt idx="28">
                  <c:v>8.884615384615385</c:v>
                </c:pt>
                <c:pt idx="29">
                  <c:v>9.2019230769230766</c:v>
                </c:pt>
                <c:pt idx="30">
                  <c:v>9.5192307692307683</c:v>
                </c:pt>
                <c:pt idx="31">
                  <c:v>9.8365384615384617</c:v>
                </c:pt>
                <c:pt idx="32">
                  <c:v>10.153846153846155</c:v>
                </c:pt>
                <c:pt idx="33">
                  <c:v>10.471153846153845</c:v>
                </c:pt>
                <c:pt idx="34">
                  <c:v>10.788461538461538</c:v>
                </c:pt>
                <c:pt idx="35">
                  <c:v>11.105769230769232</c:v>
                </c:pt>
                <c:pt idx="36">
                  <c:v>11.423076923076923</c:v>
                </c:pt>
                <c:pt idx="37">
                  <c:v>11.740384615384615</c:v>
                </c:pt>
                <c:pt idx="38">
                  <c:v>12.057692307692307</c:v>
                </c:pt>
                <c:pt idx="39">
                  <c:v>12.375</c:v>
                </c:pt>
                <c:pt idx="40">
                  <c:v>12.692307692307693</c:v>
                </c:pt>
                <c:pt idx="41">
                  <c:v>13.009615384615385</c:v>
                </c:pt>
                <c:pt idx="42">
                  <c:v>13.326923076923077</c:v>
                </c:pt>
                <c:pt idx="43">
                  <c:v>13.644230769230768</c:v>
                </c:pt>
                <c:pt idx="44">
                  <c:v>13.961538461538462</c:v>
                </c:pt>
                <c:pt idx="45">
                  <c:v>14.278846153846155</c:v>
                </c:pt>
                <c:pt idx="46">
                  <c:v>14.596153846153845</c:v>
                </c:pt>
                <c:pt idx="47">
                  <c:v>14.913461538461538</c:v>
                </c:pt>
                <c:pt idx="48">
                  <c:v>15.230769230769232</c:v>
                </c:pt>
                <c:pt idx="49">
                  <c:v>15.548076923076923</c:v>
                </c:pt>
                <c:pt idx="50">
                  <c:v>15.865384615384615</c:v>
                </c:pt>
                <c:pt idx="51">
                  <c:v>16.182692307692307</c:v>
                </c:pt>
                <c:pt idx="52">
                  <c:v>16.5</c:v>
                </c:pt>
                <c:pt idx="53">
                  <c:v>16.81730769230769</c:v>
                </c:pt>
                <c:pt idx="54">
                  <c:v>17.134615384615387</c:v>
                </c:pt>
                <c:pt idx="55">
                  <c:v>17.451923076923077</c:v>
                </c:pt>
                <c:pt idx="56">
                  <c:v>17.76923076923077</c:v>
                </c:pt>
                <c:pt idx="57">
                  <c:v>18.086538461538463</c:v>
                </c:pt>
                <c:pt idx="58">
                  <c:v>18.403846153846153</c:v>
                </c:pt>
                <c:pt idx="59">
                  <c:v>18.721153846153847</c:v>
                </c:pt>
                <c:pt idx="60">
                  <c:v>19.038461538461537</c:v>
                </c:pt>
                <c:pt idx="61">
                  <c:v>19.35576923076923</c:v>
                </c:pt>
                <c:pt idx="62">
                  <c:v>19.673076923076923</c:v>
                </c:pt>
                <c:pt idx="63">
                  <c:v>19.990384615384613</c:v>
                </c:pt>
                <c:pt idx="64">
                  <c:v>20.30769230769231</c:v>
                </c:pt>
                <c:pt idx="65">
                  <c:v>20.625</c:v>
                </c:pt>
                <c:pt idx="66">
                  <c:v>20.94230769230769</c:v>
                </c:pt>
                <c:pt idx="67">
                  <c:v>21.259615384615387</c:v>
                </c:pt>
                <c:pt idx="68">
                  <c:v>21.576923076923077</c:v>
                </c:pt>
                <c:pt idx="69">
                  <c:v>21.89423076923077</c:v>
                </c:pt>
                <c:pt idx="70">
                  <c:v>22.211538461538463</c:v>
                </c:pt>
                <c:pt idx="71">
                  <c:v>22.528846153846153</c:v>
                </c:pt>
                <c:pt idx="72">
                  <c:v>22.846153846153847</c:v>
                </c:pt>
                <c:pt idx="73">
                  <c:v>23.163461538461537</c:v>
                </c:pt>
                <c:pt idx="74">
                  <c:v>23.48076923076923</c:v>
                </c:pt>
                <c:pt idx="75">
                  <c:v>23.798076923076923</c:v>
                </c:pt>
                <c:pt idx="76">
                  <c:v>24.115384615384613</c:v>
                </c:pt>
                <c:pt idx="77">
                  <c:v>24.43269230769231</c:v>
                </c:pt>
                <c:pt idx="78">
                  <c:v>24.75</c:v>
                </c:pt>
                <c:pt idx="79">
                  <c:v>25.06730769230769</c:v>
                </c:pt>
                <c:pt idx="80">
                  <c:v>25.384615384615387</c:v>
                </c:pt>
                <c:pt idx="81">
                  <c:v>25.701923076923077</c:v>
                </c:pt>
                <c:pt idx="82">
                  <c:v>26.01923076923077</c:v>
                </c:pt>
                <c:pt idx="83">
                  <c:v>26.336538461538463</c:v>
                </c:pt>
                <c:pt idx="84">
                  <c:v>26.653846153846153</c:v>
                </c:pt>
                <c:pt idx="85">
                  <c:v>26.971153846153847</c:v>
                </c:pt>
                <c:pt idx="86">
                  <c:v>27.288461538461537</c:v>
                </c:pt>
                <c:pt idx="87">
                  <c:v>27.60576923076923</c:v>
                </c:pt>
                <c:pt idx="88">
                  <c:v>27.923076923076923</c:v>
                </c:pt>
                <c:pt idx="89">
                  <c:v>28.240384615384613</c:v>
                </c:pt>
                <c:pt idx="90">
                  <c:v>28.55769230769231</c:v>
                </c:pt>
                <c:pt idx="91">
                  <c:v>28.875</c:v>
                </c:pt>
                <c:pt idx="92">
                  <c:v>29.19230769230769</c:v>
                </c:pt>
                <c:pt idx="93">
                  <c:v>29.509615384615387</c:v>
                </c:pt>
                <c:pt idx="94">
                  <c:v>29.826923076923077</c:v>
                </c:pt>
                <c:pt idx="95">
                  <c:v>30.14423076923077</c:v>
                </c:pt>
                <c:pt idx="96">
                  <c:v>30.461538461538463</c:v>
                </c:pt>
                <c:pt idx="97">
                  <c:v>30.778846153846153</c:v>
                </c:pt>
                <c:pt idx="98">
                  <c:v>31.096153846153847</c:v>
                </c:pt>
                <c:pt idx="99">
                  <c:v>31.413461538461537</c:v>
                </c:pt>
                <c:pt idx="100">
                  <c:v>31.73076923076923</c:v>
                </c:pt>
                <c:pt idx="101">
                  <c:v>32.04807692307692</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ser>
        <c:ser>
          <c:idx val="1"/>
          <c:order val="1"/>
          <c:tx>
            <c:strRef>
              <c:f>Start_up!$G$7</c:f>
              <c:strCache>
                <c:ptCount val="1"/>
                <c:pt idx="0">
                  <c:v>IFET</c:v>
                </c:pt>
              </c:strCache>
            </c:strRef>
          </c:tx>
          <c:marker>
            <c:symbol val="none"/>
          </c:marker>
          <c:xVal>
            <c:numRef>
              <c:f>Start_up!$B$10:$B$111</c:f>
              <c:numCache>
                <c:formatCode>0.00</c:formatCode>
                <c:ptCount val="102"/>
                <c:pt idx="0">
                  <c:v>0</c:v>
                </c:pt>
                <c:pt idx="1">
                  <c:v>0.31730769230769235</c:v>
                </c:pt>
                <c:pt idx="2">
                  <c:v>0.63461538461538469</c:v>
                </c:pt>
                <c:pt idx="3">
                  <c:v>0.95192307692307698</c:v>
                </c:pt>
                <c:pt idx="4">
                  <c:v>1.2692307692307694</c:v>
                </c:pt>
                <c:pt idx="5">
                  <c:v>1.5865384615384617</c:v>
                </c:pt>
                <c:pt idx="6">
                  <c:v>1.903846153846154</c:v>
                </c:pt>
                <c:pt idx="7">
                  <c:v>2.2211538461538463</c:v>
                </c:pt>
                <c:pt idx="8">
                  <c:v>2.5384615384615388</c:v>
                </c:pt>
                <c:pt idx="9">
                  <c:v>2.8557692307692308</c:v>
                </c:pt>
                <c:pt idx="10">
                  <c:v>3.1730769230769234</c:v>
                </c:pt>
                <c:pt idx="11">
                  <c:v>3.4903846153846154</c:v>
                </c:pt>
                <c:pt idx="12">
                  <c:v>3.8076923076923079</c:v>
                </c:pt>
                <c:pt idx="13">
                  <c:v>4.125</c:v>
                </c:pt>
                <c:pt idx="14">
                  <c:v>4.4423076923076925</c:v>
                </c:pt>
                <c:pt idx="15">
                  <c:v>4.7596153846153841</c:v>
                </c:pt>
                <c:pt idx="16">
                  <c:v>5.0769230769230775</c:v>
                </c:pt>
                <c:pt idx="17">
                  <c:v>5.3942307692307692</c:v>
                </c:pt>
                <c:pt idx="18">
                  <c:v>5.7115384615384617</c:v>
                </c:pt>
                <c:pt idx="19">
                  <c:v>6.0288461538461533</c:v>
                </c:pt>
                <c:pt idx="20">
                  <c:v>6.3461538461538467</c:v>
                </c:pt>
                <c:pt idx="21">
                  <c:v>6.6634615384615383</c:v>
                </c:pt>
                <c:pt idx="22">
                  <c:v>6.9807692307692308</c:v>
                </c:pt>
                <c:pt idx="23">
                  <c:v>7.2980769230769225</c:v>
                </c:pt>
                <c:pt idx="24">
                  <c:v>7.6153846153846159</c:v>
                </c:pt>
                <c:pt idx="25">
                  <c:v>7.9326923076923075</c:v>
                </c:pt>
                <c:pt idx="26">
                  <c:v>8.25</c:v>
                </c:pt>
                <c:pt idx="27">
                  <c:v>8.5673076923076934</c:v>
                </c:pt>
                <c:pt idx="28">
                  <c:v>8.884615384615385</c:v>
                </c:pt>
                <c:pt idx="29">
                  <c:v>9.2019230769230766</c:v>
                </c:pt>
                <c:pt idx="30">
                  <c:v>9.5192307692307683</c:v>
                </c:pt>
                <c:pt idx="31">
                  <c:v>9.8365384615384617</c:v>
                </c:pt>
                <c:pt idx="32">
                  <c:v>10.153846153846155</c:v>
                </c:pt>
                <c:pt idx="33">
                  <c:v>10.471153846153845</c:v>
                </c:pt>
                <c:pt idx="34">
                  <c:v>10.788461538461538</c:v>
                </c:pt>
                <c:pt idx="35">
                  <c:v>11.105769230769232</c:v>
                </c:pt>
                <c:pt idx="36">
                  <c:v>11.423076923076923</c:v>
                </c:pt>
                <c:pt idx="37">
                  <c:v>11.740384615384615</c:v>
                </c:pt>
                <c:pt idx="38">
                  <c:v>12.057692307692307</c:v>
                </c:pt>
                <c:pt idx="39">
                  <c:v>12.375</c:v>
                </c:pt>
                <c:pt idx="40">
                  <c:v>12.692307692307693</c:v>
                </c:pt>
                <c:pt idx="41">
                  <c:v>13.009615384615385</c:v>
                </c:pt>
                <c:pt idx="42">
                  <c:v>13.326923076923077</c:v>
                </c:pt>
                <c:pt idx="43">
                  <c:v>13.644230769230768</c:v>
                </c:pt>
                <c:pt idx="44">
                  <c:v>13.961538461538462</c:v>
                </c:pt>
                <c:pt idx="45">
                  <c:v>14.278846153846155</c:v>
                </c:pt>
                <c:pt idx="46">
                  <c:v>14.596153846153845</c:v>
                </c:pt>
                <c:pt idx="47">
                  <c:v>14.913461538461538</c:v>
                </c:pt>
                <c:pt idx="48">
                  <c:v>15.230769230769232</c:v>
                </c:pt>
                <c:pt idx="49">
                  <c:v>15.548076923076923</c:v>
                </c:pt>
                <c:pt idx="50">
                  <c:v>15.865384615384615</c:v>
                </c:pt>
                <c:pt idx="51">
                  <c:v>16.182692307692307</c:v>
                </c:pt>
                <c:pt idx="52">
                  <c:v>16.5</c:v>
                </c:pt>
                <c:pt idx="53">
                  <c:v>16.81730769230769</c:v>
                </c:pt>
                <c:pt idx="54">
                  <c:v>17.134615384615387</c:v>
                </c:pt>
                <c:pt idx="55">
                  <c:v>17.451923076923077</c:v>
                </c:pt>
                <c:pt idx="56">
                  <c:v>17.76923076923077</c:v>
                </c:pt>
                <c:pt idx="57">
                  <c:v>18.086538461538463</c:v>
                </c:pt>
                <c:pt idx="58">
                  <c:v>18.403846153846153</c:v>
                </c:pt>
                <c:pt idx="59">
                  <c:v>18.721153846153847</c:v>
                </c:pt>
                <c:pt idx="60">
                  <c:v>19.038461538461537</c:v>
                </c:pt>
                <c:pt idx="61">
                  <c:v>19.35576923076923</c:v>
                </c:pt>
                <c:pt idx="62">
                  <c:v>19.673076923076923</c:v>
                </c:pt>
                <c:pt idx="63">
                  <c:v>19.990384615384613</c:v>
                </c:pt>
                <c:pt idx="64">
                  <c:v>20.30769230769231</c:v>
                </c:pt>
                <c:pt idx="65">
                  <c:v>20.625</c:v>
                </c:pt>
                <c:pt idx="66">
                  <c:v>20.94230769230769</c:v>
                </c:pt>
                <c:pt idx="67">
                  <c:v>21.259615384615387</c:v>
                </c:pt>
                <c:pt idx="68">
                  <c:v>21.576923076923077</c:v>
                </c:pt>
                <c:pt idx="69">
                  <c:v>21.89423076923077</c:v>
                </c:pt>
                <c:pt idx="70">
                  <c:v>22.211538461538463</c:v>
                </c:pt>
                <c:pt idx="71">
                  <c:v>22.528846153846153</c:v>
                </c:pt>
                <c:pt idx="72">
                  <c:v>22.846153846153847</c:v>
                </c:pt>
                <c:pt idx="73">
                  <c:v>23.163461538461537</c:v>
                </c:pt>
                <c:pt idx="74">
                  <c:v>23.48076923076923</c:v>
                </c:pt>
                <c:pt idx="75">
                  <c:v>23.798076923076923</c:v>
                </c:pt>
                <c:pt idx="76">
                  <c:v>24.115384615384613</c:v>
                </c:pt>
                <c:pt idx="77">
                  <c:v>24.43269230769231</c:v>
                </c:pt>
                <c:pt idx="78">
                  <c:v>24.75</c:v>
                </c:pt>
                <c:pt idx="79">
                  <c:v>25.06730769230769</c:v>
                </c:pt>
                <c:pt idx="80">
                  <c:v>25.384615384615387</c:v>
                </c:pt>
                <c:pt idx="81">
                  <c:v>25.701923076923077</c:v>
                </c:pt>
                <c:pt idx="82">
                  <c:v>26.01923076923077</c:v>
                </c:pt>
                <c:pt idx="83">
                  <c:v>26.336538461538463</c:v>
                </c:pt>
                <c:pt idx="84">
                  <c:v>26.653846153846153</c:v>
                </c:pt>
                <c:pt idx="85">
                  <c:v>26.971153846153847</c:v>
                </c:pt>
                <c:pt idx="86">
                  <c:v>27.288461538461537</c:v>
                </c:pt>
                <c:pt idx="87">
                  <c:v>27.60576923076923</c:v>
                </c:pt>
                <c:pt idx="88">
                  <c:v>27.923076923076923</c:v>
                </c:pt>
                <c:pt idx="89">
                  <c:v>28.240384615384613</c:v>
                </c:pt>
                <c:pt idx="90">
                  <c:v>28.55769230769231</c:v>
                </c:pt>
                <c:pt idx="91">
                  <c:v>28.875</c:v>
                </c:pt>
                <c:pt idx="92">
                  <c:v>29.19230769230769</c:v>
                </c:pt>
                <c:pt idx="93">
                  <c:v>29.509615384615387</c:v>
                </c:pt>
                <c:pt idx="94">
                  <c:v>29.826923076923077</c:v>
                </c:pt>
                <c:pt idx="95">
                  <c:v>30.14423076923077</c:v>
                </c:pt>
                <c:pt idx="96">
                  <c:v>30.461538461538463</c:v>
                </c:pt>
                <c:pt idx="97">
                  <c:v>30.778846153846153</c:v>
                </c:pt>
                <c:pt idx="98">
                  <c:v>31.096153846153847</c:v>
                </c:pt>
                <c:pt idx="99">
                  <c:v>31.413461538461537</c:v>
                </c:pt>
                <c:pt idx="100">
                  <c:v>31.73076923076923</c:v>
                </c:pt>
                <c:pt idx="101">
                  <c:v>32.04807692307692</c:v>
                </c:pt>
              </c:numCache>
            </c:numRef>
          </c:xVal>
          <c:yVal>
            <c:numRef>
              <c:f>Start_up!$G$10:$G$112</c:f>
              <c:numCache>
                <c:formatCode>General</c:formatCode>
                <c:ptCount val="103"/>
                <c:pt idx="0">
                  <c:v>0.25</c:v>
                </c:pt>
                <c:pt idx="1">
                  <c:v>0.25</c:v>
                </c:pt>
                <c:pt idx="2">
                  <c:v>0.25</c:v>
                </c:pt>
                <c:pt idx="3">
                  <c:v>0.25</c:v>
                </c:pt>
                <c:pt idx="4">
                  <c:v>0.25</c:v>
                </c:pt>
                <c:pt idx="5">
                  <c:v>0.25</c:v>
                </c:pt>
                <c:pt idx="6">
                  <c:v>0.25</c:v>
                </c:pt>
                <c:pt idx="7">
                  <c:v>0.25</c:v>
                </c:pt>
                <c:pt idx="8">
                  <c:v>0.25</c:v>
                </c:pt>
                <c:pt idx="9">
                  <c:v>0.25</c:v>
                </c:pt>
                <c:pt idx="10">
                  <c:v>0.25</c:v>
                </c:pt>
                <c:pt idx="11">
                  <c:v>0.25</c:v>
                </c:pt>
                <c:pt idx="12">
                  <c:v>0.25</c:v>
                </c:pt>
                <c:pt idx="13">
                  <c:v>0.25</c:v>
                </c:pt>
                <c:pt idx="14">
                  <c:v>0.25</c:v>
                </c:pt>
                <c:pt idx="15">
                  <c:v>0.25</c:v>
                </c:pt>
                <c:pt idx="16">
                  <c:v>0.25</c:v>
                </c:pt>
                <c:pt idx="17">
                  <c:v>0.25</c:v>
                </c:pt>
                <c:pt idx="18">
                  <c:v>0.25</c:v>
                </c:pt>
                <c:pt idx="19">
                  <c:v>0.25</c:v>
                </c:pt>
                <c:pt idx="20">
                  <c:v>0.25</c:v>
                </c:pt>
                <c:pt idx="21">
                  <c:v>0.25</c:v>
                </c:pt>
                <c:pt idx="22">
                  <c:v>0.25</c:v>
                </c:pt>
                <c:pt idx="23">
                  <c:v>0.25</c:v>
                </c:pt>
                <c:pt idx="24">
                  <c:v>0.25</c:v>
                </c:pt>
                <c:pt idx="25">
                  <c:v>0.25</c:v>
                </c:pt>
                <c:pt idx="26">
                  <c:v>0.25</c:v>
                </c:pt>
                <c:pt idx="27">
                  <c:v>0.25</c:v>
                </c:pt>
                <c:pt idx="28">
                  <c:v>0.25</c:v>
                </c:pt>
                <c:pt idx="29">
                  <c:v>0.25</c:v>
                </c:pt>
                <c:pt idx="30">
                  <c:v>0.25</c:v>
                </c:pt>
                <c:pt idx="31">
                  <c:v>0.25</c:v>
                </c:pt>
                <c:pt idx="32">
                  <c:v>0.25</c:v>
                </c:pt>
                <c:pt idx="33">
                  <c:v>0.25</c:v>
                </c:pt>
                <c:pt idx="34">
                  <c:v>0.25</c:v>
                </c:pt>
                <c:pt idx="35">
                  <c:v>0.25</c:v>
                </c:pt>
                <c:pt idx="36">
                  <c:v>0.25</c:v>
                </c:pt>
                <c:pt idx="37">
                  <c:v>0.25</c:v>
                </c:pt>
                <c:pt idx="38">
                  <c:v>0.25</c:v>
                </c:pt>
                <c:pt idx="39">
                  <c:v>0.25</c:v>
                </c:pt>
                <c:pt idx="40">
                  <c:v>0.25</c:v>
                </c:pt>
                <c:pt idx="41">
                  <c:v>0.25</c:v>
                </c:pt>
                <c:pt idx="42">
                  <c:v>0.25</c:v>
                </c:pt>
                <c:pt idx="43">
                  <c:v>0.25</c:v>
                </c:pt>
                <c:pt idx="44">
                  <c:v>0.25</c:v>
                </c:pt>
                <c:pt idx="45">
                  <c:v>0.25</c:v>
                </c:pt>
                <c:pt idx="46">
                  <c:v>0.25</c:v>
                </c:pt>
                <c:pt idx="47">
                  <c:v>0.25</c:v>
                </c:pt>
                <c:pt idx="48">
                  <c:v>0.25</c:v>
                </c:pt>
                <c:pt idx="49">
                  <c:v>0.25</c:v>
                </c:pt>
                <c:pt idx="50">
                  <c:v>0.25</c:v>
                </c:pt>
                <c:pt idx="51">
                  <c:v>0.25</c:v>
                </c:pt>
                <c:pt idx="52">
                  <c:v>0.25</c:v>
                </c:pt>
                <c:pt idx="53">
                  <c:v>0.25</c:v>
                </c:pt>
                <c:pt idx="54">
                  <c:v>0.25</c:v>
                </c:pt>
                <c:pt idx="55">
                  <c:v>0.25</c:v>
                </c:pt>
                <c:pt idx="56">
                  <c:v>0.25</c:v>
                </c:pt>
                <c:pt idx="57">
                  <c:v>0.25</c:v>
                </c:pt>
                <c:pt idx="58">
                  <c:v>0.25</c:v>
                </c:pt>
                <c:pt idx="59">
                  <c:v>0.25</c:v>
                </c:pt>
                <c:pt idx="60">
                  <c:v>0.25</c:v>
                </c:pt>
                <c:pt idx="61">
                  <c:v>0.25</c:v>
                </c:pt>
                <c:pt idx="62">
                  <c:v>0.25</c:v>
                </c:pt>
                <c:pt idx="63">
                  <c:v>0.25</c:v>
                </c:pt>
                <c:pt idx="64">
                  <c:v>0.25</c:v>
                </c:pt>
                <c:pt idx="65">
                  <c:v>0.25</c:v>
                </c:pt>
                <c:pt idx="66">
                  <c:v>0.25</c:v>
                </c:pt>
                <c:pt idx="67">
                  <c:v>0.25</c:v>
                </c:pt>
                <c:pt idx="68">
                  <c:v>0.25</c:v>
                </c:pt>
                <c:pt idx="69">
                  <c:v>0.25</c:v>
                </c:pt>
                <c:pt idx="70">
                  <c:v>0.25</c:v>
                </c:pt>
                <c:pt idx="71">
                  <c:v>0.25</c:v>
                </c:pt>
                <c:pt idx="72">
                  <c:v>0.25</c:v>
                </c:pt>
                <c:pt idx="73">
                  <c:v>0.25</c:v>
                </c:pt>
                <c:pt idx="74">
                  <c:v>0.25</c:v>
                </c:pt>
                <c:pt idx="75">
                  <c:v>0.25</c:v>
                </c:pt>
                <c:pt idx="76">
                  <c:v>0.25</c:v>
                </c:pt>
                <c:pt idx="77">
                  <c:v>0.25</c:v>
                </c:pt>
                <c:pt idx="78">
                  <c:v>0.25</c:v>
                </c:pt>
                <c:pt idx="79">
                  <c:v>0.25</c:v>
                </c:pt>
                <c:pt idx="80">
                  <c:v>0.25</c:v>
                </c:pt>
                <c:pt idx="81">
                  <c:v>0.25</c:v>
                </c:pt>
                <c:pt idx="82">
                  <c:v>0.25</c:v>
                </c:pt>
                <c:pt idx="83">
                  <c:v>0.25</c:v>
                </c:pt>
                <c:pt idx="84">
                  <c:v>0.25</c:v>
                </c:pt>
                <c:pt idx="85">
                  <c:v>0.25</c:v>
                </c:pt>
                <c:pt idx="86">
                  <c:v>0.25</c:v>
                </c:pt>
                <c:pt idx="87">
                  <c:v>0.25</c:v>
                </c:pt>
                <c:pt idx="88">
                  <c:v>0.25</c:v>
                </c:pt>
                <c:pt idx="89">
                  <c:v>0.25</c:v>
                </c:pt>
                <c:pt idx="90">
                  <c:v>0.25</c:v>
                </c:pt>
                <c:pt idx="91">
                  <c:v>0.25</c:v>
                </c:pt>
                <c:pt idx="92">
                  <c:v>0.25</c:v>
                </c:pt>
                <c:pt idx="93">
                  <c:v>0.25</c:v>
                </c:pt>
                <c:pt idx="94">
                  <c:v>0.25</c:v>
                </c:pt>
                <c:pt idx="95">
                  <c:v>0.25</c:v>
                </c:pt>
                <c:pt idx="96">
                  <c:v>0.25</c:v>
                </c:pt>
                <c:pt idx="97">
                  <c:v>0.25</c:v>
                </c:pt>
                <c:pt idx="98">
                  <c:v>0.25</c:v>
                </c:pt>
                <c:pt idx="99">
                  <c:v>0.25</c:v>
                </c:pt>
                <c:pt idx="100">
                  <c:v>0.25</c:v>
                </c:pt>
                <c:pt idx="101">
                  <c:v>0.25</c:v>
                </c:pt>
                <c:pt idx="102">
                  <c:v>0.25</c:v>
                </c:pt>
              </c:numCache>
            </c:numRef>
          </c:yVal>
          <c:smooth val="1"/>
        </c:ser>
        <c:dLbls>
          <c:showLegendKey val="0"/>
          <c:showVal val="0"/>
          <c:showCatName val="0"/>
          <c:showSerName val="0"/>
          <c:showPercent val="0"/>
          <c:showBubbleSize val="0"/>
        </c:dLbls>
        <c:axId val="186678656"/>
        <c:axId val="186689024"/>
      </c:scatterChart>
      <c:valAx>
        <c:axId val="186678656"/>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186689024"/>
        <c:crosses val="autoZero"/>
        <c:crossBetween val="midCat"/>
      </c:valAx>
      <c:valAx>
        <c:axId val="186689024"/>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186678656"/>
        <c:crosses val="autoZero"/>
        <c:crossBetween val="midCat"/>
      </c:valAx>
    </c:plotArea>
    <c:legend>
      <c:legendPos val="r"/>
      <c:layout>
        <c:manualLayout>
          <c:xMode val="edge"/>
          <c:yMode val="edge"/>
          <c:x val="0.34624252358789726"/>
          <c:y val="0.24479126489117176"/>
          <c:w val="0.21462230092985587"/>
          <c:h val="0.16792443955258282"/>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3.emf"/><Relationship Id="rId7" Type="http://schemas.openxmlformats.org/officeDocument/2006/relationships/chart" Target="../charts/chart3.xml"/><Relationship Id="rId2" Type="http://schemas.openxmlformats.org/officeDocument/2006/relationships/image" Target="../media/image2.png"/><Relationship Id="rId1" Type="http://schemas.openxmlformats.org/officeDocument/2006/relationships/hyperlink" Target="http://www.ti.com" TargetMode="External"/><Relationship Id="rId6" Type="http://schemas.openxmlformats.org/officeDocument/2006/relationships/chart" Target="../charts/chart2.xml"/><Relationship Id="rId5" Type="http://schemas.openxmlformats.org/officeDocument/2006/relationships/chart" Target="../charts/chart1.xml"/><Relationship Id="rId4" Type="http://schemas.openxmlformats.org/officeDocument/2006/relationships/image" Target="../media/image4.png"/><Relationship Id="rId9"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95250</xdr:rowOff>
    </xdr:from>
    <xdr:to>
      <xdr:col>15</xdr:col>
      <xdr:colOff>581025</xdr:colOff>
      <xdr:row>5</xdr:row>
      <xdr:rowOff>28575</xdr:rowOff>
    </xdr:to>
    <xdr:sp macro="" textlink="">
      <xdr:nvSpPr>
        <xdr:cNvPr id="2" name="Rectangle 1"/>
        <xdr:cNvSpPr>
          <a:spLocks noChangeArrowheads="1"/>
        </xdr:cNvSpPr>
      </xdr:nvSpPr>
      <xdr:spPr bwMode="auto">
        <a:xfrm>
          <a:off x="0" y="266700"/>
          <a:ext cx="9725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114300</xdr:colOff>
      <xdr:row>2</xdr:row>
      <xdr:rowOff>0</xdr:rowOff>
    </xdr:from>
    <xdr:to>
      <xdr:col>4</xdr:col>
      <xdr:colOff>0</xdr:colOff>
      <xdr:row>4</xdr:row>
      <xdr:rowOff>104775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333375"/>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xdr:colOff>
      <xdr:row>1</xdr:row>
      <xdr:rowOff>104775</xdr:rowOff>
    </xdr:from>
    <xdr:to>
      <xdr:col>7</xdr:col>
      <xdr:colOff>19050</xdr:colOff>
      <xdr:row>7</xdr:row>
      <xdr:rowOff>33617</xdr:rowOff>
    </xdr:to>
    <xdr:sp macro="" textlink="">
      <xdr:nvSpPr>
        <xdr:cNvPr id="1025" name="Text Box 1"/>
        <xdr:cNvSpPr txBox="1">
          <a:spLocks noChangeArrowheads="1"/>
        </xdr:cNvSpPr>
      </xdr:nvSpPr>
      <xdr:spPr bwMode="auto">
        <a:xfrm>
          <a:off x="26669" y="877981"/>
          <a:ext cx="6973646" cy="91496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TPS249x and TPS248x series of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TPS249x datasheet for more detail.</a:t>
          </a:r>
        </a:p>
      </xdr:txBody>
    </xdr:sp>
    <xdr:clientData/>
  </xdr:twoCellAnchor>
  <xdr:twoCellAnchor>
    <xdr:from>
      <xdr:col>39</xdr:col>
      <xdr:colOff>0</xdr:colOff>
      <xdr:row>41</xdr:row>
      <xdr:rowOff>0</xdr:rowOff>
    </xdr:from>
    <xdr:to>
      <xdr:col>39</xdr:col>
      <xdr:colOff>0</xdr:colOff>
      <xdr:row>49</xdr:row>
      <xdr:rowOff>0</xdr:rowOff>
    </xdr:to>
    <xdr:sp macro="" textlink="">
      <xdr:nvSpPr>
        <xdr:cNvPr id="1056" name="Text Box 32"/>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1</xdr:col>
      <xdr:colOff>50987</xdr:colOff>
      <xdr:row>0</xdr:row>
      <xdr:rowOff>171450</xdr:rowOff>
    </xdr:from>
    <xdr:to>
      <xdr:col>1</xdr:col>
      <xdr:colOff>1713717</xdr:colOff>
      <xdr:row>0</xdr:row>
      <xdr:rowOff>609600</xdr:rowOff>
    </xdr:to>
    <xdr:pic>
      <xdr:nvPicPr>
        <xdr:cNvPr id="10" name="Picture 9">
          <a:hlinkClick xmlns:r="http://schemas.openxmlformats.org/officeDocument/2006/relationships" r:id="rId1"/>
        </xdr:cNvPr>
        <xdr:cNvPicPr/>
      </xdr:nvPicPr>
      <xdr:blipFill>
        <a:blip xmlns:r="http://schemas.openxmlformats.org/officeDocument/2006/relationships" r:embed="rId2" cstate="print"/>
        <a:srcRect r="26499"/>
        <a:stretch>
          <a:fillRect/>
        </a:stretch>
      </xdr:blipFill>
      <xdr:spPr bwMode="auto">
        <a:xfrm>
          <a:off x="84605" y="171450"/>
          <a:ext cx="1662730" cy="438150"/>
        </a:xfrm>
        <a:prstGeom prst="rect">
          <a:avLst/>
        </a:prstGeom>
        <a:noFill/>
        <a:ln w="9525">
          <a:noFill/>
          <a:miter lim="800000"/>
          <a:headEnd/>
          <a:tailEnd/>
        </a:ln>
      </xdr:spPr>
    </xdr:pic>
    <xdr:clientData/>
  </xdr:twoCellAnchor>
  <xdr:twoCellAnchor editAs="oneCell">
    <xdr:from>
      <xdr:col>5</xdr:col>
      <xdr:colOff>95251</xdr:colOff>
      <xdr:row>113</xdr:row>
      <xdr:rowOff>95251</xdr:rowOff>
    </xdr:from>
    <xdr:to>
      <xdr:col>10</xdr:col>
      <xdr:colOff>632842</xdr:colOff>
      <xdr:row>113</xdr:row>
      <xdr:rowOff>97409</xdr:rowOff>
    </xdr:to>
    <xdr:pic>
      <xdr:nvPicPr>
        <xdr:cNvPr id="3" name="Picture 216"/>
        <xdr:cNvPicPr>
          <a:picLocks noChangeAspect="1" noChangeArrowheads="1"/>
        </xdr:cNvPicPr>
      </xdr:nvPicPr>
      <xdr:blipFill>
        <a:blip xmlns:r="http://schemas.openxmlformats.org/officeDocument/2006/relationships" r:embed="rId3"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xdr:cNvPicPr>
          <a:picLocks noChangeAspect="1" noChangeArrowheads="1"/>
        </xdr:cNvPicPr>
      </xdr:nvPicPr>
      <xdr:blipFill>
        <a:blip xmlns:r="http://schemas.openxmlformats.org/officeDocument/2006/relationships" r:embed="rId4"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xdr:from>
      <xdr:col>7</xdr:col>
      <xdr:colOff>274321</xdr:colOff>
      <xdr:row>31</xdr:row>
      <xdr:rowOff>76201</xdr:rowOff>
    </xdr:from>
    <xdr:to>
      <xdr:col>38</xdr:col>
      <xdr:colOff>304801</xdr:colOff>
      <xdr:row>48</xdr:row>
      <xdr:rowOff>106681</xdr:rowOff>
    </xdr:to>
    <xdr:graphicFrame macro="">
      <xdr:nvGraphicFramePr>
        <xdr:cNvPr id="19" name="Chart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8</xdr:col>
      <xdr:colOff>53340</xdr:colOff>
      <xdr:row>25</xdr:row>
      <xdr:rowOff>175260</xdr:rowOff>
    </xdr:from>
    <xdr:ext cx="184731" cy="264560"/>
    <xdr:sp macro="" textlink="">
      <xdr:nvSpPr>
        <xdr:cNvPr id="4" name="TextBox 3"/>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220084</xdr:colOff>
      <xdr:row>49</xdr:row>
      <xdr:rowOff>94131</xdr:rowOff>
    </xdr:from>
    <xdr:to>
      <xdr:col>38</xdr:col>
      <xdr:colOff>215153</xdr:colOff>
      <xdr:row>63</xdr:row>
      <xdr:rowOff>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11</xdr:col>
      <xdr:colOff>434340</xdr:colOff>
      <xdr:row>37</xdr:row>
      <xdr:rowOff>91440</xdr:rowOff>
    </xdr:from>
    <xdr:ext cx="184731" cy="264560"/>
    <xdr:sp macro="" textlink="">
      <xdr:nvSpPr>
        <xdr:cNvPr id="5" name="TextBox 4"/>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236405</xdr:colOff>
      <xdr:row>63</xdr:row>
      <xdr:rowOff>57275</xdr:rowOff>
    </xdr:from>
    <xdr:to>
      <xdr:col>38</xdr:col>
      <xdr:colOff>326519</xdr:colOff>
      <xdr:row>72</xdr:row>
      <xdr:rowOff>347133</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12</xdr:col>
      <xdr:colOff>662940</xdr:colOff>
      <xdr:row>51</xdr:row>
      <xdr:rowOff>30480</xdr:rowOff>
    </xdr:from>
    <xdr:ext cx="184731" cy="264560"/>
    <xdr:sp macro="" textlink="">
      <xdr:nvSpPr>
        <xdr:cNvPr id="2" name="TextBox 1"/>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8</xdr:col>
      <xdr:colOff>67683</xdr:colOff>
      <xdr:row>19</xdr:row>
      <xdr:rowOff>152400</xdr:rowOff>
    </xdr:from>
    <xdr:to>
      <xdr:col>11</xdr:col>
      <xdr:colOff>499533</xdr:colOff>
      <xdr:row>30</xdr:row>
      <xdr:rowOff>35437</xdr:rowOff>
    </xdr:to>
    <xdr:grpSp>
      <xdr:nvGrpSpPr>
        <xdr:cNvPr id="20" name="Group 19"/>
        <xdr:cNvGrpSpPr/>
      </xdr:nvGrpSpPr>
      <xdr:grpSpPr>
        <a:xfrm>
          <a:off x="8216850" y="4343400"/>
          <a:ext cx="2569683" cy="1978537"/>
          <a:chOff x="8025536" y="4434091"/>
          <a:chExt cx="2861885" cy="2548942"/>
        </a:xfrm>
      </xdr:grpSpPr>
      <xdr:grpSp>
        <xdr:nvGrpSpPr>
          <xdr:cNvPr id="21" name="Group 20"/>
          <xdr:cNvGrpSpPr/>
        </xdr:nvGrpSpPr>
        <xdr:grpSpPr>
          <a:xfrm>
            <a:off x="8025536" y="4434091"/>
            <a:ext cx="2861885" cy="2548942"/>
            <a:chOff x="7532443" y="4392378"/>
            <a:chExt cx="2857500" cy="2548942"/>
          </a:xfrm>
        </xdr:grpSpPr>
        <xdr:pic>
          <xdr:nvPicPr>
            <xdr:cNvPr id="23" name="Picture 22"/>
            <xdr:cNvPicPr>
              <a:picLocks noChangeAspect="1"/>
            </xdr:cNvPicPr>
          </xdr:nvPicPr>
          <xdr:blipFill>
            <a:blip xmlns:r="http://schemas.openxmlformats.org/officeDocument/2006/relationships" r:embed="rId8"/>
            <a:stretch>
              <a:fillRect/>
            </a:stretch>
          </xdr:blipFill>
          <xdr:spPr>
            <a:xfrm>
              <a:off x="7532443" y="4392378"/>
              <a:ext cx="2857500" cy="2548942"/>
            </a:xfrm>
            <a:prstGeom prst="rect">
              <a:avLst/>
            </a:prstGeom>
          </xdr:spPr>
        </xdr:pic>
        <xdr:sp macro="" textlink="">
          <xdr:nvSpPr>
            <xdr:cNvPr id="24" name="TextBox 23"/>
            <xdr:cNvSpPr txBox="1"/>
          </xdr:nvSpPr>
          <xdr:spPr>
            <a:xfrm>
              <a:off x="8430621" y="5127689"/>
              <a:ext cx="593913" cy="29081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CL1</a:t>
              </a:r>
            </a:p>
          </xdr:txBody>
        </xdr:sp>
        <xdr:sp macro="" textlink="">
          <xdr:nvSpPr>
            <xdr:cNvPr id="25" name="TextBox 24"/>
            <xdr:cNvSpPr txBox="1"/>
          </xdr:nvSpPr>
          <xdr:spPr>
            <a:xfrm>
              <a:off x="9397253" y="5038165"/>
              <a:ext cx="593913" cy="37768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CL2</a:t>
              </a:r>
            </a:p>
          </xdr:txBody>
        </xdr:sp>
      </xdr:grpSp>
      <xdr:sp macro="" textlink="">
        <xdr:nvSpPr>
          <xdr:cNvPr id="22" name="Rectangle 21"/>
          <xdr:cNvSpPr/>
        </xdr:nvSpPr>
        <xdr:spPr>
          <a:xfrm>
            <a:off x="10510630" y="6493565"/>
            <a:ext cx="99392" cy="28160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oneCellAnchor>
    <xdr:from>
      <xdr:col>9</xdr:col>
      <xdr:colOff>232829</xdr:colOff>
      <xdr:row>27</xdr:row>
      <xdr:rowOff>93973</xdr:rowOff>
    </xdr:from>
    <xdr:ext cx="1303020" cy="405432"/>
    <xdr:sp macro="" textlink="">
      <xdr:nvSpPr>
        <xdr:cNvPr id="8" name="TextBox 7"/>
        <xdr:cNvSpPr txBox="1"/>
      </xdr:nvSpPr>
      <xdr:spPr>
        <a:xfrm>
          <a:off x="8928096" y="5944440"/>
          <a:ext cx="1303020" cy="4054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t>TPS249x</a:t>
          </a:r>
        </a:p>
      </xdr:txBody>
    </xdr:sp>
    <xdr:clientData/>
  </xdr:oneCellAnchor>
  <xdr:oneCellAnchor>
    <xdr:from>
      <xdr:col>8</xdr:col>
      <xdr:colOff>570231</xdr:colOff>
      <xdr:row>25</xdr:row>
      <xdr:rowOff>144355</xdr:rowOff>
    </xdr:from>
    <xdr:ext cx="533400" cy="236221"/>
    <xdr:sp macro="" textlink="">
      <xdr:nvSpPr>
        <xdr:cNvPr id="12" name="TextBox 11"/>
        <xdr:cNvSpPr txBox="1"/>
      </xdr:nvSpPr>
      <xdr:spPr>
        <a:xfrm>
          <a:off x="8158481" y="5478355"/>
          <a:ext cx="533400" cy="23622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t>VCC</a:t>
          </a:r>
        </a:p>
      </xdr:txBody>
    </xdr:sp>
    <xdr:clientData/>
  </xdr:oneCellAnchor>
  <xdr:oneCellAnchor>
    <xdr:from>
      <xdr:col>9</xdr:col>
      <xdr:colOff>571500</xdr:colOff>
      <xdr:row>25</xdr:row>
      <xdr:rowOff>145202</xdr:rowOff>
    </xdr:from>
    <xdr:ext cx="640080" cy="236221"/>
    <xdr:sp macro="" textlink="">
      <xdr:nvSpPr>
        <xdr:cNvPr id="27" name="TextBox 26"/>
        <xdr:cNvSpPr txBox="1"/>
      </xdr:nvSpPr>
      <xdr:spPr>
        <a:xfrm>
          <a:off x="9017000" y="5479202"/>
          <a:ext cx="640080" cy="23622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t>SENSE</a:t>
          </a:r>
        </a:p>
      </xdr:txBody>
    </xdr:sp>
    <xdr:clientData/>
  </xdr:oneCellAnchor>
  <xdr:twoCellAnchor editAs="oneCell">
    <xdr:from>
      <xdr:col>1</xdr:col>
      <xdr:colOff>53341</xdr:colOff>
      <xdr:row>84</xdr:row>
      <xdr:rowOff>122184</xdr:rowOff>
    </xdr:from>
    <xdr:to>
      <xdr:col>4</xdr:col>
      <xdr:colOff>10585</xdr:colOff>
      <xdr:row>99</xdr:row>
      <xdr:rowOff>7895</xdr:rowOff>
    </xdr:to>
    <xdr:pic>
      <xdr:nvPicPr>
        <xdr:cNvPr id="15" name="Picture 14"/>
        <xdr:cNvPicPr>
          <a:picLocks noChangeAspect="1"/>
        </xdr:cNvPicPr>
      </xdr:nvPicPr>
      <xdr:blipFill>
        <a:blip xmlns:r="http://schemas.openxmlformats.org/officeDocument/2006/relationships" r:embed="rId9"/>
        <a:stretch>
          <a:fillRect/>
        </a:stretch>
      </xdr:blipFill>
      <xdr:spPr>
        <a:xfrm>
          <a:off x="83821" y="20917164"/>
          <a:ext cx="4762500" cy="2727971"/>
        </a:xfrm>
        <a:prstGeom prst="rect">
          <a:avLst/>
        </a:prstGeom>
      </xdr:spPr>
    </xdr:pic>
    <xdr:clientData/>
  </xdr:twoCellAnchor>
  <xdr:oneCellAnchor>
    <xdr:from>
      <xdr:col>2</xdr:col>
      <xdr:colOff>419100</xdr:colOff>
      <xdr:row>84</xdr:row>
      <xdr:rowOff>60960</xdr:rowOff>
    </xdr:from>
    <xdr:ext cx="480060" cy="280205"/>
    <xdr:sp macro="" textlink="">
      <xdr:nvSpPr>
        <xdr:cNvPr id="26" name="TextBox 25"/>
        <xdr:cNvSpPr txBox="1"/>
      </xdr:nvSpPr>
      <xdr:spPr>
        <a:xfrm>
          <a:off x="2506980" y="20855940"/>
          <a:ext cx="480060" cy="2802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a:t>Q</a:t>
          </a:r>
          <a:r>
            <a:rPr lang="en-US" sz="1200" baseline="-25000"/>
            <a:t>1</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ti.com/lit/pdf/slva673"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ti.com/hotswa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topLeftCell="A14" workbookViewId="0">
      <selection activeCell="B34" sqref="B34:M96"/>
    </sheetView>
  </sheetViews>
  <sheetFormatPr defaultRowHeight="12.75" x14ac:dyDescent="0.2"/>
  <sheetData>
    <row r="1" spans="1:16" ht="13.5" thickTop="1" x14ac:dyDescent="0.2">
      <c r="A1" s="94"/>
      <c r="B1" s="95"/>
      <c r="C1" s="95"/>
      <c r="D1" s="95"/>
      <c r="E1" s="95"/>
      <c r="F1" s="95"/>
      <c r="G1" s="95"/>
      <c r="H1" s="95"/>
      <c r="I1" s="95"/>
      <c r="J1" s="95"/>
      <c r="K1" s="95"/>
      <c r="L1" s="95"/>
      <c r="M1" s="95"/>
      <c r="N1" s="95"/>
      <c r="O1" s="95"/>
      <c r="P1" s="96"/>
    </row>
    <row r="2" spans="1:16" x14ac:dyDescent="0.2">
      <c r="A2" s="97"/>
      <c r="B2" s="98"/>
      <c r="C2" s="98"/>
      <c r="D2" s="98"/>
      <c r="E2" s="98"/>
      <c r="F2" s="98"/>
      <c r="G2" s="98"/>
      <c r="H2" s="98"/>
      <c r="I2" s="98"/>
      <c r="J2" s="98"/>
      <c r="K2" s="98"/>
      <c r="L2" s="98"/>
      <c r="M2" s="98"/>
      <c r="N2" s="98"/>
      <c r="O2" s="98"/>
      <c r="P2" s="99"/>
    </row>
    <row r="3" spans="1:16" ht="30" x14ac:dyDescent="0.4">
      <c r="A3" s="97"/>
      <c r="B3" s="98"/>
      <c r="C3" s="98"/>
      <c r="D3" s="100"/>
      <c r="E3" s="98"/>
      <c r="F3" s="98"/>
      <c r="G3" s="98"/>
      <c r="H3" s="98"/>
      <c r="I3" s="98"/>
      <c r="J3" s="98"/>
      <c r="K3" s="98"/>
      <c r="L3" s="101"/>
      <c r="M3" s="98"/>
      <c r="N3" s="98"/>
      <c r="O3" s="98"/>
      <c r="P3" s="99"/>
    </row>
    <row r="4" spans="1:16" ht="23.25" x14ac:dyDescent="0.35">
      <c r="A4" s="97"/>
      <c r="B4" s="98"/>
      <c r="C4" s="98"/>
      <c r="D4" s="102"/>
      <c r="E4" s="98"/>
      <c r="F4" s="98"/>
      <c r="G4" s="98"/>
      <c r="H4" s="98"/>
      <c r="I4" s="98"/>
      <c r="J4" s="98"/>
      <c r="K4" s="98"/>
      <c r="L4" s="98"/>
      <c r="M4" s="98"/>
      <c r="N4" s="98"/>
      <c r="O4" s="98"/>
      <c r="P4" s="99"/>
    </row>
    <row r="5" spans="1:16" x14ac:dyDescent="0.2">
      <c r="A5" s="97"/>
      <c r="B5" s="98"/>
      <c r="C5" s="98"/>
      <c r="D5" s="98"/>
      <c r="E5" s="98"/>
      <c r="F5" s="98"/>
      <c r="G5" s="98"/>
      <c r="H5" s="98"/>
      <c r="I5" s="98"/>
      <c r="J5" s="98"/>
      <c r="K5" s="98"/>
      <c r="L5" s="98"/>
      <c r="M5" s="98"/>
      <c r="N5" s="98"/>
      <c r="O5" s="98"/>
      <c r="P5" s="99"/>
    </row>
    <row r="6" spans="1:16" x14ac:dyDescent="0.2">
      <c r="A6" s="97"/>
      <c r="B6" s="98"/>
      <c r="C6" s="98"/>
      <c r="D6" s="98"/>
      <c r="E6" s="98"/>
      <c r="F6" s="98"/>
      <c r="G6" s="98"/>
      <c r="H6" s="98"/>
      <c r="I6" s="98"/>
      <c r="J6" s="98"/>
      <c r="K6" s="98"/>
      <c r="L6" s="98"/>
      <c r="M6" s="98"/>
      <c r="N6" s="98"/>
      <c r="O6" s="98"/>
      <c r="P6" s="99"/>
    </row>
    <row r="7" spans="1:16" ht="15.75" x14ac:dyDescent="0.25">
      <c r="A7" s="97"/>
      <c r="B7" s="98"/>
      <c r="C7" s="98"/>
      <c r="D7" s="98"/>
      <c r="E7" s="98"/>
      <c r="F7" s="98"/>
      <c r="G7" s="98"/>
      <c r="H7" s="98"/>
      <c r="I7" s="98"/>
      <c r="J7" s="98"/>
      <c r="K7" s="98"/>
      <c r="L7" s="98"/>
      <c r="M7" s="101" t="s">
        <v>388</v>
      </c>
      <c r="N7" s="98"/>
      <c r="O7" s="98"/>
      <c r="P7" s="99"/>
    </row>
    <row r="8" spans="1:16" ht="30" x14ac:dyDescent="0.4">
      <c r="A8" s="97"/>
      <c r="B8" s="100" t="s">
        <v>358</v>
      </c>
      <c r="C8" s="98"/>
      <c r="D8" s="98"/>
      <c r="E8" s="98"/>
      <c r="F8" s="98"/>
      <c r="G8" s="98"/>
      <c r="H8" s="98"/>
      <c r="I8" s="98"/>
      <c r="J8" s="98"/>
      <c r="K8" s="98"/>
      <c r="L8" s="98"/>
      <c r="M8" s="98"/>
      <c r="N8" s="98"/>
      <c r="O8" s="98"/>
      <c r="P8" s="99"/>
    </row>
    <row r="9" spans="1:16" x14ac:dyDescent="0.2">
      <c r="A9" s="97"/>
      <c r="B9" s="98"/>
      <c r="C9" s="98"/>
      <c r="D9" s="98"/>
      <c r="E9" s="98"/>
      <c r="F9" s="98"/>
      <c r="G9" s="98"/>
      <c r="H9" s="98"/>
      <c r="I9" s="98"/>
      <c r="J9" s="98"/>
      <c r="K9" s="98"/>
      <c r="L9" s="98"/>
      <c r="M9" s="98"/>
      <c r="N9" s="98"/>
      <c r="O9" s="98"/>
      <c r="P9" s="99"/>
    </row>
    <row r="10" spans="1:16" ht="20.25" x14ac:dyDescent="0.3">
      <c r="A10" s="97"/>
      <c r="B10" s="103" t="s">
        <v>325</v>
      </c>
      <c r="C10" s="104"/>
      <c r="D10" s="104"/>
      <c r="E10" s="104"/>
      <c r="F10" s="98"/>
      <c r="G10" s="98"/>
      <c r="H10" s="98"/>
      <c r="I10" s="98"/>
      <c r="J10" s="98"/>
      <c r="K10" s="98"/>
      <c r="L10" s="98"/>
      <c r="M10" s="98"/>
      <c r="N10" s="98"/>
      <c r="O10" s="98"/>
      <c r="P10" s="99"/>
    </row>
    <row r="11" spans="1:16" ht="14.25" x14ac:dyDescent="0.2">
      <c r="A11" s="97"/>
      <c r="B11" s="105" t="s">
        <v>326</v>
      </c>
      <c r="C11" s="106"/>
      <c r="D11" s="106"/>
      <c r="E11" s="106"/>
      <c r="F11" s="98"/>
      <c r="G11" s="98"/>
      <c r="H11" s="98"/>
      <c r="I11" s="98"/>
      <c r="J11" s="98"/>
      <c r="K11" s="98"/>
      <c r="L11" s="98"/>
      <c r="M11" s="98"/>
      <c r="N11" s="98"/>
      <c r="O11" s="98"/>
      <c r="P11" s="99"/>
    </row>
    <row r="12" spans="1:16" ht="14.25" x14ac:dyDescent="0.2">
      <c r="A12" s="97"/>
      <c r="B12" s="105" t="s">
        <v>327</v>
      </c>
      <c r="C12" s="106"/>
      <c r="D12" s="106"/>
      <c r="E12" s="106"/>
      <c r="F12" s="98"/>
      <c r="G12" s="98"/>
      <c r="H12" s="98"/>
      <c r="I12" s="98"/>
      <c r="J12" s="98"/>
      <c r="K12" s="98"/>
      <c r="L12" s="98"/>
      <c r="M12" s="98"/>
      <c r="N12" s="98"/>
      <c r="O12" s="98"/>
      <c r="P12" s="99"/>
    </row>
    <row r="13" spans="1:16" ht="14.25" x14ac:dyDescent="0.2">
      <c r="A13" s="97"/>
      <c r="B13" s="105"/>
      <c r="C13" s="106"/>
      <c r="D13" s="106"/>
      <c r="E13" s="106"/>
      <c r="F13" s="98"/>
      <c r="G13" s="98"/>
      <c r="H13" s="98"/>
      <c r="I13" s="98"/>
      <c r="J13" s="98"/>
      <c r="K13" s="98"/>
      <c r="L13" s="98"/>
      <c r="M13" s="98"/>
      <c r="N13" s="98"/>
      <c r="O13" s="98"/>
      <c r="P13" s="99"/>
    </row>
    <row r="14" spans="1:16" x14ac:dyDescent="0.2">
      <c r="A14" s="97"/>
      <c r="B14" s="286" t="s">
        <v>355</v>
      </c>
      <c r="C14" s="286"/>
      <c r="D14" s="286"/>
      <c r="E14" s="104"/>
      <c r="F14" s="98"/>
      <c r="G14" s="98"/>
      <c r="H14" s="98"/>
      <c r="I14" s="98"/>
      <c r="J14" s="98"/>
      <c r="K14" s="98"/>
      <c r="L14" s="98"/>
      <c r="M14" s="98"/>
      <c r="N14" s="98"/>
      <c r="O14" s="98"/>
      <c r="P14" s="99"/>
    </row>
    <row r="15" spans="1:16" x14ac:dyDescent="0.2">
      <c r="A15" s="97"/>
      <c r="B15" s="276"/>
      <c r="C15" s="276"/>
      <c r="D15" s="276"/>
      <c r="E15" s="276"/>
      <c r="F15" s="276"/>
      <c r="G15" s="276"/>
      <c r="H15" s="276"/>
      <c r="I15" s="276"/>
      <c r="J15" s="98"/>
      <c r="K15" s="98"/>
      <c r="L15" s="98"/>
      <c r="M15" s="98"/>
      <c r="N15" s="98"/>
      <c r="O15" s="98"/>
      <c r="P15" s="99"/>
    </row>
    <row r="16" spans="1:16" x14ac:dyDescent="0.2">
      <c r="A16" s="97"/>
      <c r="B16" s="104"/>
      <c r="C16" s="104"/>
      <c r="D16" s="104"/>
      <c r="E16" s="104"/>
      <c r="F16" s="98"/>
      <c r="G16" s="98"/>
      <c r="H16" s="98"/>
      <c r="I16" s="98"/>
      <c r="J16" s="98"/>
      <c r="K16" s="98"/>
      <c r="L16" s="98"/>
      <c r="M16" s="98"/>
      <c r="N16" s="98"/>
      <c r="O16" s="98"/>
      <c r="P16" s="99"/>
    </row>
    <row r="17" spans="1:16" x14ac:dyDescent="0.2">
      <c r="A17" s="97"/>
      <c r="B17" s="107" t="s">
        <v>328</v>
      </c>
      <c r="C17" s="104"/>
      <c r="D17" s="104"/>
      <c r="E17" s="104"/>
      <c r="F17" s="98"/>
      <c r="G17" s="98"/>
      <c r="H17" s="98"/>
      <c r="I17" s="98"/>
      <c r="J17" s="98"/>
      <c r="K17" s="98"/>
      <c r="L17" s="98"/>
      <c r="M17" s="98"/>
      <c r="N17" s="98"/>
      <c r="O17" s="98"/>
      <c r="P17" s="99"/>
    </row>
    <row r="18" spans="1:16" x14ac:dyDescent="0.2">
      <c r="A18" s="97"/>
      <c r="B18" s="108" t="s">
        <v>329</v>
      </c>
      <c r="C18" s="104"/>
      <c r="D18" s="104"/>
      <c r="E18" s="104"/>
      <c r="F18" s="98"/>
      <c r="G18" s="98"/>
      <c r="H18" s="98"/>
      <c r="I18" s="98"/>
      <c r="J18" s="98"/>
      <c r="K18" s="98"/>
      <c r="L18" s="98"/>
      <c r="M18" s="98"/>
      <c r="N18" s="98"/>
      <c r="O18" s="98"/>
      <c r="P18" s="99"/>
    </row>
    <row r="19" spans="1:16" x14ac:dyDescent="0.2">
      <c r="A19" s="97"/>
      <c r="B19" s="108" t="s">
        <v>330</v>
      </c>
      <c r="C19" s="104"/>
      <c r="D19" s="104"/>
      <c r="E19" s="104"/>
      <c r="F19" s="98"/>
      <c r="G19" s="98"/>
      <c r="H19" s="98"/>
      <c r="I19" s="98"/>
      <c r="J19" s="98"/>
      <c r="K19" s="98"/>
      <c r="L19" s="98"/>
      <c r="M19" s="98"/>
      <c r="N19" s="98"/>
      <c r="O19" s="98"/>
      <c r="P19" s="99"/>
    </row>
    <row r="20" spans="1:16" x14ac:dyDescent="0.2">
      <c r="A20" s="97"/>
      <c r="B20" s="108" t="s">
        <v>331</v>
      </c>
      <c r="C20" s="104"/>
      <c r="D20" s="104"/>
      <c r="E20" s="104"/>
      <c r="F20" s="98"/>
      <c r="G20" s="98"/>
      <c r="H20" s="98"/>
      <c r="I20" s="98"/>
      <c r="J20" s="98"/>
      <c r="K20" s="98"/>
      <c r="L20" s="98"/>
      <c r="M20" s="98"/>
      <c r="N20" s="98"/>
      <c r="O20" s="98"/>
      <c r="P20" s="99"/>
    </row>
    <row r="21" spans="1:16" x14ac:dyDescent="0.2">
      <c r="A21" s="97"/>
      <c r="B21" s="108" t="s">
        <v>332</v>
      </c>
      <c r="C21" s="104"/>
      <c r="D21" s="104"/>
      <c r="E21" s="104"/>
      <c r="F21" s="98"/>
      <c r="G21" s="98"/>
      <c r="H21" s="98"/>
      <c r="I21" s="98"/>
      <c r="J21" s="98"/>
      <c r="K21" s="98"/>
      <c r="L21" s="98"/>
      <c r="M21" s="98"/>
      <c r="N21" s="98"/>
      <c r="O21" s="98"/>
      <c r="P21" s="99"/>
    </row>
    <row r="22" spans="1:16" x14ac:dyDescent="0.2">
      <c r="A22" s="97"/>
      <c r="B22" s="108" t="s">
        <v>333</v>
      </c>
      <c r="C22" s="104"/>
      <c r="D22" s="104"/>
      <c r="E22" s="104"/>
      <c r="F22" s="98"/>
      <c r="G22" s="98"/>
      <c r="H22" s="98"/>
      <c r="I22" s="98"/>
      <c r="J22" s="98"/>
      <c r="K22" s="98"/>
      <c r="L22" s="98"/>
      <c r="M22" s="98"/>
      <c r="N22" s="98"/>
      <c r="O22" s="98"/>
      <c r="P22" s="99"/>
    </row>
    <row r="23" spans="1:16" x14ac:dyDescent="0.2">
      <c r="A23" s="97"/>
      <c r="B23" s="108" t="s">
        <v>334</v>
      </c>
      <c r="C23" s="104"/>
      <c r="D23" s="104"/>
      <c r="E23" s="104"/>
      <c r="F23" s="98"/>
      <c r="G23" s="98"/>
      <c r="H23" s="98"/>
      <c r="I23" s="98"/>
      <c r="J23" s="98"/>
      <c r="K23" s="98"/>
      <c r="L23" s="98"/>
      <c r="M23" s="98"/>
      <c r="N23" s="98"/>
      <c r="O23" s="98"/>
      <c r="P23" s="99"/>
    </row>
    <row r="24" spans="1:16" x14ac:dyDescent="0.2">
      <c r="A24" s="97"/>
      <c r="B24" s="108" t="s">
        <v>335</v>
      </c>
      <c r="C24" s="104"/>
      <c r="D24" s="104"/>
      <c r="E24" s="104"/>
      <c r="F24" s="98"/>
      <c r="G24" s="98"/>
      <c r="H24" s="98"/>
      <c r="I24" s="98"/>
      <c r="J24" s="98"/>
      <c r="K24" s="98"/>
      <c r="L24" s="98"/>
      <c r="M24" s="98"/>
      <c r="N24" s="98"/>
      <c r="O24" s="98"/>
      <c r="P24" s="99"/>
    </row>
    <row r="25" spans="1:16" x14ac:dyDescent="0.2">
      <c r="A25" s="97"/>
      <c r="B25" s="108"/>
      <c r="C25" s="104"/>
      <c r="D25" s="104"/>
      <c r="E25" s="104"/>
      <c r="F25" s="98"/>
      <c r="G25" s="98"/>
      <c r="H25" s="98"/>
      <c r="I25" s="98"/>
      <c r="J25" s="98"/>
      <c r="K25" s="98"/>
      <c r="L25" s="98"/>
      <c r="M25" s="98"/>
      <c r="N25" s="98"/>
      <c r="O25" s="98"/>
      <c r="P25" s="99"/>
    </row>
    <row r="26" spans="1:16" ht="20.25" x14ac:dyDescent="0.3">
      <c r="A26" s="97"/>
      <c r="B26" s="103" t="s">
        <v>336</v>
      </c>
      <c r="C26" s="98"/>
      <c r="D26" s="98"/>
      <c r="E26" s="98"/>
      <c r="F26" s="98"/>
      <c r="G26" s="98"/>
      <c r="H26" s="98"/>
      <c r="I26" s="98"/>
      <c r="J26" s="98"/>
      <c r="K26" s="98"/>
      <c r="L26" s="98"/>
      <c r="M26" s="98"/>
      <c r="N26" s="98"/>
      <c r="O26" s="98"/>
      <c r="P26" s="99"/>
    </row>
    <row r="27" spans="1:16" x14ac:dyDescent="0.2">
      <c r="A27" s="97"/>
      <c r="B27" s="112" t="s">
        <v>337</v>
      </c>
      <c r="C27" s="98"/>
      <c r="D27" s="98"/>
      <c r="E27" s="98"/>
      <c r="F27" s="98"/>
      <c r="G27" s="98"/>
      <c r="H27" s="98"/>
      <c r="I27" s="98"/>
      <c r="J27" s="98"/>
      <c r="K27" s="98"/>
      <c r="L27" s="98"/>
      <c r="M27" s="98"/>
      <c r="N27" s="98"/>
      <c r="O27" s="98"/>
      <c r="P27" s="99"/>
    </row>
    <row r="28" spans="1:16" x14ac:dyDescent="0.2">
      <c r="A28" s="97"/>
      <c r="B28" s="98" t="s">
        <v>338</v>
      </c>
      <c r="C28" s="98"/>
      <c r="D28" s="98"/>
      <c r="E28" s="98"/>
      <c r="F28" s="98"/>
      <c r="G28" s="98"/>
      <c r="H28" s="98"/>
      <c r="I28" s="98"/>
      <c r="J28" s="98"/>
      <c r="K28" s="98"/>
      <c r="L28" s="98"/>
      <c r="M28" s="98"/>
      <c r="N28" s="98"/>
      <c r="O28" s="98"/>
      <c r="P28" s="99"/>
    </row>
    <row r="29" spans="1:16" x14ac:dyDescent="0.2">
      <c r="A29" s="97"/>
      <c r="B29" s="98"/>
      <c r="C29" s="98"/>
      <c r="D29" s="98"/>
      <c r="E29" s="98"/>
      <c r="F29" s="98"/>
      <c r="G29" s="98"/>
      <c r="H29" s="98"/>
      <c r="I29" s="98"/>
      <c r="J29" s="98"/>
      <c r="K29" s="98"/>
      <c r="L29" s="98"/>
      <c r="M29" s="98"/>
      <c r="N29" s="98"/>
      <c r="O29" s="98"/>
      <c r="P29" s="99"/>
    </row>
    <row r="30" spans="1:16" x14ac:dyDescent="0.2">
      <c r="A30" s="97"/>
      <c r="B30" s="112" t="s">
        <v>339</v>
      </c>
      <c r="C30" s="98"/>
      <c r="D30" s="98"/>
      <c r="E30" s="98"/>
      <c r="F30" s="98"/>
      <c r="G30" s="98"/>
      <c r="H30" s="98"/>
      <c r="I30" s="98"/>
      <c r="J30" s="98"/>
      <c r="K30" s="98"/>
      <c r="L30" s="98"/>
      <c r="M30" s="98"/>
      <c r="N30" s="98"/>
      <c r="O30" s="98"/>
      <c r="P30" s="99"/>
    </row>
    <row r="31" spans="1:16" x14ac:dyDescent="0.2">
      <c r="A31" s="97"/>
      <c r="B31" s="98"/>
      <c r="C31" s="98"/>
      <c r="D31" s="98"/>
      <c r="E31" s="98"/>
      <c r="F31" s="98"/>
      <c r="G31" s="98"/>
      <c r="H31" s="98"/>
      <c r="I31" s="98"/>
      <c r="J31" s="98"/>
      <c r="K31" s="98"/>
      <c r="L31" s="98"/>
      <c r="M31" s="98"/>
      <c r="N31" s="98"/>
      <c r="O31" s="98"/>
      <c r="P31" s="99"/>
    </row>
    <row r="32" spans="1:16" x14ac:dyDescent="0.2">
      <c r="A32" s="97"/>
      <c r="B32" s="98" t="s">
        <v>340</v>
      </c>
      <c r="C32" s="98"/>
      <c r="D32" s="98"/>
      <c r="E32" s="98"/>
      <c r="F32" s="98"/>
      <c r="G32" s="98"/>
      <c r="H32" s="98"/>
      <c r="I32" s="98"/>
      <c r="J32" s="98"/>
      <c r="K32" s="98"/>
      <c r="L32" s="98"/>
      <c r="M32" s="98"/>
      <c r="N32" s="98"/>
      <c r="O32" s="98"/>
      <c r="P32" s="99"/>
    </row>
    <row r="33" spans="1:16" ht="13.5" thickBot="1" x14ac:dyDescent="0.25">
      <c r="A33" s="97"/>
      <c r="B33" s="112"/>
      <c r="C33" s="98"/>
      <c r="D33" s="98"/>
      <c r="E33" s="98"/>
      <c r="F33" s="98"/>
      <c r="G33" s="98"/>
      <c r="H33" s="98"/>
      <c r="I33" s="98"/>
      <c r="J33" s="98"/>
      <c r="K33" s="98"/>
      <c r="L33" s="98"/>
      <c r="M33" s="98"/>
      <c r="N33" s="98"/>
      <c r="O33" s="98"/>
      <c r="P33" s="99"/>
    </row>
    <row r="34" spans="1:16" x14ac:dyDescent="0.2">
      <c r="A34" s="97"/>
      <c r="B34" s="277" t="s">
        <v>354</v>
      </c>
      <c r="C34" s="278"/>
      <c r="D34" s="278"/>
      <c r="E34" s="278"/>
      <c r="F34" s="278"/>
      <c r="G34" s="278"/>
      <c r="H34" s="278"/>
      <c r="I34" s="278"/>
      <c r="J34" s="278"/>
      <c r="K34" s="278"/>
      <c r="L34" s="278"/>
      <c r="M34" s="279"/>
      <c r="N34" s="98"/>
      <c r="O34" s="98"/>
      <c r="P34" s="99"/>
    </row>
    <row r="35" spans="1:16" x14ac:dyDescent="0.2">
      <c r="A35" s="97"/>
      <c r="B35" s="280"/>
      <c r="C35" s="281"/>
      <c r="D35" s="281"/>
      <c r="E35" s="281"/>
      <c r="F35" s="281"/>
      <c r="G35" s="281"/>
      <c r="H35" s="281"/>
      <c r="I35" s="281"/>
      <c r="J35" s="281"/>
      <c r="K35" s="281"/>
      <c r="L35" s="281"/>
      <c r="M35" s="282"/>
      <c r="N35" s="98"/>
      <c r="O35" s="98"/>
      <c r="P35" s="99"/>
    </row>
    <row r="36" spans="1:16" x14ac:dyDescent="0.2">
      <c r="A36" s="97"/>
      <c r="B36" s="280"/>
      <c r="C36" s="281"/>
      <c r="D36" s="281"/>
      <c r="E36" s="281"/>
      <c r="F36" s="281"/>
      <c r="G36" s="281"/>
      <c r="H36" s="281"/>
      <c r="I36" s="281"/>
      <c r="J36" s="281"/>
      <c r="K36" s="281"/>
      <c r="L36" s="281"/>
      <c r="M36" s="282"/>
      <c r="N36" s="98"/>
      <c r="O36" s="98"/>
      <c r="P36" s="99"/>
    </row>
    <row r="37" spans="1:16" x14ac:dyDescent="0.2">
      <c r="A37" s="97"/>
      <c r="B37" s="280"/>
      <c r="C37" s="281"/>
      <c r="D37" s="281"/>
      <c r="E37" s="281"/>
      <c r="F37" s="281"/>
      <c r="G37" s="281"/>
      <c r="H37" s="281"/>
      <c r="I37" s="281"/>
      <c r="J37" s="281"/>
      <c r="K37" s="281"/>
      <c r="L37" s="281"/>
      <c r="M37" s="282"/>
      <c r="N37" s="98"/>
      <c r="O37" s="98"/>
      <c r="P37" s="99"/>
    </row>
    <row r="38" spans="1:16" x14ac:dyDescent="0.2">
      <c r="A38" s="97"/>
      <c r="B38" s="280"/>
      <c r="C38" s="281"/>
      <c r="D38" s="281"/>
      <c r="E38" s="281"/>
      <c r="F38" s="281"/>
      <c r="G38" s="281"/>
      <c r="H38" s="281"/>
      <c r="I38" s="281"/>
      <c r="J38" s="281"/>
      <c r="K38" s="281"/>
      <c r="L38" s="281"/>
      <c r="M38" s="282"/>
      <c r="N38" s="98"/>
      <c r="O38" s="98"/>
      <c r="P38" s="99"/>
    </row>
    <row r="39" spans="1:16" x14ac:dyDescent="0.2">
      <c r="A39" s="97"/>
      <c r="B39" s="280"/>
      <c r="C39" s="281"/>
      <c r="D39" s="281"/>
      <c r="E39" s="281"/>
      <c r="F39" s="281"/>
      <c r="G39" s="281"/>
      <c r="H39" s="281"/>
      <c r="I39" s="281"/>
      <c r="J39" s="281"/>
      <c r="K39" s="281"/>
      <c r="L39" s="281"/>
      <c r="M39" s="282"/>
      <c r="N39" s="98"/>
      <c r="O39" s="98"/>
      <c r="P39" s="99"/>
    </row>
    <row r="40" spans="1:16" x14ac:dyDescent="0.2">
      <c r="A40" s="97"/>
      <c r="B40" s="280"/>
      <c r="C40" s="281"/>
      <c r="D40" s="281"/>
      <c r="E40" s="281"/>
      <c r="F40" s="281"/>
      <c r="G40" s="281"/>
      <c r="H40" s="281"/>
      <c r="I40" s="281"/>
      <c r="J40" s="281"/>
      <c r="K40" s="281"/>
      <c r="L40" s="281"/>
      <c r="M40" s="282"/>
      <c r="N40" s="98"/>
      <c r="O40" s="98"/>
      <c r="P40" s="99"/>
    </row>
    <row r="41" spans="1:16" x14ac:dyDescent="0.2">
      <c r="A41" s="97"/>
      <c r="B41" s="280"/>
      <c r="C41" s="281"/>
      <c r="D41" s="281"/>
      <c r="E41" s="281"/>
      <c r="F41" s="281"/>
      <c r="G41" s="281"/>
      <c r="H41" s="281"/>
      <c r="I41" s="281"/>
      <c r="J41" s="281"/>
      <c r="K41" s="281"/>
      <c r="L41" s="281"/>
      <c r="M41" s="282"/>
      <c r="N41" s="98"/>
      <c r="O41" s="98"/>
      <c r="P41" s="99"/>
    </row>
    <row r="42" spans="1:16" x14ac:dyDescent="0.2">
      <c r="A42" s="97"/>
      <c r="B42" s="280"/>
      <c r="C42" s="281"/>
      <c r="D42" s="281"/>
      <c r="E42" s="281"/>
      <c r="F42" s="281"/>
      <c r="G42" s="281"/>
      <c r="H42" s="281"/>
      <c r="I42" s="281"/>
      <c r="J42" s="281"/>
      <c r="K42" s="281"/>
      <c r="L42" s="281"/>
      <c r="M42" s="282"/>
      <c r="N42" s="98"/>
      <c r="O42" s="98"/>
      <c r="P42" s="99"/>
    </row>
    <row r="43" spans="1:16" x14ac:dyDescent="0.2">
      <c r="A43" s="97"/>
      <c r="B43" s="280"/>
      <c r="C43" s="281"/>
      <c r="D43" s="281"/>
      <c r="E43" s="281"/>
      <c r="F43" s="281"/>
      <c r="G43" s="281"/>
      <c r="H43" s="281"/>
      <c r="I43" s="281"/>
      <c r="J43" s="281"/>
      <c r="K43" s="281"/>
      <c r="L43" s="281"/>
      <c r="M43" s="282"/>
      <c r="N43" s="98"/>
      <c r="O43" s="98"/>
      <c r="P43" s="99"/>
    </row>
    <row r="44" spans="1:16" x14ac:dyDescent="0.2">
      <c r="A44" s="97"/>
      <c r="B44" s="280"/>
      <c r="C44" s="281"/>
      <c r="D44" s="281"/>
      <c r="E44" s="281"/>
      <c r="F44" s="281"/>
      <c r="G44" s="281"/>
      <c r="H44" s="281"/>
      <c r="I44" s="281"/>
      <c r="J44" s="281"/>
      <c r="K44" s="281"/>
      <c r="L44" s="281"/>
      <c r="M44" s="282"/>
      <c r="N44" s="98"/>
      <c r="O44" s="98"/>
      <c r="P44" s="99"/>
    </row>
    <row r="45" spans="1:16" x14ac:dyDescent="0.2">
      <c r="A45" s="97"/>
      <c r="B45" s="280"/>
      <c r="C45" s="281"/>
      <c r="D45" s="281"/>
      <c r="E45" s="281"/>
      <c r="F45" s="281"/>
      <c r="G45" s="281"/>
      <c r="H45" s="281"/>
      <c r="I45" s="281"/>
      <c r="J45" s="281"/>
      <c r="K45" s="281"/>
      <c r="L45" s="281"/>
      <c r="M45" s="282"/>
      <c r="N45" s="98"/>
      <c r="O45" s="98"/>
      <c r="P45" s="99"/>
    </row>
    <row r="46" spans="1:16" x14ac:dyDescent="0.2">
      <c r="A46" s="97"/>
      <c r="B46" s="280"/>
      <c r="C46" s="281"/>
      <c r="D46" s="281"/>
      <c r="E46" s="281"/>
      <c r="F46" s="281"/>
      <c r="G46" s="281"/>
      <c r="H46" s="281"/>
      <c r="I46" s="281"/>
      <c r="J46" s="281"/>
      <c r="K46" s="281"/>
      <c r="L46" s="281"/>
      <c r="M46" s="282"/>
      <c r="N46" s="98"/>
      <c r="O46" s="98"/>
      <c r="P46" s="99"/>
    </row>
    <row r="47" spans="1:16" x14ac:dyDescent="0.2">
      <c r="A47" s="97"/>
      <c r="B47" s="280"/>
      <c r="C47" s="281"/>
      <c r="D47" s="281"/>
      <c r="E47" s="281"/>
      <c r="F47" s="281"/>
      <c r="G47" s="281"/>
      <c r="H47" s="281"/>
      <c r="I47" s="281"/>
      <c r="J47" s="281"/>
      <c r="K47" s="281"/>
      <c r="L47" s="281"/>
      <c r="M47" s="282"/>
      <c r="N47" s="98"/>
      <c r="O47" s="98"/>
      <c r="P47" s="99"/>
    </row>
    <row r="48" spans="1:16" x14ac:dyDescent="0.2">
      <c r="A48" s="97"/>
      <c r="B48" s="280"/>
      <c r="C48" s="281"/>
      <c r="D48" s="281"/>
      <c r="E48" s="281"/>
      <c r="F48" s="281"/>
      <c r="G48" s="281"/>
      <c r="H48" s="281"/>
      <c r="I48" s="281"/>
      <c r="J48" s="281"/>
      <c r="K48" s="281"/>
      <c r="L48" s="281"/>
      <c r="M48" s="282"/>
      <c r="N48" s="98"/>
      <c r="O48" s="98"/>
      <c r="P48" s="99"/>
    </row>
    <row r="49" spans="1:16" x14ac:dyDescent="0.2">
      <c r="A49" s="97"/>
      <c r="B49" s="280"/>
      <c r="C49" s="281"/>
      <c r="D49" s="281"/>
      <c r="E49" s="281"/>
      <c r="F49" s="281"/>
      <c r="G49" s="281"/>
      <c r="H49" s="281"/>
      <c r="I49" s="281"/>
      <c r="J49" s="281"/>
      <c r="K49" s="281"/>
      <c r="L49" s="281"/>
      <c r="M49" s="282"/>
      <c r="N49" s="98"/>
      <c r="O49" s="98"/>
      <c r="P49" s="99"/>
    </row>
    <row r="50" spans="1:16" x14ac:dyDescent="0.2">
      <c r="A50" s="97"/>
      <c r="B50" s="280"/>
      <c r="C50" s="281"/>
      <c r="D50" s="281"/>
      <c r="E50" s="281"/>
      <c r="F50" s="281"/>
      <c r="G50" s="281"/>
      <c r="H50" s="281"/>
      <c r="I50" s="281"/>
      <c r="J50" s="281"/>
      <c r="K50" s="281"/>
      <c r="L50" s="281"/>
      <c r="M50" s="282"/>
      <c r="N50" s="98"/>
      <c r="O50" s="98"/>
      <c r="P50" s="99"/>
    </row>
    <row r="51" spans="1:16" x14ac:dyDescent="0.2">
      <c r="A51" s="97"/>
      <c r="B51" s="280"/>
      <c r="C51" s="281"/>
      <c r="D51" s="281"/>
      <c r="E51" s="281"/>
      <c r="F51" s="281"/>
      <c r="G51" s="281"/>
      <c r="H51" s="281"/>
      <c r="I51" s="281"/>
      <c r="J51" s="281"/>
      <c r="K51" s="281"/>
      <c r="L51" s="281"/>
      <c r="M51" s="282"/>
      <c r="N51" s="98"/>
      <c r="O51" s="98"/>
      <c r="P51" s="99"/>
    </row>
    <row r="52" spans="1:16" x14ac:dyDescent="0.2">
      <c r="A52" s="97"/>
      <c r="B52" s="280"/>
      <c r="C52" s="281"/>
      <c r="D52" s="281"/>
      <c r="E52" s="281"/>
      <c r="F52" s="281"/>
      <c r="G52" s="281"/>
      <c r="H52" s="281"/>
      <c r="I52" s="281"/>
      <c r="J52" s="281"/>
      <c r="K52" s="281"/>
      <c r="L52" s="281"/>
      <c r="M52" s="282"/>
      <c r="N52" s="98"/>
      <c r="O52" s="98"/>
      <c r="P52" s="99"/>
    </row>
    <row r="53" spans="1:16" x14ac:dyDescent="0.2">
      <c r="A53" s="97"/>
      <c r="B53" s="280"/>
      <c r="C53" s="281"/>
      <c r="D53" s="281"/>
      <c r="E53" s="281"/>
      <c r="F53" s="281"/>
      <c r="G53" s="281"/>
      <c r="H53" s="281"/>
      <c r="I53" s="281"/>
      <c r="J53" s="281"/>
      <c r="K53" s="281"/>
      <c r="L53" s="281"/>
      <c r="M53" s="282"/>
      <c r="N53" s="98"/>
      <c r="O53" s="98"/>
      <c r="P53" s="99"/>
    </row>
    <row r="54" spans="1:16" x14ac:dyDescent="0.2">
      <c r="A54" s="97"/>
      <c r="B54" s="280"/>
      <c r="C54" s="281"/>
      <c r="D54" s="281"/>
      <c r="E54" s="281"/>
      <c r="F54" s="281"/>
      <c r="G54" s="281"/>
      <c r="H54" s="281"/>
      <c r="I54" s="281"/>
      <c r="J54" s="281"/>
      <c r="K54" s="281"/>
      <c r="L54" s="281"/>
      <c r="M54" s="282"/>
      <c r="N54" s="98"/>
      <c r="O54" s="98"/>
      <c r="P54" s="99"/>
    </row>
    <row r="55" spans="1:16" x14ac:dyDescent="0.2">
      <c r="A55" s="97"/>
      <c r="B55" s="280"/>
      <c r="C55" s="281"/>
      <c r="D55" s="281"/>
      <c r="E55" s="281"/>
      <c r="F55" s="281"/>
      <c r="G55" s="281"/>
      <c r="H55" s="281"/>
      <c r="I55" s="281"/>
      <c r="J55" s="281"/>
      <c r="K55" s="281"/>
      <c r="L55" s="281"/>
      <c r="M55" s="282"/>
      <c r="N55" s="98"/>
      <c r="O55" s="98"/>
      <c r="P55" s="99"/>
    </row>
    <row r="56" spans="1:16" x14ac:dyDescent="0.2">
      <c r="A56" s="97"/>
      <c r="B56" s="280"/>
      <c r="C56" s="281"/>
      <c r="D56" s="281"/>
      <c r="E56" s="281"/>
      <c r="F56" s="281"/>
      <c r="G56" s="281"/>
      <c r="H56" s="281"/>
      <c r="I56" s="281"/>
      <c r="J56" s="281"/>
      <c r="K56" s="281"/>
      <c r="L56" s="281"/>
      <c r="M56" s="282"/>
      <c r="N56" s="98"/>
      <c r="O56" s="98"/>
      <c r="P56" s="99"/>
    </row>
    <row r="57" spans="1:16" x14ac:dyDescent="0.2">
      <c r="A57" s="97"/>
      <c r="B57" s="280"/>
      <c r="C57" s="281"/>
      <c r="D57" s="281"/>
      <c r="E57" s="281"/>
      <c r="F57" s="281"/>
      <c r="G57" s="281"/>
      <c r="H57" s="281"/>
      <c r="I57" s="281"/>
      <c r="J57" s="281"/>
      <c r="K57" s="281"/>
      <c r="L57" s="281"/>
      <c r="M57" s="282"/>
      <c r="N57" s="98"/>
      <c r="O57" s="98"/>
      <c r="P57" s="99"/>
    </row>
    <row r="58" spans="1:16" x14ac:dyDescent="0.2">
      <c r="A58" s="97"/>
      <c r="B58" s="280"/>
      <c r="C58" s="281"/>
      <c r="D58" s="281"/>
      <c r="E58" s="281"/>
      <c r="F58" s="281"/>
      <c r="G58" s="281"/>
      <c r="H58" s="281"/>
      <c r="I58" s="281"/>
      <c r="J58" s="281"/>
      <c r="K58" s="281"/>
      <c r="L58" s="281"/>
      <c r="M58" s="282"/>
      <c r="N58" s="98"/>
      <c r="O58" s="98"/>
      <c r="P58" s="99"/>
    </row>
    <row r="59" spans="1:16" x14ac:dyDescent="0.2">
      <c r="A59" s="97"/>
      <c r="B59" s="280"/>
      <c r="C59" s="281"/>
      <c r="D59" s="281"/>
      <c r="E59" s="281"/>
      <c r="F59" s="281"/>
      <c r="G59" s="281"/>
      <c r="H59" s="281"/>
      <c r="I59" s="281"/>
      <c r="J59" s="281"/>
      <c r="K59" s="281"/>
      <c r="L59" s="281"/>
      <c r="M59" s="282"/>
      <c r="N59" s="98"/>
      <c r="O59" s="98"/>
      <c r="P59" s="99"/>
    </row>
    <row r="60" spans="1:16" x14ac:dyDescent="0.2">
      <c r="A60" s="97"/>
      <c r="B60" s="280"/>
      <c r="C60" s="281"/>
      <c r="D60" s="281"/>
      <c r="E60" s="281"/>
      <c r="F60" s="281"/>
      <c r="G60" s="281"/>
      <c r="H60" s="281"/>
      <c r="I60" s="281"/>
      <c r="J60" s="281"/>
      <c r="K60" s="281"/>
      <c r="L60" s="281"/>
      <c r="M60" s="282"/>
      <c r="N60" s="98"/>
      <c r="O60" s="98"/>
      <c r="P60" s="99"/>
    </row>
    <row r="61" spans="1:16" x14ac:dyDescent="0.2">
      <c r="A61" s="97"/>
      <c r="B61" s="280"/>
      <c r="C61" s="281"/>
      <c r="D61" s="281"/>
      <c r="E61" s="281"/>
      <c r="F61" s="281"/>
      <c r="G61" s="281"/>
      <c r="H61" s="281"/>
      <c r="I61" s="281"/>
      <c r="J61" s="281"/>
      <c r="K61" s="281"/>
      <c r="L61" s="281"/>
      <c r="M61" s="282"/>
      <c r="N61" s="98"/>
      <c r="O61" s="98"/>
      <c r="P61" s="99"/>
    </row>
    <row r="62" spans="1:16" x14ac:dyDescent="0.2">
      <c r="A62" s="97"/>
      <c r="B62" s="280"/>
      <c r="C62" s="281"/>
      <c r="D62" s="281"/>
      <c r="E62" s="281"/>
      <c r="F62" s="281"/>
      <c r="G62" s="281"/>
      <c r="H62" s="281"/>
      <c r="I62" s="281"/>
      <c r="J62" s="281"/>
      <c r="K62" s="281"/>
      <c r="L62" s="281"/>
      <c r="M62" s="282"/>
      <c r="N62" s="98"/>
      <c r="O62" s="98"/>
      <c r="P62" s="99"/>
    </row>
    <row r="63" spans="1:16" x14ac:dyDescent="0.2">
      <c r="A63" s="97"/>
      <c r="B63" s="280"/>
      <c r="C63" s="281"/>
      <c r="D63" s="281"/>
      <c r="E63" s="281"/>
      <c r="F63" s="281"/>
      <c r="G63" s="281"/>
      <c r="H63" s="281"/>
      <c r="I63" s="281"/>
      <c r="J63" s="281"/>
      <c r="K63" s="281"/>
      <c r="L63" s="281"/>
      <c r="M63" s="282"/>
      <c r="N63" s="98"/>
      <c r="O63" s="98"/>
      <c r="P63" s="99"/>
    </row>
    <row r="64" spans="1:16" x14ac:dyDescent="0.2">
      <c r="A64" s="97"/>
      <c r="B64" s="280"/>
      <c r="C64" s="281"/>
      <c r="D64" s="281"/>
      <c r="E64" s="281"/>
      <c r="F64" s="281"/>
      <c r="G64" s="281"/>
      <c r="H64" s="281"/>
      <c r="I64" s="281"/>
      <c r="J64" s="281"/>
      <c r="K64" s="281"/>
      <c r="L64" s="281"/>
      <c r="M64" s="282"/>
      <c r="N64" s="98"/>
      <c r="O64" s="98"/>
      <c r="P64" s="99"/>
    </row>
    <row r="65" spans="1:16" x14ac:dyDescent="0.2">
      <c r="A65" s="97"/>
      <c r="B65" s="280"/>
      <c r="C65" s="281"/>
      <c r="D65" s="281"/>
      <c r="E65" s="281"/>
      <c r="F65" s="281"/>
      <c r="G65" s="281"/>
      <c r="H65" s="281"/>
      <c r="I65" s="281"/>
      <c r="J65" s="281"/>
      <c r="K65" s="281"/>
      <c r="L65" s="281"/>
      <c r="M65" s="282"/>
      <c r="N65" s="98"/>
      <c r="O65" s="98"/>
      <c r="P65" s="99"/>
    </row>
    <row r="66" spans="1:16" x14ac:dyDescent="0.2">
      <c r="A66" s="97"/>
      <c r="B66" s="280"/>
      <c r="C66" s="281"/>
      <c r="D66" s="281"/>
      <c r="E66" s="281"/>
      <c r="F66" s="281"/>
      <c r="G66" s="281"/>
      <c r="H66" s="281"/>
      <c r="I66" s="281"/>
      <c r="J66" s="281"/>
      <c r="K66" s="281"/>
      <c r="L66" s="281"/>
      <c r="M66" s="282"/>
      <c r="N66" s="98"/>
      <c r="O66" s="98"/>
      <c r="P66" s="99"/>
    </row>
    <row r="67" spans="1:16" x14ac:dyDescent="0.2">
      <c r="A67" s="97"/>
      <c r="B67" s="280"/>
      <c r="C67" s="281"/>
      <c r="D67" s="281"/>
      <c r="E67" s="281"/>
      <c r="F67" s="281"/>
      <c r="G67" s="281"/>
      <c r="H67" s="281"/>
      <c r="I67" s="281"/>
      <c r="J67" s="281"/>
      <c r="K67" s="281"/>
      <c r="L67" s="281"/>
      <c r="M67" s="282"/>
      <c r="N67" s="98"/>
      <c r="O67" s="98"/>
      <c r="P67" s="99"/>
    </row>
    <row r="68" spans="1:16" x14ac:dyDescent="0.2">
      <c r="A68" s="97"/>
      <c r="B68" s="280"/>
      <c r="C68" s="281"/>
      <c r="D68" s="281"/>
      <c r="E68" s="281"/>
      <c r="F68" s="281"/>
      <c r="G68" s="281"/>
      <c r="H68" s="281"/>
      <c r="I68" s="281"/>
      <c r="J68" s="281"/>
      <c r="K68" s="281"/>
      <c r="L68" s="281"/>
      <c r="M68" s="282"/>
      <c r="N68" s="98"/>
      <c r="O68" s="98"/>
      <c r="P68" s="99"/>
    </row>
    <row r="69" spans="1:16" x14ac:dyDescent="0.2">
      <c r="A69" s="97"/>
      <c r="B69" s="280"/>
      <c r="C69" s="281"/>
      <c r="D69" s="281"/>
      <c r="E69" s="281"/>
      <c r="F69" s="281"/>
      <c r="G69" s="281"/>
      <c r="H69" s="281"/>
      <c r="I69" s="281"/>
      <c r="J69" s="281"/>
      <c r="K69" s="281"/>
      <c r="L69" s="281"/>
      <c r="M69" s="282"/>
      <c r="N69" s="98"/>
      <c r="O69" s="98"/>
      <c r="P69" s="99"/>
    </row>
    <row r="70" spans="1:16" x14ac:dyDescent="0.2">
      <c r="A70" s="97"/>
      <c r="B70" s="280"/>
      <c r="C70" s="281"/>
      <c r="D70" s="281"/>
      <c r="E70" s="281"/>
      <c r="F70" s="281"/>
      <c r="G70" s="281"/>
      <c r="H70" s="281"/>
      <c r="I70" s="281"/>
      <c r="J70" s="281"/>
      <c r="K70" s="281"/>
      <c r="L70" s="281"/>
      <c r="M70" s="282"/>
      <c r="N70" s="98"/>
      <c r="O70" s="98"/>
      <c r="P70" s="99"/>
    </row>
    <row r="71" spans="1:16" x14ac:dyDescent="0.2">
      <c r="A71" s="97"/>
      <c r="B71" s="280"/>
      <c r="C71" s="281"/>
      <c r="D71" s="281"/>
      <c r="E71" s="281"/>
      <c r="F71" s="281"/>
      <c r="G71" s="281"/>
      <c r="H71" s="281"/>
      <c r="I71" s="281"/>
      <c r="J71" s="281"/>
      <c r="K71" s="281"/>
      <c r="L71" s="281"/>
      <c r="M71" s="282"/>
      <c r="N71" s="98"/>
      <c r="O71" s="98"/>
      <c r="P71" s="99"/>
    </row>
    <row r="72" spans="1:16" x14ac:dyDescent="0.2">
      <c r="A72" s="97"/>
      <c r="B72" s="280"/>
      <c r="C72" s="281"/>
      <c r="D72" s="281"/>
      <c r="E72" s="281"/>
      <c r="F72" s="281"/>
      <c r="G72" s="281"/>
      <c r="H72" s="281"/>
      <c r="I72" s="281"/>
      <c r="J72" s="281"/>
      <c r="K72" s="281"/>
      <c r="L72" s="281"/>
      <c r="M72" s="282"/>
      <c r="N72" s="98"/>
      <c r="O72" s="98"/>
      <c r="P72" s="99"/>
    </row>
    <row r="73" spans="1:16" x14ac:dyDescent="0.2">
      <c r="A73" s="97"/>
      <c r="B73" s="280"/>
      <c r="C73" s="281"/>
      <c r="D73" s="281"/>
      <c r="E73" s="281"/>
      <c r="F73" s="281"/>
      <c r="G73" s="281"/>
      <c r="H73" s="281"/>
      <c r="I73" s="281"/>
      <c r="J73" s="281"/>
      <c r="K73" s="281"/>
      <c r="L73" s="281"/>
      <c r="M73" s="282"/>
      <c r="N73" s="98"/>
      <c r="O73" s="98"/>
      <c r="P73" s="99"/>
    </row>
    <row r="74" spans="1:16" x14ac:dyDescent="0.2">
      <c r="A74" s="97"/>
      <c r="B74" s="280"/>
      <c r="C74" s="281"/>
      <c r="D74" s="281"/>
      <c r="E74" s="281"/>
      <c r="F74" s="281"/>
      <c r="G74" s="281"/>
      <c r="H74" s="281"/>
      <c r="I74" s="281"/>
      <c r="J74" s="281"/>
      <c r="K74" s="281"/>
      <c r="L74" s="281"/>
      <c r="M74" s="282"/>
      <c r="N74" s="98"/>
      <c r="O74" s="98"/>
      <c r="P74" s="99"/>
    </row>
    <row r="75" spans="1:16" x14ac:dyDescent="0.2">
      <c r="A75" s="97"/>
      <c r="B75" s="280"/>
      <c r="C75" s="281"/>
      <c r="D75" s="281"/>
      <c r="E75" s="281"/>
      <c r="F75" s="281"/>
      <c r="G75" s="281"/>
      <c r="H75" s="281"/>
      <c r="I75" s="281"/>
      <c r="J75" s="281"/>
      <c r="K75" s="281"/>
      <c r="L75" s="281"/>
      <c r="M75" s="282"/>
      <c r="N75" s="98"/>
      <c r="O75" s="98"/>
      <c r="P75" s="99"/>
    </row>
    <row r="76" spans="1:16" x14ac:dyDescent="0.2">
      <c r="A76" s="97"/>
      <c r="B76" s="280"/>
      <c r="C76" s="281"/>
      <c r="D76" s="281"/>
      <c r="E76" s="281"/>
      <c r="F76" s="281"/>
      <c r="G76" s="281"/>
      <c r="H76" s="281"/>
      <c r="I76" s="281"/>
      <c r="J76" s="281"/>
      <c r="K76" s="281"/>
      <c r="L76" s="281"/>
      <c r="M76" s="282"/>
      <c r="N76" s="98"/>
      <c r="O76" s="98"/>
      <c r="P76" s="99"/>
    </row>
    <row r="77" spans="1:16" x14ac:dyDescent="0.2">
      <c r="A77" s="97"/>
      <c r="B77" s="280"/>
      <c r="C77" s="281"/>
      <c r="D77" s="281"/>
      <c r="E77" s="281"/>
      <c r="F77" s="281"/>
      <c r="G77" s="281"/>
      <c r="H77" s="281"/>
      <c r="I77" s="281"/>
      <c r="J77" s="281"/>
      <c r="K77" s="281"/>
      <c r="L77" s="281"/>
      <c r="M77" s="282"/>
      <c r="N77" s="98"/>
      <c r="O77" s="98"/>
      <c r="P77" s="99"/>
    </row>
    <row r="78" spans="1:16" x14ac:dyDescent="0.2">
      <c r="A78" s="97"/>
      <c r="B78" s="280"/>
      <c r="C78" s="281"/>
      <c r="D78" s="281"/>
      <c r="E78" s="281"/>
      <c r="F78" s="281"/>
      <c r="G78" s="281"/>
      <c r="H78" s="281"/>
      <c r="I78" s="281"/>
      <c r="J78" s="281"/>
      <c r="K78" s="281"/>
      <c r="L78" s="281"/>
      <c r="M78" s="282"/>
      <c r="N78" s="98"/>
      <c r="O78" s="98"/>
      <c r="P78" s="99"/>
    </row>
    <row r="79" spans="1:16" x14ac:dyDescent="0.2">
      <c r="A79" s="97"/>
      <c r="B79" s="280"/>
      <c r="C79" s="281"/>
      <c r="D79" s="281"/>
      <c r="E79" s="281"/>
      <c r="F79" s="281"/>
      <c r="G79" s="281"/>
      <c r="H79" s="281"/>
      <c r="I79" s="281"/>
      <c r="J79" s="281"/>
      <c r="K79" s="281"/>
      <c r="L79" s="281"/>
      <c r="M79" s="282"/>
      <c r="N79" s="98"/>
      <c r="O79" s="98"/>
      <c r="P79" s="99"/>
    </row>
    <row r="80" spans="1:16" x14ac:dyDescent="0.2">
      <c r="A80" s="97"/>
      <c r="B80" s="280"/>
      <c r="C80" s="281"/>
      <c r="D80" s="281"/>
      <c r="E80" s="281"/>
      <c r="F80" s="281"/>
      <c r="G80" s="281"/>
      <c r="H80" s="281"/>
      <c r="I80" s="281"/>
      <c r="J80" s="281"/>
      <c r="K80" s="281"/>
      <c r="L80" s="281"/>
      <c r="M80" s="282"/>
      <c r="N80" s="98"/>
      <c r="O80" s="98"/>
      <c r="P80" s="99"/>
    </row>
    <row r="81" spans="1:16" x14ac:dyDescent="0.2">
      <c r="A81" s="97"/>
      <c r="B81" s="280"/>
      <c r="C81" s="281"/>
      <c r="D81" s="281"/>
      <c r="E81" s="281"/>
      <c r="F81" s="281"/>
      <c r="G81" s="281"/>
      <c r="H81" s="281"/>
      <c r="I81" s="281"/>
      <c r="J81" s="281"/>
      <c r="K81" s="281"/>
      <c r="L81" s="281"/>
      <c r="M81" s="282"/>
      <c r="N81" s="98"/>
      <c r="O81" s="98"/>
      <c r="P81" s="99"/>
    </row>
    <row r="82" spans="1:16" x14ac:dyDescent="0.2">
      <c r="A82" s="97"/>
      <c r="B82" s="280"/>
      <c r="C82" s="281"/>
      <c r="D82" s="281"/>
      <c r="E82" s="281"/>
      <c r="F82" s="281"/>
      <c r="G82" s="281"/>
      <c r="H82" s="281"/>
      <c r="I82" s="281"/>
      <c r="J82" s="281"/>
      <c r="K82" s="281"/>
      <c r="L82" s="281"/>
      <c r="M82" s="282"/>
      <c r="N82" s="98"/>
      <c r="O82" s="98"/>
      <c r="P82" s="99"/>
    </row>
    <row r="83" spans="1:16" x14ac:dyDescent="0.2">
      <c r="A83" s="97"/>
      <c r="B83" s="280"/>
      <c r="C83" s="281"/>
      <c r="D83" s="281"/>
      <c r="E83" s="281"/>
      <c r="F83" s="281"/>
      <c r="G83" s="281"/>
      <c r="H83" s="281"/>
      <c r="I83" s="281"/>
      <c r="J83" s="281"/>
      <c r="K83" s="281"/>
      <c r="L83" s="281"/>
      <c r="M83" s="282"/>
      <c r="N83" s="98"/>
      <c r="O83" s="98"/>
      <c r="P83" s="99"/>
    </row>
    <row r="84" spans="1:16" x14ac:dyDescent="0.2">
      <c r="A84" s="97"/>
      <c r="B84" s="280"/>
      <c r="C84" s="281"/>
      <c r="D84" s="281"/>
      <c r="E84" s="281"/>
      <c r="F84" s="281"/>
      <c r="G84" s="281"/>
      <c r="H84" s="281"/>
      <c r="I84" s="281"/>
      <c r="J84" s="281"/>
      <c r="K84" s="281"/>
      <c r="L84" s="281"/>
      <c r="M84" s="282"/>
      <c r="N84" s="98"/>
      <c r="O84" s="98"/>
      <c r="P84" s="99"/>
    </row>
    <row r="85" spans="1:16" x14ac:dyDescent="0.2">
      <c r="A85" s="97"/>
      <c r="B85" s="280"/>
      <c r="C85" s="281"/>
      <c r="D85" s="281"/>
      <c r="E85" s="281"/>
      <c r="F85" s="281"/>
      <c r="G85" s="281"/>
      <c r="H85" s="281"/>
      <c r="I85" s="281"/>
      <c r="J85" s="281"/>
      <c r="K85" s="281"/>
      <c r="L85" s="281"/>
      <c r="M85" s="282"/>
      <c r="N85" s="98"/>
      <c r="O85" s="98"/>
      <c r="P85" s="99"/>
    </row>
    <row r="86" spans="1:16" x14ac:dyDescent="0.2">
      <c r="A86" s="97"/>
      <c r="B86" s="280"/>
      <c r="C86" s="281"/>
      <c r="D86" s="281"/>
      <c r="E86" s="281"/>
      <c r="F86" s="281"/>
      <c r="G86" s="281"/>
      <c r="H86" s="281"/>
      <c r="I86" s="281"/>
      <c r="J86" s="281"/>
      <c r="K86" s="281"/>
      <c r="L86" s="281"/>
      <c r="M86" s="282"/>
      <c r="N86" s="98"/>
      <c r="O86" s="98"/>
      <c r="P86" s="99"/>
    </row>
    <row r="87" spans="1:16" x14ac:dyDescent="0.2">
      <c r="A87" s="97"/>
      <c r="B87" s="280"/>
      <c r="C87" s="281"/>
      <c r="D87" s="281"/>
      <c r="E87" s="281"/>
      <c r="F87" s="281"/>
      <c r="G87" s="281"/>
      <c r="H87" s="281"/>
      <c r="I87" s="281"/>
      <c r="J87" s="281"/>
      <c r="K87" s="281"/>
      <c r="L87" s="281"/>
      <c r="M87" s="282"/>
      <c r="N87" s="98"/>
      <c r="O87" s="98"/>
      <c r="P87" s="99"/>
    </row>
    <row r="88" spans="1:16" x14ac:dyDescent="0.2">
      <c r="A88" s="97"/>
      <c r="B88" s="280"/>
      <c r="C88" s="281"/>
      <c r="D88" s="281"/>
      <c r="E88" s="281"/>
      <c r="F88" s="281"/>
      <c r="G88" s="281"/>
      <c r="H88" s="281"/>
      <c r="I88" s="281"/>
      <c r="J88" s="281"/>
      <c r="K88" s="281"/>
      <c r="L88" s="281"/>
      <c r="M88" s="282"/>
      <c r="N88" s="98"/>
      <c r="O88" s="98"/>
      <c r="P88" s="99"/>
    </row>
    <row r="89" spans="1:16" x14ac:dyDescent="0.2">
      <c r="A89" s="97"/>
      <c r="B89" s="280"/>
      <c r="C89" s="281"/>
      <c r="D89" s="281"/>
      <c r="E89" s="281"/>
      <c r="F89" s="281"/>
      <c r="G89" s="281"/>
      <c r="H89" s="281"/>
      <c r="I89" s="281"/>
      <c r="J89" s="281"/>
      <c r="K89" s="281"/>
      <c r="L89" s="281"/>
      <c r="M89" s="282"/>
      <c r="N89" s="98"/>
      <c r="O89" s="98"/>
      <c r="P89" s="99"/>
    </row>
    <row r="90" spans="1:16" x14ac:dyDescent="0.2">
      <c r="A90" s="97"/>
      <c r="B90" s="280"/>
      <c r="C90" s="281"/>
      <c r="D90" s="281"/>
      <c r="E90" s="281"/>
      <c r="F90" s="281"/>
      <c r="G90" s="281"/>
      <c r="H90" s="281"/>
      <c r="I90" s="281"/>
      <c r="J90" s="281"/>
      <c r="K90" s="281"/>
      <c r="L90" s="281"/>
      <c r="M90" s="282"/>
      <c r="N90" s="98"/>
      <c r="O90" s="98"/>
      <c r="P90" s="99"/>
    </row>
    <row r="91" spans="1:16" x14ac:dyDescent="0.2">
      <c r="A91" s="97"/>
      <c r="B91" s="280"/>
      <c r="C91" s="281"/>
      <c r="D91" s="281"/>
      <c r="E91" s="281"/>
      <c r="F91" s="281"/>
      <c r="G91" s="281"/>
      <c r="H91" s="281"/>
      <c r="I91" s="281"/>
      <c r="J91" s="281"/>
      <c r="K91" s="281"/>
      <c r="L91" s="281"/>
      <c r="M91" s="282"/>
      <c r="N91" s="98"/>
      <c r="O91" s="98"/>
      <c r="P91" s="99"/>
    </row>
    <row r="92" spans="1:16" x14ac:dyDescent="0.2">
      <c r="A92" s="97"/>
      <c r="B92" s="280"/>
      <c r="C92" s="281"/>
      <c r="D92" s="281"/>
      <c r="E92" s="281"/>
      <c r="F92" s="281"/>
      <c r="G92" s="281"/>
      <c r="H92" s="281"/>
      <c r="I92" s="281"/>
      <c r="J92" s="281"/>
      <c r="K92" s="281"/>
      <c r="L92" s="281"/>
      <c r="M92" s="282"/>
      <c r="N92" s="98"/>
      <c r="O92" s="98"/>
      <c r="P92" s="99"/>
    </row>
    <row r="93" spans="1:16" x14ac:dyDescent="0.2">
      <c r="A93" s="97"/>
      <c r="B93" s="280"/>
      <c r="C93" s="281"/>
      <c r="D93" s="281"/>
      <c r="E93" s="281"/>
      <c r="F93" s="281"/>
      <c r="G93" s="281"/>
      <c r="H93" s="281"/>
      <c r="I93" s="281"/>
      <c r="J93" s="281"/>
      <c r="K93" s="281"/>
      <c r="L93" s="281"/>
      <c r="M93" s="282"/>
      <c r="N93" s="98"/>
      <c r="O93" s="98"/>
      <c r="P93" s="99"/>
    </row>
    <row r="94" spans="1:16" x14ac:dyDescent="0.2">
      <c r="A94" s="97"/>
      <c r="B94" s="280"/>
      <c r="C94" s="281"/>
      <c r="D94" s="281"/>
      <c r="E94" s="281"/>
      <c r="F94" s="281"/>
      <c r="G94" s="281"/>
      <c r="H94" s="281"/>
      <c r="I94" s="281"/>
      <c r="J94" s="281"/>
      <c r="K94" s="281"/>
      <c r="L94" s="281"/>
      <c r="M94" s="282"/>
      <c r="N94" s="98"/>
      <c r="O94" s="98"/>
      <c r="P94" s="99"/>
    </row>
    <row r="95" spans="1:16" x14ac:dyDescent="0.2">
      <c r="A95" s="97"/>
      <c r="B95" s="280"/>
      <c r="C95" s="281"/>
      <c r="D95" s="281"/>
      <c r="E95" s="281"/>
      <c r="F95" s="281"/>
      <c r="G95" s="281"/>
      <c r="H95" s="281"/>
      <c r="I95" s="281"/>
      <c r="J95" s="281"/>
      <c r="K95" s="281"/>
      <c r="L95" s="281"/>
      <c r="M95" s="282"/>
      <c r="N95" s="98"/>
      <c r="O95" s="98"/>
      <c r="P95" s="99"/>
    </row>
    <row r="96" spans="1:16" ht="13.5" thickBot="1" x14ac:dyDescent="0.25">
      <c r="A96" s="109"/>
      <c r="B96" s="283"/>
      <c r="C96" s="284"/>
      <c r="D96" s="284"/>
      <c r="E96" s="284"/>
      <c r="F96" s="284"/>
      <c r="G96" s="284"/>
      <c r="H96" s="284"/>
      <c r="I96" s="284"/>
      <c r="J96" s="284"/>
      <c r="K96" s="284"/>
      <c r="L96" s="284"/>
      <c r="M96" s="285"/>
      <c r="N96" s="110"/>
      <c r="O96" s="110"/>
      <c r="P96" s="111"/>
    </row>
    <row r="97" spans="1:16" ht="13.5" thickTop="1" x14ac:dyDescent="0.2">
      <c r="A97" s="93"/>
      <c r="B97" s="93"/>
      <c r="C97" s="93"/>
      <c r="D97" s="93"/>
      <c r="E97" s="93"/>
      <c r="F97" s="93"/>
      <c r="G97" s="93"/>
      <c r="H97" s="93"/>
      <c r="I97" s="93"/>
      <c r="J97" s="93"/>
      <c r="K97" s="93"/>
      <c r="L97" s="93"/>
      <c r="M97" s="93"/>
      <c r="N97" s="93"/>
      <c r="O97" s="93"/>
      <c r="P97" s="93"/>
    </row>
  </sheetData>
  <mergeCells count="3">
    <mergeCell ref="B15:I15"/>
    <mergeCell ref="B34:M96"/>
    <mergeCell ref="B14:D14"/>
  </mergeCells>
  <hyperlinks>
    <hyperlink ref="B14"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O179"/>
  <sheetViews>
    <sheetView tabSelected="1" topLeftCell="A66" zoomScale="90" zoomScaleNormal="90" zoomScaleSheetLayoutView="100" workbookViewId="0">
      <selection activeCell="F71" sqref="F71"/>
    </sheetView>
  </sheetViews>
  <sheetFormatPr defaultColWidth="8.85546875" defaultRowHeight="12.75" x14ac:dyDescent="0.2"/>
  <cols>
    <col min="1" max="1" width="0.42578125" style="159" customWidth="1"/>
    <col min="2" max="2" width="30" style="159" customWidth="1"/>
    <col min="3" max="3" width="23.7109375" style="159" customWidth="1"/>
    <col min="4" max="4" width="16.5703125" style="159" customWidth="1"/>
    <col min="5" max="5" width="20.85546875" style="159" customWidth="1"/>
    <col min="6" max="6" width="15.7109375" style="159" customWidth="1"/>
    <col min="7" max="7" width="5.5703125" style="263" customWidth="1"/>
    <col min="8" max="8" width="9.5703125" style="159" customWidth="1"/>
    <col min="9" max="9" width="12.85546875" style="159" customWidth="1"/>
    <col min="10" max="10" width="8.85546875" style="159"/>
    <col min="11" max="11" width="10.28515625" style="159" customWidth="1"/>
    <col min="12" max="12" width="8.85546875" style="159" customWidth="1"/>
    <col min="13" max="13" width="9.85546875" style="159" customWidth="1"/>
    <col min="14" max="19" width="0" style="159" hidden="1" customWidth="1"/>
    <col min="20" max="20" width="2.7109375" style="159" hidden="1" customWidth="1"/>
    <col min="21" max="21" width="3" style="159" hidden="1" customWidth="1"/>
    <col min="22" max="22" width="1.140625" style="159" hidden="1" customWidth="1"/>
    <col min="23" max="23" width="3.7109375" style="159" hidden="1" customWidth="1"/>
    <col min="24" max="38" width="0" style="159" hidden="1" customWidth="1"/>
    <col min="39" max="39" width="11.7109375" style="159" customWidth="1"/>
    <col min="40" max="40" width="6.7109375" style="159" hidden="1" customWidth="1"/>
    <col min="41" max="41" width="9.28515625" style="159" hidden="1" customWidth="1"/>
    <col min="42" max="42" width="12.28515625" style="159" customWidth="1"/>
    <col min="43" max="43" width="12" style="159" customWidth="1"/>
    <col min="44" max="44" width="13.42578125" style="159" customWidth="1"/>
    <col min="45" max="45" width="14.5703125" style="159" customWidth="1"/>
    <col min="46" max="46" width="14.7109375" style="159" customWidth="1"/>
    <col min="47" max="47" width="11.28515625" style="159" customWidth="1"/>
    <col min="48" max="48" width="13" style="159" customWidth="1"/>
    <col min="49" max="49" width="13.42578125" style="159" customWidth="1"/>
    <col min="50" max="50" width="14.7109375" style="159" customWidth="1"/>
    <col min="51" max="51" width="14.140625" style="159" customWidth="1"/>
    <col min="52" max="52" width="12.85546875" style="159" customWidth="1"/>
    <col min="53" max="53" width="12.5703125" style="159" customWidth="1"/>
    <col min="54" max="54" width="9.85546875" style="159" customWidth="1"/>
    <col min="55" max="55" width="12.7109375" style="159" customWidth="1"/>
    <col min="56" max="56" width="13.7109375" style="159" customWidth="1"/>
    <col min="57" max="57" width="13.85546875" style="159" customWidth="1"/>
    <col min="58" max="59" width="14.42578125" style="159" customWidth="1"/>
    <col min="60" max="60" width="15.42578125" style="159" customWidth="1"/>
    <col min="61" max="61" width="15.28515625" style="159" customWidth="1"/>
    <col min="62" max="62" width="15.7109375" style="159" customWidth="1"/>
    <col min="63" max="63" width="12.5703125" style="159" customWidth="1"/>
    <col min="64" max="64" width="16.85546875" style="159" customWidth="1"/>
    <col min="65" max="65" width="15.42578125" style="159" customWidth="1"/>
    <col min="66" max="66" width="14.5703125" style="159" customWidth="1"/>
    <col min="67" max="67" width="10" style="159" customWidth="1"/>
    <col min="68" max="68" width="6.140625" style="159" customWidth="1"/>
    <col min="69" max="69" width="7.140625" style="159" customWidth="1"/>
    <col min="70" max="70" width="8.28515625" style="159" customWidth="1"/>
    <col min="71" max="71" width="4.7109375" style="159" customWidth="1"/>
    <col min="72" max="16384" width="8.85546875" style="159"/>
  </cols>
  <sheetData>
    <row r="1" spans="1:39" s="46" customFormat="1" ht="60.75" customHeight="1" x14ac:dyDescent="0.2">
      <c r="A1" s="288" t="s">
        <v>357</v>
      </c>
      <c r="B1" s="289"/>
      <c r="C1" s="289"/>
      <c r="D1" s="289"/>
      <c r="E1" s="289"/>
      <c r="F1" s="289"/>
      <c r="G1" s="289"/>
      <c r="H1" s="289"/>
      <c r="I1" s="289"/>
      <c r="J1" s="289"/>
      <c r="K1" s="289"/>
      <c r="L1" s="289"/>
      <c r="M1" s="289"/>
      <c r="N1" s="23"/>
      <c r="O1" s="23"/>
      <c r="P1" s="23"/>
      <c r="Q1" s="23"/>
      <c r="R1" s="21"/>
      <c r="S1" s="22"/>
      <c r="T1" s="20"/>
      <c r="U1" s="20"/>
      <c r="V1" s="20"/>
      <c r="W1" s="20"/>
      <c r="X1" s="20"/>
      <c r="Y1" s="20"/>
      <c r="Z1" s="20"/>
      <c r="AA1" s="20"/>
      <c r="AB1" s="20"/>
      <c r="AC1" s="20"/>
      <c r="AD1" s="20"/>
      <c r="AE1" s="20"/>
      <c r="AF1" s="20"/>
      <c r="AG1" s="20"/>
      <c r="AH1" s="20"/>
      <c r="AI1" s="20"/>
      <c r="AJ1" s="20"/>
      <c r="AK1" s="20"/>
      <c r="AL1" s="20"/>
      <c r="AM1" s="20"/>
    </row>
    <row r="2" spans="1:39" ht="15.75" x14ac:dyDescent="0.2">
      <c r="A2" s="15"/>
      <c r="B2" s="19" t="s">
        <v>61</v>
      </c>
      <c r="C2" s="15"/>
      <c r="D2" s="15"/>
      <c r="E2" s="15"/>
      <c r="F2" s="158"/>
      <c r="G2" s="158"/>
      <c r="H2" s="15"/>
      <c r="I2" s="15"/>
      <c r="J2" s="15"/>
      <c r="K2" s="15"/>
      <c r="L2" s="287"/>
      <c r="M2" s="287"/>
      <c r="N2" s="15"/>
      <c r="O2" s="15"/>
      <c r="P2" s="15"/>
      <c r="Q2" s="15"/>
      <c r="R2" s="15"/>
      <c r="S2" s="15"/>
      <c r="T2" s="15"/>
      <c r="U2" s="15"/>
      <c r="V2" s="15"/>
      <c r="W2" s="15"/>
      <c r="X2" s="15"/>
      <c r="Y2" s="15"/>
      <c r="Z2" s="15"/>
      <c r="AA2" s="15"/>
      <c r="AB2" s="15"/>
      <c r="AC2" s="15"/>
      <c r="AD2" s="15"/>
      <c r="AE2" s="15"/>
      <c r="AF2" s="15"/>
      <c r="AG2" s="15"/>
      <c r="AH2" s="15"/>
      <c r="AI2" s="15"/>
      <c r="AJ2" s="15"/>
      <c r="AK2" s="15"/>
      <c r="AL2" s="15"/>
      <c r="AM2" s="15"/>
    </row>
    <row r="3" spans="1:39" x14ac:dyDescent="0.2">
      <c r="A3" s="15"/>
      <c r="B3" s="15"/>
      <c r="C3" s="15"/>
      <c r="D3" s="15"/>
      <c r="E3" s="15"/>
      <c r="F3" s="15"/>
      <c r="G3" s="158"/>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row>
    <row r="4" spans="1:39" x14ac:dyDescent="0.2">
      <c r="A4" s="15"/>
      <c r="B4" s="15"/>
      <c r="C4" s="15"/>
      <c r="D4" s="15"/>
      <c r="E4" s="15"/>
      <c r="F4" s="15"/>
      <c r="G4" s="158"/>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row>
    <row r="5" spans="1:39" x14ac:dyDescent="0.2">
      <c r="A5" s="15"/>
      <c r="B5" s="15"/>
      <c r="C5" s="15"/>
      <c r="D5" s="15"/>
      <c r="E5" s="15"/>
      <c r="F5" s="15"/>
      <c r="G5" s="158"/>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row>
    <row r="6" spans="1:39" x14ac:dyDescent="0.2">
      <c r="A6" s="15"/>
      <c r="B6" s="15"/>
      <c r="C6" s="15"/>
      <c r="D6" s="15"/>
      <c r="E6" s="15"/>
      <c r="F6" s="15"/>
      <c r="G6" s="158"/>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pans="1:39" x14ac:dyDescent="0.2">
      <c r="A7" s="15"/>
      <c r="B7" s="15"/>
      <c r="C7" s="15"/>
      <c r="D7" s="15"/>
      <c r="E7" s="15"/>
      <c r="F7" s="15"/>
      <c r="G7" s="158"/>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row>
    <row r="8" spans="1:39" x14ac:dyDescent="0.2">
      <c r="A8" s="15"/>
      <c r="B8" s="15"/>
      <c r="C8" s="15"/>
      <c r="D8" s="15"/>
      <c r="E8" s="15"/>
      <c r="F8" s="15"/>
      <c r="G8" s="158"/>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row>
    <row r="9" spans="1:39" ht="15" customHeight="1" x14ac:dyDescent="0.2">
      <c r="A9" s="15"/>
      <c r="B9" s="160"/>
      <c r="C9" s="90"/>
      <c r="D9" s="161" t="s">
        <v>265</v>
      </c>
      <c r="E9" s="45"/>
      <c r="F9" s="15"/>
      <c r="G9" s="158"/>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row>
    <row r="10" spans="1:39" ht="15" customHeight="1" x14ac:dyDescent="0.2">
      <c r="A10" s="15"/>
      <c r="B10" s="162"/>
      <c r="C10" s="163"/>
      <c r="D10" s="15" t="s">
        <v>60</v>
      </c>
      <c r="E10" s="164"/>
      <c r="F10" s="15"/>
      <c r="G10" s="158"/>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pans="1:39" ht="22.9" customHeight="1" x14ac:dyDescent="0.2">
      <c r="A11" s="15"/>
      <c r="B11" s="162"/>
      <c r="C11" s="165"/>
      <c r="D11" s="290" t="s">
        <v>323</v>
      </c>
      <c r="E11" s="291"/>
      <c r="F11" s="15"/>
      <c r="G11" s="158"/>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pans="1:39" ht="21.6" customHeight="1" x14ac:dyDescent="0.2">
      <c r="A12" s="15"/>
      <c r="B12" s="162"/>
      <c r="C12" s="166"/>
      <c r="D12" s="290"/>
      <c r="E12" s="291"/>
      <c r="F12" s="15"/>
      <c r="G12" s="158"/>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row r="13" spans="1:39" ht="15" customHeight="1" thickBot="1" x14ac:dyDescent="0.25">
      <c r="A13" s="15"/>
      <c r="B13" s="15"/>
      <c r="C13" s="15"/>
      <c r="D13" s="15"/>
      <c r="E13" s="15"/>
      <c r="F13" s="15"/>
      <c r="G13" s="158"/>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pans="1:39" ht="15" customHeight="1" x14ac:dyDescent="0.25">
      <c r="A14" s="15"/>
      <c r="B14" s="167" t="s">
        <v>100</v>
      </c>
      <c r="C14" s="168"/>
      <c r="D14" s="168"/>
      <c r="E14" s="169" t="s">
        <v>65</v>
      </c>
      <c r="F14" s="81">
        <v>9</v>
      </c>
      <c r="G14" s="170" t="s">
        <v>50</v>
      </c>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71"/>
    </row>
    <row r="15" spans="1:39" ht="15" customHeight="1" x14ac:dyDescent="0.25">
      <c r="A15" s="15"/>
      <c r="B15" s="172"/>
      <c r="C15" s="157"/>
      <c r="D15" s="157"/>
      <c r="E15" s="173" t="s">
        <v>70</v>
      </c>
      <c r="F15" s="82">
        <v>28</v>
      </c>
      <c r="G15" s="174" t="s">
        <v>50</v>
      </c>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75"/>
    </row>
    <row r="16" spans="1:39" ht="15" customHeight="1" x14ac:dyDescent="0.2">
      <c r="A16" s="15"/>
      <c r="B16" s="176"/>
      <c r="C16" s="157"/>
      <c r="D16" s="157"/>
      <c r="E16" s="173" t="s">
        <v>66</v>
      </c>
      <c r="F16" s="82">
        <v>33</v>
      </c>
      <c r="G16" s="174" t="s">
        <v>50</v>
      </c>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75"/>
    </row>
    <row r="17" spans="1:40" ht="15" customHeight="1" x14ac:dyDescent="0.2">
      <c r="A17" s="15"/>
      <c r="B17" s="176"/>
      <c r="C17" s="157"/>
      <c r="D17" s="157"/>
      <c r="E17" s="173" t="s">
        <v>72</v>
      </c>
      <c r="F17" s="82">
        <v>21</v>
      </c>
      <c r="G17" s="174" t="s">
        <v>17</v>
      </c>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75"/>
    </row>
    <row r="18" spans="1:40" ht="15" customHeight="1" x14ac:dyDescent="0.2">
      <c r="A18" s="15"/>
      <c r="B18" s="176"/>
      <c r="C18" s="157"/>
      <c r="D18" s="157"/>
      <c r="E18" s="173" t="s">
        <v>170</v>
      </c>
      <c r="F18" s="82">
        <v>500</v>
      </c>
      <c r="G18" s="177" t="s">
        <v>47</v>
      </c>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75"/>
    </row>
    <row r="19" spans="1:40" ht="15" customHeight="1" thickBot="1" x14ac:dyDescent="0.25">
      <c r="A19" s="15"/>
      <c r="B19" s="178"/>
      <c r="C19" s="179"/>
      <c r="D19" s="179"/>
      <c r="E19" s="180" t="s">
        <v>71</v>
      </c>
      <c r="F19" s="83">
        <v>71</v>
      </c>
      <c r="G19" s="181" t="s">
        <v>76</v>
      </c>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82"/>
    </row>
    <row r="20" spans="1:40" ht="15" customHeight="1" x14ac:dyDescent="0.25">
      <c r="A20" s="15"/>
      <c r="B20" s="167" t="s">
        <v>169</v>
      </c>
      <c r="C20" s="183"/>
      <c r="D20" s="157"/>
      <c r="E20" s="173" t="s">
        <v>359</v>
      </c>
      <c r="F20" s="184">
        <f>Equations!F20</f>
        <v>2.1216407355021216</v>
      </c>
      <c r="G20" s="174" t="s">
        <v>49</v>
      </c>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75"/>
      <c r="AN20" s="185" t="s">
        <v>227</v>
      </c>
    </row>
    <row r="21" spans="1:40" ht="15" customHeight="1" x14ac:dyDescent="0.2">
      <c r="A21" s="15"/>
      <c r="B21" s="176"/>
      <c r="C21" s="157"/>
      <c r="D21" s="157"/>
      <c r="E21" s="173" t="s">
        <v>148</v>
      </c>
      <c r="F21" s="85" t="s">
        <v>144</v>
      </c>
      <c r="G21" s="174"/>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75"/>
      <c r="AN21" s="185" t="s">
        <v>146</v>
      </c>
    </row>
    <row r="22" spans="1:40" ht="15" customHeight="1" x14ac:dyDescent="0.2">
      <c r="A22" s="15"/>
      <c r="B22" s="176"/>
      <c r="C22" s="157"/>
      <c r="D22" s="157"/>
      <c r="E22" s="173" t="s">
        <v>62</v>
      </c>
      <c r="F22" s="86">
        <v>2</v>
      </c>
      <c r="G22" s="174" t="s">
        <v>49</v>
      </c>
      <c r="H22" s="186"/>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75"/>
      <c r="AN22" s="185" t="s">
        <v>144</v>
      </c>
    </row>
    <row r="23" spans="1:40" ht="15" customHeight="1" x14ac:dyDescent="0.2">
      <c r="A23" s="15"/>
      <c r="B23" s="176"/>
      <c r="C23" s="157"/>
      <c r="D23" s="157"/>
      <c r="E23" s="173" t="s">
        <v>150</v>
      </c>
      <c r="F23" s="42" t="str">
        <f>Equations!F21</f>
        <v>NA</v>
      </c>
      <c r="G23" s="187" t="s">
        <v>51</v>
      </c>
      <c r="H23" s="188"/>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75"/>
    </row>
    <row r="24" spans="1:40" ht="15" customHeight="1" x14ac:dyDescent="0.2">
      <c r="A24" s="15"/>
      <c r="B24" s="176"/>
      <c r="C24" s="157"/>
      <c r="D24" s="157"/>
      <c r="E24" s="173" t="s">
        <v>151</v>
      </c>
      <c r="F24" s="41" t="str">
        <f>Equations!F22</f>
        <v>NA</v>
      </c>
      <c r="G24" s="187" t="s">
        <v>51</v>
      </c>
      <c r="H24" s="188"/>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75"/>
    </row>
    <row r="25" spans="1:40" ht="15" customHeight="1" x14ac:dyDescent="0.2">
      <c r="A25" s="15"/>
      <c r="B25" s="176"/>
      <c r="C25" s="157"/>
      <c r="D25" s="157"/>
      <c r="E25" s="173" t="s">
        <v>152</v>
      </c>
      <c r="F25" s="85">
        <v>10</v>
      </c>
      <c r="G25" s="187" t="s">
        <v>51</v>
      </c>
      <c r="H25" s="188"/>
      <c r="I25" s="157"/>
      <c r="J25" s="186"/>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75"/>
      <c r="AN25" s="159" t="b">
        <f>AND(F21="No")</f>
        <v>1</v>
      </c>
    </row>
    <row r="26" spans="1:40" ht="15" customHeight="1" x14ac:dyDescent="0.2">
      <c r="A26" s="15"/>
      <c r="B26" s="176"/>
      <c r="C26" s="157"/>
      <c r="D26" s="157"/>
      <c r="E26" s="173" t="s">
        <v>153</v>
      </c>
      <c r="F26" s="85">
        <v>2</v>
      </c>
      <c r="G26" s="187" t="s">
        <v>51</v>
      </c>
      <c r="H26" s="188"/>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75"/>
    </row>
    <row r="27" spans="1:40" ht="15" customHeight="1" x14ac:dyDescent="0.2">
      <c r="A27" s="15"/>
      <c r="B27" s="176"/>
      <c r="C27" s="157"/>
      <c r="D27" s="157"/>
      <c r="E27" s="173" t="s">
        <v>177</v>
      </c>
      <c r="F27" s="41">
        <f>RsEFF</f>
        <v>2</v>
      </c>
      <c r="G27" s="174" t="s">
        <v>49</v>
      </c>
      <c r="H27" s="188"/>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75"/>
    </row>
    <row r="28" spans="1:40" ht="15" customHeight="1" x14ac:dyDescent="0.2">
      <c r="A28" s="15"/>
      <c r="B28" s="176"/>
      <c r="C28" s="157"/>
      <c r="D28" s="189"/>
      <c r="E28" s="190" t="s">
        <v>57</v>
      </c>
      <c r="F28" s="191">
        <f>CLMIN</f>
        <v>22.5</v>
      </c>
      <c r="G28" s="174" t="s">
        <v>17</v>
      </c>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75"/>
    </row>
    <row r="29" spans="1:40" ht="15" customHeight="1" x14ac:dyDescent="0.2">
      <c r="A29" s="15"/>
      <c r="B29" s="176"/>
      <c r="C29" s="157"/>
      <c r="D29" s="192"/>
      <c r="E29" s="193" t="s">
        <v>58</v>
      </c>
      <c r="F29" s="191">
        <f>CLNOM</f>
        <v>25</v>
      </c>
      <c r="G29" s="174" t="s">
        <v>17</v>
      </c>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75"/>
    </row>
    <row r="30" spans="1:40" ht="15" customHeight="1" x14ac:dyDescent="0.2">
      <c r="A30" s="15"/>
      <c r="B30" s="176"/>
      <c r="C30" s="157"/>
      <c r="D30" s="194"/>
      <c r="E30" s="195" t="s">
        <v>59</v>
      </c>
      <c r="F30" s="191">
        <f>CLMAX</f>
        <v>27.5</v>
      </c>
      <c r="G30" s="174" t="s">
        <v>17</v>
      </c>
      <c r="H30" s="157"/>
      <c r="I30" s="196"/>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75"/>
      <c r="AN30" s="185" t="s">
        <v>171</v>
      </c>
    </row>
    <row r="31" spans="1:40" ht="15" customHeight="1" thickBot="1" x14ac:dyDescent="0.25">
      <c r="A31" s="15"/>
      <c r="B31" s="176"/>
      <c r="C31" s="157"/>
      <c r="D31" s="157"/>
      <c r="E31" s="173" t="s">
        <v>67</v>
      </c>
      <c r="F31" s="197">
        <f>Equations!F27/1000</f>
        <v>1.5125</v>
      </c>
      <c r="G31" s="174" t="s">
        <v>51</v>
      </c>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75"/>
      <c r="AN31" s="185" t="s">
        <v>172</v>
      </c>
    </row>
    <row r="32" spans="1:40" ht="15" x14ac:dyDescent="0.25">
      <c r="A32" s="15"/>
      <c r="B32" s="167" t="s">
        <v>73</v>
      </c>
      <c r="C32" s="168"/>
      <c r="D32" s="168"/>
      <c r="E32" s="198" t="s">
        <v>342</v>
      </c>
      <c r="F32" s="84" t="s">
        <v>390</v>
      </c>
      <c r="G32" s="199"/>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71"/>
    </row>
    <row r="33" spans="1:41" ht="15.75" x14ac:dyDescent="0.3">
      <c r="A33" s="15"/>
      <c r="B33" s="176"/>
      <c r="C33" s="157"/>
      <c r="D33" s="157"/>
      <c r="E33" s="200" t="s">
        <v>174</v>
      </c>
      <c r="F33" s="113">
        <v>60</v>
      </c>
      <c r="G33" s="174" t="s">
        <v>77</v>
      </c>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75"/>
      <c r="AN33" s="159">
        <f>((((TJMAX-TAMB)/ThetaJA)/(CLMAX^2))*1000)*NUMFETS^2</f>
        <v>6.9641873278236908</v>
      </c>
      <c r="AO33" s="159">
        <f>((TJMAX-TAMB)/ThetaJA)</f>
        <v>1.3166666666666667</v>
      </c>
    </row>
    <row r="34" spans="1:41" x14ac:dyDescent="0.2">
      <c r="A34" s="15"/>
      <c r="B34" s="176"/>
      <c r="C34" s="157"/>
      <c r="D34" s="157"/>
      <c r="E34" s="200" t="s">
        <v>74</v>
      </c>
      <c r="F34" s="86">
        <v>2</v>
      </c>
      <c r="G34" s="174" t="s">
        <v>75</v>
      </c>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75"/>
      <c r="AN34" s="201" t="s">
        <v>175</v>
      </c>
    </row>
    <row r="35" spans="1:41" ht="15.75" x14ac:dyDescent="0.3">
      <c r="A35" s="15"/>
      <c r="B35" s="176"/>
      <c r="C35" s="157"/>
      <c r="D35" s="157"/>
      <c r="E35" s="200" t="s">
        <v>179</v>
      </c>
      <c r="F35" s="86">
        <v>2.1</v>
      </c>
      <c r="G35" s="174" t="s">
        <v>49</v>
      </c>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75"/>
      <c r="AN35" s="185">
        <f>F35</f>
        <v>2.1</v>
      </c>
    </row>
    <row r="36" spans="1:41" ht="14.25" x14ac:dyDescent="0.2">
      <c r="A36" s="15"/>
      <c r="B36" s="176"/>
      <c r="C36" s="157"/>
      <c r="D36" s="157"/>
      <c r="E36" s="200" t="s">
        <v>78</v>
      </c>
      <c r="F36" s="86">
        <v>150</v>
      </c>
      <c r="G36" s="174" t="s">
        <v>136</v>
      </c>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75"/>
      <c r="AN36" s="185">
        <f t="shared" ref="AN36:AN41" si="0">F36</f>
        <v>150</v>
      </c>
    </row>
    <row r="37" spans="1:41" ht="15.75" x14ac:dyDescent="0.3">
      <c r="A37" s="15"/>
      <c r="B37" s="292" t="s">
        <v>341</v>
      </c>
      <c r="C37" s="157"/>
      <c r="D37" s="157"/>
      <c r="E37" s="200" t="s">
        <v>274</v>
      </c>
      <c r="F37" s="87">
        <v>170</v>
      </c>
      <c r="G37" s="174" t="s">
        <v>17</v>
      </c>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75"/>
      <c r="AN37" s="185">
        <f t="shared" si="0"/>
        <v>170</v>
      </c>
    </row>
    <row r="38" spans="1:41" ht="15.75" x14ac:dyDescent="0.3">
      <c r="A38" s="15"/>
      <c r="B38" s="292"/>
      <c r="C38" s="157"/>
      <c r="D38" s="157"/>
      <c r="E38" s="200" t="s">
        <v>275</v>
      </c>
      <c r="F38" s="87">
        <v>17</v>
      </c>
      <c r="G38" s="174" t="s">
        <v>17</v>
      </c>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75"/>
      <c r="AN38" s="185">
        <f t="shared" si="0"/>
        <v>17</v>
      </c>
    </row>
    <row r="39" spans="1:41" ht="15.75" x14ac:dyDescent="0.3">
      <c r="A39" s="15"/>
      <c r="B39" s="292"/>
      <c r="C39" s="157"/>
      <c r="D39" s="157"/>
      <c r="E39" s="200" t="s">
        <v>276</v>
      </c>
      <c r="F39" s="87">
        <v>3.5</v>
      </c>
      <c r="G39" s="174" t="s">
        <v>17</v>
      </c>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75"/>
      <c r="AN39" s="185">
        <f t="shared" si="0"/>
        <v>3.5</v>
      </c>
    </row>
    <row r="40" spans="1:41" ht="15.75" x14ac:dyDescent="0.3">
      <c r="A40" s="15"/>
      <c r="B40" s="292"/>
      <c r="C40" s="157"/>
      <c r="D40" s="157"/>
      <c r="E40" s="200" t="s">
        <v>277</v>
      </c>
      <c r="F40" s="87">
        <v>2</v>
      </c>
      <c r="G40" s="174" t="s">
        <v>17</v>
      </c>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75"/>
      <c r="AN40" s="185">
        <f t="shared" si="0"/>
        <v>2</v>
      </c>
    </row>
    <row r="41" spans="1:41" ht="15.75" x14ac:dyDescent="0.3">
      <c r="A41" s="15"/>
      <c r="B41" s="292"/>
      <c r="C41" s="157"/>
      <c r="D41" s="157"/>
      <c r="E41" s="200" t="s">
        <v>278</v>
      </c>
      <c r="F41" s="87">
        <v>1.5</v>
      </c>
      <c r="G41" s="174" t="s">
        <v>17</v>
      </c>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75"/>
      <c r="AN41" s="185">
        <f t="shared" si="0"/>
        <v>1.5</v>
      </c>
    </row>
    <row r="42" spans="1:41" ht="15" customHeight="1" x14ac:dyDescent="0.2">
      <c r="A42" s="15"/>
      <c r="B42" s="292"/>
      <c r="C42" s="157"/>
      <c r="D42" s="157"/>
      <c r="E42" s="200" t="s">
        <v>222</v>
      </c>
      <c r="F42" s="74">
        <f>(IOUTMAX/NUMFETS)^2*RDSON/1000</f>
        <v>0.23152500000000001</v>
      </c>
      <c r="G42" s="174" t="s">
        <v>51</v>
      </c>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75"/>
    </row>
    <row r="43" spans="1:41" ht="15" customHeight="1" x14ac:dyDescent="0.3">
      <c r="A43" s="15"/>
      <c r="B43" s="292"/>
      <c r="C43" s="157"/>
      <c r="D43" s="157"/>
      <c r="E43" s="200" t="s">
        <v>178</v>
      </c>
      <c r="F43" s="74">
        <f>TAMB+(FETPDISS*ThetaJA)</f>
        <v>84.891500000000008</v>
      </c>
      <c r="G43" s="174" t="s">
        <v>76</v>
      </c>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75"/>
    </row>
    <row r="44" spans="1:41" ht="15" customHeight="1" x14ac:dyDescent="0.25">
      <c r="A44" s="15"/>
      <c r="B44" s="172"/>
      <c r="C44" s="157"/>
      <c r="D44" s="157"/>
      <c r="E44" s="173" t="s">
        <v>389</v>
      </c>
      <c r="F44" s="74">
        <f>Equations!F38</f>
        <v>100</v>
      </c>
      <c r="G44" s="174" t="s">
        <v>51</v>
      </c>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75"/>
    </row>
    <row r="45" spans="1:41" ht="15" customHeight="1" x14ac:dyDescent="0.25">
      <c r="A45" s="15"/>
      <c r="B45" s="172"/>
      <c r="C45" s="157"/>
      <c r="D45" s="157"/>
      <c r="E45" s="173" t="s">
        <v>182</v>
      </c>
      <c r="F45" s="87">
        <v>250</v>
      </c>
      <c r="G45" s="174" t="s">
        <v>51</v>
      </c>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75"/>
    </row>
    <row r="46" spans="1:41" ht="15" customHeight="1" x14ac:dyDescent="0.25">
      <c r="A46" s="15"/>
      <c r="B46" s="172"/>
      <c r="C46" s="157"/>
      <c r="D46" s="157"/>
      <c r="E46" s="173" t="s">
        <v>363</v>
      </c>
      <c r="F46" s="87">
        <v>82</v>
      </c>
      <c r="G46" s="202" t="s">
        <v>48</v>
      </c>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75"/>
    </row>
    <row r="47" spans="1:41" ht="15" customHeight="1" x14ac:dyDescent="0.25">
      <c r="A47" s="15"/>
      <c r="B47" s="172"/>
      <c r="C47" s="157"/>
      <c r="D47" s="157"/>
      <c r="E47" s="173" t="s">
        <v>364</v>
      </c>
      <c r="F47" s="58">
        <f>Equations!F43</f>
        <v>27.333333333333332</v>
      </c>
      <c r="G47" s="202" t="s">
        <v>48</v>
      </c>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75"/>
    </row>
    <row r="48" spans="1:41" ht="15" customHeight="1" x14ac:dyDescent="0.25">
      <c r="A48" s="15"/>
      <c r="B48" s="172"/>
      <c r="C48" s="157"/>
      <c r="D48" s="157"/>
      <c r="E48" s="173" t="s">
        <v>387</v>
      </c>
      <c r="F48" s="86">
        <v>10</v>
      </c>
      <c r="G48" s="202" t="s">
        <v>48</v>
      </c>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75"/>
    </row>
    <row r="49" spans="1:40" ht="15" customHeight="1" thickBot="1" x14ac:dyDescent="0.25">
      <c r="A49" s="15"/>
      <c r="B49" s="176"/>
      <c r="C49" s="157"/>
      <c r="D49" s="157"/>
      <c r="E49" s="173" t="s">
        <v>185</v>
      </c>
      <c r="F49" s="58">
        <f>Equations!F47</f>
        <v>108.69565217391303</v>
      </c>
      <c r="G49" s="174" t="s">
        <v>51</v>
      </c>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75"/>
    </row>
    <row r="50" spans="1:40" ht="15" x14ac:dyDescent="0.25">
      <c r="A50" s="15"/>
      <c r="B50" s="167" t="s">
        <v>84</v>
      </c>
      <c r="C50" s="168"/>
      <c r="D50" s="168"/>
      <c r="E50" s="198" t="s">
        <v>139</v>
      </c>
      <c r="F50" s="88">
        <v>0</v>
      </c>
      <c r="G50" s="199" t="s">
        <v>50</v>
      </c>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71"/>
      <c r="AN50" s="185"/>
    </row>
    <row r="51" spans="1:40" x14ac:dyDescent="0.2">
      <c r="A51" s="15"/>
      <c r="B51" s="203"/>
      <c r="C51" s="157"/>
      <c r="D51" s="157"/>
      <c r="E51" s="200" t="s">
        <v>85</v>
      </c>
      <c r="F51" s="86" t="s">
        <v>87</v>
      </c>
      <c r="G51" s="17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75"/>
      <c r="AN51" s="185"/>
    </row>
    <row r="52" spans="1:40" x14ac:dyDescent="0.2">
      <c r="A52" s="15"/>
      <c r="B52" s="176"/>
      <c r="C52" s="157"/>
      <c r="D52" s="157"/>
      <c r="E52" s="200" t="s">
        <v>86</v>
      </c>
      <c r="F52" s="86">
        <v>0</v>
      </c>
      <c r="G52" s="177" t="str">
        <f>IF(F51="Constant Current","A","Ohms")</f>
        <v>A</v>
      </c>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75"/>
      <c r="AN52" s="159" t="s">
        <v>87</v>
      </c>
    </row>
    <row r="53" spans="1:40" x14ac:dyDescent="0.2">
      <c r="A53" s="15"/>
      <c r="B53" s="176"/>
      <c r="C53" s="157"/>
      <c r="D53" s="157"/>
      <c r="E53" s="173" t="s">
        <v>145</v>
      </c>
      <c r="F53" s="85" t="s">
        <v>146</v>
      </c>
      <c r="G53" s="17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75"/>
      <c r="AN53" s="159" t="s">
        <v>88</v>
      </c>
    </row>
    <row r="54" spans="1:40" x14ac:dyDescent="0.2">
      <c r="A54" s="15"/>
      <c r="B54" s="176"/>
      <c r="C54" s="157"/>
      <c r="D54" s="157"/>
      <c r="E54" s="200" t="s">
        <v>201</v>
      </c>
      <c r="F54" s="204">
        <f>Start_up!M2</f>
        <v>65.999999999999972</v>
      </c>
      <c r="G54" s="174" t="s">
        <v>5</v>
      </c>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75"/>
      <c r="AN54" s="185"/>
    </row>
    <row r="55" spans="1:40" x14ac:dyDescent="0.2">
      <c r="A55" s="15"/>
      <c r="B55" s="176"/>
      <c r="C55" s="157"/>
      <c r="D55" s="157"/>
      <c r="E55" s="200" t="s">
        <v>208</v>
      </c>
      <c r="F55" s="205">
        <f>Start_up!O2</f>
        <v>1</v>
      </c>
      <c r="G55" s="174"/>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75"/>
      <c r="AN55" s="185"/>
    </row>
    <row r="56" spans="1:40" ht="13.15" customHeight="1" x14ac:dyDescent="0.2">
      <c r="A56" s="15"/>
      <c r="B56" s="203"/>
      <c r="C56" s="157"/>
      <c r="D56" s="206"/>
      <c r="E56" s="207" t="s">
        <v>202</v>
      </c>
      <c r="F56" s="204">
        <f>Equations!F55</f>
        <v>115.49999999999994</v>
      </c>
      <c r="G56" s="177" t="s">
        <v>5</v>
      </c>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75"/>
    </row>
    <row r="57" spans="1:40" ht="12.6" customHeight="1" x14ac:dyDescent="0.2">
      <c r="A57" s="15"/>
      <c r="B57" s="176"/>
      <c r="C57" s="157"/>
      <c r="D57" s="206"/>
      <c r="E57" s="208" t="s">
        <v>206</v>
      </c>
      <c r="F57" s="204">
        <f>Equations!F56</f>
        <v>721.87499999999966</v>
      </c>
      <c r="G57" s="174" t="s">
        <v>69</v>
      </c>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75"/>
    </row>
    <row r="58" spans="1:40" ht="15" customHeight="1" x14ac:dyDescent="0.2">
      <c r="A58" s="15"/>
      <c r="B58" s="176"/>
      <c r="C58" s="157"/>
      <c r="D58" s="206"/>
      <c r="E58" s="208" t="s">
        <v>209</v>
      </c>
      <c r="F58" s="86">
        <v>33</v>
      </c>
      <c r="G58" s="174" t="s">
        <v>69</v>
      </c>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75"/>
    </row>
    <row r="59" spans="1:40" ht="15" customHeight="1" x14ac:dyDescent="0.2">
      <c r="A59" s="15"/>
      <c r="B59" s="176"/>
      <c r="C59" s="157"/>
      <c r="D59" s="206"/>
      <c r="E59" s="208" t="s">
        <v>262</v>
      </c>
      <c r="F59" s="204">
        <f>Equations!F58</f>
        <v>5.28</v>
      </c>
      <c r="G59" s="174" t="s">
        <v>5</v>
      </c>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75"/>
    </row>
    <row r="60" spans="1:40" ht="15" customHeight="1" x14ac:dyDescent="0.2">
      <c r="A60" s="15"/>
      <c r="B60" s="176"/>
      <c r="C60" s="157"/>
      <c r="D60" s="206"/>
      <c r="E60" s="208" t="s">
        <v>217</v>
      </c>
      <c r="F60" s="204">
        <f>Equations!F59</f>
        <v>1.1332922865938351</v>
      </c>
      <c r="G60" s="174"/>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75"/>
    </row>
    <row r="61" spans="1:40" ht="15" customHeight="1" x14ac:dyDescent="0.2">
      <c r="A61" s="15"/>
      <c r="B61" s="176"/>
      <c r="C61" s="157"/>
      <c r="D61" s="206"/>
      <c r="E61" s="208" t="s">
        <v>267</v>
      </c>
      <c r="F61" s="85" t="s">
        <v>144</v>
      </c>
      <c r="G61" s="174"/>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75"/>
    </row>
    <row r="62" spans="1:40" ht="15" customHeight="1" x14ac:dyDescent="0.2">
      <c r="A62" s="15"/>
      <c r="B62" s="176"/>
      <c r="C62" s="157"/>
      <c r="D62" s="206"/>
      <c r="E62" s="208" t="s">
        <v>272</v>
      </c>
      <c r="F62" s="204">
        <f>dv_dt_recommendations!L29</f>
        <v>2.3739903069027539</v>
      </c>
      <c r="G62" s="174" t="s">
        <v>225</v>
      </c>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75"/>
    </row>
    <row r="63" spans="1:40" ht="15" customHeight="1" x14ac:dyDescent="0.2">
      <c r="A63" s="15"/>
      <c r="B63" s="176"/>
      <c r="C63" s="157"/>
      <c r="D63" s="206"/>
      <c r="E63" s="208" t="s">
        <v>273</v>
      </c>
      <c r="F63" s="204">
        <f>dv_dt_recommendations!L30</f>
        <v>9.2497082010162657E-2</v>
      </c>
      <c r="G63" s="174" t="s">
        <v>225</v>
      </c>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75"/>
    </row>
    <row r="64" spans="1:40" ht="15" customHeight="1" x14ac:dyDescent="0.2">
      <c r="A64" s="15"/>
      <c r="B64" s="293" t="s">
        <v>353</v>
      </c>
      <c r="C64" s="294"/>
      <c r="D64" s="206"/>
      <c r="E64" s="209" t="s">
        <v>259</v>
      </c>
      <c r="F64" s="86">
        <v>0.5</v>
      </c>
      <c r="G64" s="174" t="s">
        <v>225</v>
      </c>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75"/>
    </row>
    <row r="65" spans="1:40" ht="15" customHeight="1" x14ac:dyDescent="0.2">
      <c r="A65" s="15"/>
      <c r="B65" s="293"/>
      <c r="C65" s="294"/>
      <c r="D65" s="206"/>
      <c r="E65" s="209" t="s">
        <v>249</v>
      </c>
      <c r="F65" s="204">
        <f>Equations!F63</f>
        <v>44</v>
      </c>
      <c r="G65" s="210" t="s">
        <v>69</v>
      </c>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75"/>
    </row>
    <row r="66" spans="1:40" ht="15" customHeight="1" x14ac:dyDescent="0.2">
      <c r="A66" s="15"/>
      <c r="B66" s="293"/>
      <c r="C66" s="294"/>
      <c r="D66" s="206"/>
      <c r="E66" s="209" t="s">
        <v>250</v>
      </c>
      <c r="F66" s="86">
        <v>44</v>
      </c>
      <c r="G66" s="174" t="s">
        <v>69</v>
      </c>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75"/>
    </row>
    <row r="67" spans="1:40" ht="15" customHeight="1" x14ac:dyDescent="0.2">
      <c r="A67" s="15"/>
      <c r="B67" s="293"/>
      <c r="C67" s="294"/>
      <c r="D67" s="206"/>
      <c r="E67" s="209" t="s">
        <v>260</v>
      </c>
      <c r="F67" s="204">
        <f>Equations!F65</f>
        <v>0.5</v>
      </c>
      <c r="G67" s="174" t="s">
        <v>225</v>
      </c>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75"/>
    </row>
    <row r="68" spans="1:40" ht="16.899999999999999" customHeight="1" x14ac:dyDescent="0.2">
      <c r="A68" s="15"/>
      <c r="B68" s="293"/>
      <c r="C68" s="294"/>
      <c r="D68" s="206"/>
      <c r="E68" s="209" t="s">
        <v>255</v>
      </c>
      <c r="F68" s="204">
        <f>Equations!F72</f>
        <v>6.6350822874492632</v>
      </c>
      <c r="G68" s="174"/>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75"/>
    </row>
    <row r="69" spans="1:40" ht="16.899999999999999" customHeight="1" x14ac:dyDescent="0.2">
      <c r="A69" s="15"/>
      <c r="B69" s="176"/>
      <c r="C69" s="157"/>
      <c r="D69" s="206"/>
      <c r="E69" s="209" t="s">
        <v>252</v>
      </c>
      <c r="F69" s="86">
        <v>4.43</v>
      </c>
      <c r="G69" s="174" t="s">
        <v>5</v>
      </c>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75"/>
    </row>
    <row r="70" spans="1:40" ht="16.899999999999999" customHeight="1" x14ac:dyDescent="0.2">
      <c r="A70" s="15"/>
      <c r="B70" s="176"/>
      <c r="C70" s="157"/>
      <c r="D70" s="206"/>
      <c r="E70" s="209" t="s">
        <v>253</v>
      </c>
      <c r="F70" s="204">
        <f>Equations!F77</f>
        <v>27.6875</v>
      </c>
      <c r="G70" s="174" t="s">
        <v>69</v>
      </c>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75"/>
    </row>
    <row r="71" spans="1:40" ht="16.899999999999999" customHeight="1" x14ac:dyDescent="0.3">
      <c r="A71" s="15"/>
      <c r="B71" s="176"/>
      <c r="C71" s="157"/>
      <c r="D71" s="206"/>
      <c r="E71" s="211" t="s">
        <v>324</v>
      </c>
      <c r="F71" s="86">
        <v>22</v>
      </c>
      <c r="G71" s="174" t="s">
        <v>69</v>
      </c>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75"/>
    </row>
    <row r="72" spans="1:40" ht="15" customHeight="1" x14ac:dyDescent="0.2">
      <c r="A72" s="15"/>
      <c r="B72" s="176"/>
      <c r="C72" s="157"/>
      <c r="D72" s="206"/>
      <c r="E72" s="208" t="s">
        <v>258</v>
      </c>
      <c r="F72" s="204">
        <f>Equations!F79</f>
        <v>3.52</v>
      </c>
      <c r="G72" s="174" t="s">
        <v>5</v>
      </c>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c r="AL72" s="157"/>
      <c r="AM72" s="212" t="s">
        <v>176</v>
      </c>
    </row>
    <row r="73" spans="1:40" ht="31.9" customHeight="1" thickBot="1" x14ac:dyDescent="0.25">
      <c r="A73" s="15"/>
      <c r="B73" s="178"/>
      <c r="C73" s="179"/>
      <c r="D73" s="213"/>
      <c r="E73" s="214" t="s">
        <v>263</v>
      </c>
      <c r="F73" s="215">
        <f>Equations!F81</f>
        <v>1.1332922865938351</v>
      </c>
      <c r="G73" s="216"/>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c r="AK73" s="179"/>
      <c r="AL73" s="179"/>
      <c r="AM73" s="217"/>
    </row>
    <row r="74" spans="1:40" ht="15" customHeight="1" x14ac:dyDescent="0.25">
      <c r="A74" s="15"/>
      <c r="B74" s="218" t="s">
        <v>160</v>
      </c>
      <c r="C74" s="219"/>
      <c r="D74" s="157"/>
      <c r="E74" s="220" t="s">
        <v>382</v>
      </c>
      <c r="F74" s="154">
        <v>9</v>
      </c>
      <c r="G74" s="221" t="s">
        <v>50</v>
      </c>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75"/>
      <c r="AN74" s="185" t="s">
        <v>14</v>
      </c>
    </row>
    <row r="75" spans="1:40" ht="15" customHeight="1" x14ac:dyDescent="0.2">
      <c r="A75" s="15"/>
      <c r="B75" s="176"/>
      <c r="C75" s="157"/>
      <c r="D75" s="157"/>
      <c r="E75" s="220" t="s">
        <v>379</v>
      </c>
      <c r="F75" s="222">
        <v>10</v>
      </c>
      <c r="G75" s="223" t="s">
        <v>48</v>
      </c>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75"/>
    </row>
    <row r="76" spans="1:40" ht="15" customHeight="1" x14ac:dyDescent="0.2">
      <c r="A76" s="15"/>
      <c r="B76" s="176"/>
      <c r="C76" s="157"/>
      <c r="D76" s="157"/>
      <c r="E76" s="220" t="s">
        <v>380</v>
      </c>
      <c r="F76" s="89">
        <v>21.5</v>
      </c>
      <c r="G76" s="223" t="s">
        <v>48</v>
      </c>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57"/>
      <c r="AK76" s="157"/>
      <c r="AL76" s="157"/>
      <c r="AM76" s="175"/>
    </row>
    <row r="77" spans="1:40" ht="15" customHeight="1" x14ac:dyDescent="0.2">
      <c r="A77" s="15"/>
      <c r="B77" s="176"/>
      <c r="C77" s="157"/>
      <c r="D77" s="157"/>
      <c r="E77" s="220" t="s">
        <v>381</v>
      </c>
      <c r="F77" s="222">
        <f>Equations!F89</f>
        <v>121.83333333333331</v>
      </c>
      <c r="G77" s="223" t="s">
        <v>48</v>
      </c>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c r="AK77" s="157"/>
      <c r="AL77" s="157"/>
      <c r="AM77" s="175"/>
    </row>
    <row r="78" spans="1:40" ht="15" customHeight="1" x14ac:dyDescent="0.2">
      <c r="A78" s="15"/>
      <c r="B78" s="176"/>
      <c r="C78" s="157"/>
      <c r="D78" s="157"/>
      <c r="E78" s="220" t="s">
        <v>383</v>
      </c>
      <c r="F78" s="89">
        <v>122</v>
      </c>
      <c r="G78" s="221" t="s">
        <v>48</v>
      </c>
      <c r="H78" s="157"/>
      <c r="I78" s="157"/>
      <c r="J78" s="224"/>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c r="AL78" s="157"/>
      <c r="AM78" s="175"/>
    </row>
    <row r="79" spans="1:40" ht="15" customHeight="1" x14ac:dyDescent="0.2">
      <c r="A79" s="15"/>
      <c r="B79" s="176"/>
      <c r="C79" s="157"/>
      <c r="D79" s="157"/>
      <c r="E79" s="157"/>
      <c r="F79" s="157"/>
      <c r="G79" s="225"/>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75"/>
    </row>
    <row r="80" spans="1:40" ht="15" customHeight="1" thickBot="1" x14ac:dyDescent="0.25">
      <c r="A80" s="15"/>
      <c r="B80" s="176"/>
      <c r="C80" s="226" t="s">
        <v>21</v>
      </c>
      <c r="D80" s="227" t="s">
        <v>18</v>
      </c>
      <c r="E80" s="227" t="s">
        <v>19</v>
      </c>
      <c r="F80" s="227" t="s">
        <v>20</v>
      </c>
      <c r="G80" s="225"/>
      <c r="H80" s="206"/>
      <c r="I80" s="206"/>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75"/>
    </row>
    <row r="81" spans="1:39" ht="15" customHeight="1" thickBot="1" x14ac:dyDescent="0.25">
      <c r="A81" s="15"/>
      <c r="B81" s="176"/>
      <c r="C81" s="200" t="s">
        <v>55</v>
      </c>
      <c r="D81" s="228">
        <f>Equations!E94</f>
        <v>8.8102325581395355</v>
      </c>
      <c r="E81" s="228">
        <f>Equations!F94</f>
        <v>9.0104651162790717</v>
      </c>
      <c r="F81" s="228">
        <f>Equations!G94</f>
        <v>9.2106976744186042</v>
      </c>
      <c r="G81" s="221" t="s">
        <v>50</v>
      </c>
      <c r="H81" s="206"/>
      <c r="I81" s="206"/>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c r="AL81" s="157"/>
      <c r="AM81" s="175"/>
    </row>
    <row r="82" spans="1:39" ht="15" customHeight="1" x14ac:dyDescent="0.2">
      <c r="A82" s="15"/>
      <c r="B82" s="176"/>
      <c r="C82" s="200" t="s">
        <v>56</v>
      </c>
      <c r="D82" s="228">
        <f>Equations!E95</f>
        <v>8.1427906976744193</v>
      </c>
      <c r="E82" s="228">
        <f>Equations!F95</f>
        <v>8.3430232558139537</v>
      </c>
      <c r="F82" s="228">
        <f>Equations!G95</f>
        <v>8.5432558139534898</v>
      </c>
      <c r="G82" s="221" t="s">
        <v>50</v>
      </c>
      <c r="H82" s="206"/>
      <c r="I82" s="206"/>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57"/>
      <c r="AM82" s="175"/>
    </row>
    <row r="83" spans="1:39" ht="15" customHeight="1" thickBot="1" x14ac:dyDescent="0.25">
      <c r="A83" s="15"/>
      <c r="B83" s="176"/>
      <c r="C83" s="206"/>
      <c r="D83" s="206"/>
      <c r="E83" s="206"/>
      <c r="F83" s="206"/>
      <c r="G83" s="206"/>
      <c r="H83" s="229"/>
      <c r="I83" s="206"/>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57"/>
      <c r="AM83" s="175"/>
    </row>
    <row r="84" spans="1:39" ht="18.75" customHeight="1" x14ac:dyDescent="0.25">
      <c r="A84" s="15"/>
      <c r="B84" s="167" t="s">
        <v>163</v>
      </c>
      <c r="C84" s="168"/>
      <c r="D84" s="168"/>
      <c r="E84" s="230" t="s">
        <v>64</v>
      </c>
      <c r="F84" s="231">
        <f>Rs</f>
        <v>2</v>
      </c>
      <c r="G84" s="232" t="s">
        <v>49</v>
      </c>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8"/>
      <c r="AJ84" s="168"/>
      <c r="AK84" s="168"/>
      <c r="AL84" s="168"/>
      <c r="AM84" s="171"/>
    </row>
    <row r="85" spans="1:39" ht="15" customHeight="1" x14ac:dyDescent="0.25">
      <c r="A85" s="15"/>
      <c r="B85" s="172"/>
      <c r="C85" s="157"/>
      <c r="D85" s="157"/>
      <c r="E85" s="233" t="s">
        <v>161</v>
      </c>
      <c r="F85" s="234" t="str">
        <f>IF(F21="No","DNP",RDIV1)</f>
        <v>DNP</v>
      </c>
      <c r="G85" s="235" t="s">
        <v>51</v>
      </c>
      <c r="H85" s="157"/>
      <c r="I85" s="157"/>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206"/>
      <c r="AM85" s="236"/>
    </row>
    <row r="86" spans="1:39" ht="14.25" customHeight="1" thickBot="1" x14ac:dyDescent="0.3">
      <c r="A86" s="15"/>
      <c r="B86" s="172"/>
      <c r="C86" s="157"/>
      <c r="D86" s="157"/>
      <c r="E86" s="233" t="s">
        <v>162</v>
      </c>
      <c r="F86" s="234" t="str">
        <f>IF(F21="No","short",RDIV2)</f>
        <v>short</v>
      </c>
      <c r="G86" s="235" t="s">
        <v>51</v>
      </c>
      <c r="H86" s="157"/>
      <c r="I86" s="157"/>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H86" s="206"/>
      <c r="AI86" s="206"/>
      <c r="AJ86" s="206"/>
      <c r="AK86" s="206"/>
      <c r="AL86" s="206"/>
      <c r="AM86" s="236"/>
    </row>
    <row r="87" spans="1:39" ht="15" customHeight="1" x14ac:dyDescent="0.2">
      <c r="A87" s="15"/>
      <c r="B87" s="176"/>
      <c r="C87" s="157"/>
      <c r="D87" s="157"/>
      <c r="E87" s="237" t="s">
        <v>8</v>
      </c>
      <c r="F87" s="238">
        <f>F78</f>
        <v>122</v>
      </c>
      <c r="G87" s="239" t="s">
        <v>48</v>
      </c>
      <c r="H87" s="157"/>
      <c r="I87" s="240"/>
      <c r="J87" s="241"/>
      <c r="K87" s="242" t="s">
        <v>19</v>
      </c>
      <c r="L87" s="243" t="s">
        <v>110</v>
      </c>
      <c r="M87" s="227"/>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175"/>
    </row>
    <row r="88" spans="1:39" ht="15" customHeight="1" x14ac:dyDescent="0.2">
      <c r="A88" s="15"/>
      <c r="B88" s="176"/>
      <c r="C88" s="157"/>
      <c r="D88" s="157"/>
      <c r="E88" s="237" t="s">
        <v>9</v>
      </c>
      <c r="F88" s="238">
        <f>F76</f>
        <v>21.5</v>
      </c>
      <c r="G88" s="239" t="s">
        <v>48</v>
      </c>
      <c r="H88" s="157"/>
      <c r="I88" s="245"/>
      <c r="J88" s="246" t="s">
        <v>164</v>
      </c>
      <c r="K88" s="247">
        <f>F29</f>
        <v>25</v>
      </c>
      <c r="L88" s="248" t="s">
        <v>17</v>
      </c>
      <c r="M88" s="249"/>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75"/>
    </row>
    <row r="89" spans="1:39" ht="15" customHeight="1" x14ac:dyDescent="0.2">
      <c r="A89" s="15"/>
      <c r="B89" s="176"/>
      <c r="C89" s="157"/>
      <c r="D89" s="157"/>
      <c r="E89" s="237" t="s">
        <v>10</v>
      </c>
      <c r="F89" s="191">
        <f>F46</f>
        <v>82</v>
      </c>
      <c r="G89" s="239" t="s">
        <v>48</v>
      </c>
      <c r="H89" s="157"/>
      <c r="I89" s="245"/>
      <c r="J89" s="246" t="s">
        <v>118</v>
      </c>
      <c r="K89" s="250">
        <f>F49</f>
        <v>108.69565217391303</v>
      </c>
      <c r="L89" s="248" t="s">
        <v>51</v>
      </c>
      <c r="M89" s="251"/>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75"/>
    </row>
    <row r="90" spans="1:39" ht="15" customHeight="1" x14ac:dyDescent="0.2">
      <c r="A90" s="15"/>
      <c r="B90" s="176"/>
      <c r="C90" s="157"/>
      <c r="D90" s="157"/>
      <c r="E90" s="237" t="s">
        <v>11</v>
      </c>
      <c r="F90" s="252">
        <f>RPWR</f>
        <v>10</v>
      </c>
      <c r="G90" s="239" t="s">
        <v>48</v>
      </c>
      <c r="H90" s="157"/>
      <c r="I90" s="245"/>
      <c r="J90" s="246" t="s">
        <v>165</v>
      </c>
      <c r="K90" s="253">
        <f>IF(F53="YES", F72,F59)</f>
        <v>3.52</v>
      </c>
      <c r="L90" s="248" t="s">
        <v>5</v>
      </c>
      <c r="M90" s="249"/>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c r="AL90" s="157"/>
      <c r="AM90" s="175"/>
    </row>
    <row r="91" spans="1:39" ht="15" customHeight="1" x14ac:dyDescent="0.2">
      <c r="A91" s="15"/>
      <c r="B91" s="176"/>
      <c r="C91" s="157"/>
      <c r="D91" s="157"/>
      <c r="E91" s="237" t="s">
        <v>12</v>
      </c>
      <c r="F91" s="204">
        <f>IF(F53="YES", F71, F58)</f>
        <v>22</v>
      </c>
      <c r="G91" s="254" t="s">
        <v>69</v>
      </c>
      <c r="H91" s="157"/>
      <c r="I91" s="245"/>
      <c r="J91" s="255" t="s">
        <v>166</v>
      </c>
      <c r="K91" s="247">
        <f>E81</f>
        <v>9.0104651162790717</v>
      </c>
      <c r="L91" s="248" t="s">
        <v>50</v>
      </c>
      <c r="M91" s="256"/>
      <c r="N91" s="157"/>
      <c r="O91" s="157"/>
      <c r="P91" s="157"/>
      <c r="Q91" s="157"/>
      <c r="R91" s="157"/>
      <c r="S91" s="157"/>
      <c r="T91" s="157"/>
      <c r="U91" s="157"/>
      <c r="V91" s="157"/>
      <c r="W91" s="157"/>
      <c r="X91" s="157"/>
      <c r="Y91" s="157"/>
      <c r="Z91" s="157"/>
      <c r="AA91" s="157"/>
      <c r="AB91" s="157"/>
      <c r="AC91" s="157"/>
      <c r="AD91" s="157"/>
      <c r="AE91" s="157"/>
      <c r="AF91" s="157"/>
      <c r="AG91" s="157"/>
      <c r="AH91" s="157"/>
      <c r="AI91" s="157"/>
      <c r="AJ91" s="157"/>
      <c r="AK91" s="157"/>
      <c r="AL91" s="157"/>
      <c r="AM91" s="175"/>
    </row>
    <row r="92" spans="1:39" ht="15" customHeight="1" x14ac:dyDescent="0.2">
      <c r="A92" s="15"/>
      <c r="B92" s="176"/>
      <c r="C92" s="157"/>
      <c r="D92" s="157"/>
      <c r="E92" s="237" t="s">
        <v>360</v>
      </c>
      <c r="F92" s="257">
        <v>0.1</v>
      </c>
      <c r="G92" s="239" t="s">
        <v>47</v>
      </c>
      <c r="H92" s="157"/>
      <c r="I92" s="245"/>
      <c r="J92" s="255" t="s">
        <v>167</v>
      </c>
      <c r="K92" s="247">
        <f>E82</f>
        <v>8.3430232558139537</v>
      </c>
      <c r="L92" s="248" t="s">
        <v>50</v>
      </c>
      <c r="M92" s="249"/>
      <c r="N92" s="157"/>
      <c r="O92" s="157"/>
      <c r="P92" s="157"/>
      <c r="Q92" s="157"/>
      <c r="R92" s="157"/>
      <c r="S92" s="157"/>
      <c r="T92" s="157"/>
      <c r="U92" s="157"/>
      <c r="V92" s="157"/>
      <c r="W92" s="157"/>
      <c r="X92" s="157"/>
      <c r="Y92" s="157"/>
      <c r="Z92" s="157"/>
      <c r="AA92" s="157"/>
      <c r="AB92" s="157"/>
      <c r="AC92" s="157"/>
      <c r="AD92" s="157"/>
      <c r="AE92" s="157"/>
      <c r="AF92" s="157"/>
      <c r="AG92" s="157"/>
      <c r="AH92" s="157"/>
      <c r="AI92" s="157"/>
      <c r="AJ92" s="157"/>
      <c r="AK92" s="157"/>
      <c r="AL92" s="157"/>
      <c r="AM92" s="175"/>
    </row>
    <row r="93" spans="1:39" ht="15" customHeight="1" x14ac:dyDescent="0.2">
      <c r="A93" s="15"/>
      <c r="B93" s="176"/>
      <c r="C93" s="157"/>
      <c r="D93" s="157"/>
      <c r="E93" s="258" t="s">
        <v>356</v>
      </c>
      <c r="F93" s="259" t="str">
        <f>F32</f>
        <v>FDB031N08</v>
      </c>
      <c r="G93" s="254"/>
      <c r="H93" s="157"/>
      <c r="M93" s="260"/>
      <c r="N93" s="157"/>
      <c r="O93" s="157"/>
      <c r="P93" s="157"/>
      <c r="Q93" s="157"/>
      <c r="R93" s="157"/>
      <c r="S93" s="157"/>
      <c r="T93" s="157"/>
      <c r="U93" s="157"/>
      <c r="V93" s="157"/>
      <c r="W93" s="157"/>
      <c r="X93" s="157"/>
      <c r="Y93" s="157"/>
      <c r="Z93" s="157"/>
      <c r="AA93" s="157"/>
      <c r="AB93" s="157"/>
      <c r="AC93" s="157"/>
      <c r="AD93" s="157"/>
      <c r="AE93" s="157"/>
      <c r="AF93" s="157"/>
      <c r="AG93" s="157"/>
      <c r="AH93" s="157"/>
      <c r="AI93" s="157"/>
      <c r="AJ93" s="157"/>
      <c r="AK93" s="157"/>
      <c r="AL93" s="157"/>
      <c r="AM93" s="175"/>
    </row>
    <row r="94" spans="1:39" ht="15" customHeight="1" x14ac:dyDescent="0.2">
      <c r="A94" s="15"/>
      <c r="B94" s="176"/>
      <c r="C94" s="157"/>
      <c r="D94" s="157"/>
      <c r="E94" s="233" t="s">
        <v>361</v>
      </c>
      <c r="F94" s="261">
        <f>IF(F53="YES", 1, "DNP" )</f>
        <v>1</v>
      </c>
      <c r="G94" s="239" t="s">
        <v>48</v>
      </c>
      <c r="H94" s="157"/>
      <c r="I94" s="157"/>
      <c r="J94" s="157"/>
      <c r="K94" s="157"/>
      <c r="L94" s="157"/>
      <c r="M94" s="260"/>
      <c r="N94" s="157"/>
      <c r="O94" s="157"/>
      <c r="P94" s="157"/>
      <c r="Q94" s="157"/>
      <c r="R94" s="157"/>
      <c r="S94" s="157"/>
      <c r="T94" s="157"/>
      <c r="U94" s="157"/>
      <c r="V94" s="157"/>
      <c r="W94" s="157"/>
      <c r="X94" s="157"/>
      <c r="Y94" s="157"/>
      <c r="Z94" s="157"/>
      <c r="AA94" s="157"/>
      <c r="AB94" s="157"/>
      <c r="AC94" s="157"/>
      <c r="AD94" s="157"/>
      <c r="AE94" s="157"/>
      <c r="AF94" s="157"/>
      <c r="AG94" s="157"/>
      <c r="AH94" s="157"/>
      <c r="AI94" s="157"/>
      <c r="AJ94" s="157"/>
      <c r="AK94" s="157"/>
      <c r="AL94" s="157"/>
      <c r="AM94" s="175"/>
    </row>
    <row r="95" spans="1:39" ht="15" customHeight="1" x14ac:dyDescent="0.2">
      <c r="A95" s="15"/>
      <c r="B95" s="176"/>
      <c r="C95" s="157"/>
      <c r="D95" s="157"/>
      <c r="E95" s="233" t="s">
        <v>362</v>
      </c>
      <c r="F95" s="262">
        <f>IF(F53="YES", F66, "DNP" )</f>
        <v>44</v>
      </c>
      <c r="G95" s="254" t="s">
        <v>69</v>
      </c>
      <c r="H95" s="157"/>
      <c r="I95" s="157"/>
      <c r="J95" s="157"/>
      <c r="K95" s="157"/>
      <c r="L95" s="157"/>
      <c r="M95" s="260"/>
      <c r="N95" s="157"/>
      <c r="O95" s="157"/>
      <c r="P95" s="157"/>
      <c r="Q95" s="157"/>
      <c r="R95" s="157"/>
      <c r="S95" s="157"/>
      <c r="T95" s="157"/>
      <c r="U95" s="157"/>
      <c r="V95" s="157"/>
      <c r="W95" s="157"/>
      <c r="X95" s="157"/>
      <c r="Y95" s="157"/>
      <c r="Z95" s="157"/>
      <c r="AA95" s="157"/>
      <c r="AB95" s="157"/>
      <c r="AC95" s="157"/>
      <c r="AD95" s="157"/>
      <c r="AE95" s="157"/>
      <c r="AF95" s="157"/>
      <c r="AG95" s="157"/>
      <c r="AH95" s="157"/>
      <c r="AI95" s="157"/>
      <c r="AJ95" s="157"/>
      <c r="AK95" s="157"/>
      <c r="AL95" s="157"/>
      <c r="AM95" s="175"/>
    </row>
    <row r="96" spans="1:39" ht="15" customHeight="1" x14ac:dyDescent="0.2">
      <c r="A96" s="15"/>
      <c r="B96" s="176"/>
      <c r="C96" s="157"/>
      <c r="D96" s="157"/>
      <c r="H96" s="157"/>
      <c r="I96" s="157"/>
      <c r="J96" s="157"/>
      <c r="K96" s="157"/>
      <c r="L96" s="157"/>
      <c r="M96" s="260"/>
      <c r="N96" s="157"/>
      <c r="O96" s="157"/>
      <c r="P96" s="157"/>
      <c r="Q96" s="157"/>
      <c r="R96" s="157"/>
      <c r="S96" s="157"/>
      <c r="T96" s="157"/>
      <c r="U96" s="157"/>
      <c r="V96" s="157"/>
      <c r="W96" s="157"/>
      <c r="X96" s="157"/>
      <c r="Y96" s="157"/>
      <c r="Z96" s="157"/>
      <c r="AA96" s="157"/>
      <c r="AB96" s="157"/>
      <c r="AC96" s="157"/>
      <c r="AD96" s="157"/>
      <c r="AE96" s="157"/>
      <c r="AF96" s="157"/>
      <c r="AG96" s="157"/>
      <c r="AH96" s="157"/>
      <c r="AI96" s="157"/>
      <c r="AJ96" s="157"/>
      <c r="AK96" s="157"/>
      <c r="AL96" s="157"/>
      <c r="AM96" s="175"/>
    </row>
    <row r="97" spans="1:40" ht="15" customHeight="1" x14ac:dyDescent="0.2">
      <c r="A97" s="15"/>
      <c r="B97" s="176"/>
      <c r="C97" s="157"/>
      <c r="D97" s="157"/>
      <c r="E97" s="173"/>
      <c r="F97" s="264"/>
      <c r="G97" s="254"/>
      <c r="H97" s="157"/>
      <c r="I97" s="157"/>
      <c r="J97" s="157"/>
      <c r="K97" s="157"/>
      <c r="L97" s="157"/>
      <c r="M97" s="260"/>
      <c r="N97" s="157"/>
      <c r="O97" s="157"/>
      <c r="P97" s="157"/>
      <c r="Q97" s="157"/>
      <c r="R97" s="157"/>
      <c r="S97" s="157"/>
      <c r="T97" s="157"/>
      <c r="U97" s="157"/>
      <c r="V97" s="157"/>
      <c r="W97" s="157"/>
      <c r="X97" s="157"/>
      <c r="Y97" s="157"/>
      <c r="Z97" s="157"/>
      <c r="AA97" s="157"/>
      <c r="AB97" s="157"/>
      <c r="AC97" s="157"/>
      <c r="AD97" s="157"/>
      <c r="AE97" s="157"/>
      <c r="AF97" s="157"/>
      <c r="AG97" s="157"/>
      <c r="AH97" s="157"/>
      <c r="AI97" s="157"/>
      <c r="AJ97" s="157"/>
      <c r="AK97" s="157"/>
      <c r="AL97" s="157"/>
      <c r="AM97" s="175"/>
    </row>
    <row r="98" spans="1:40" ht="15" customHeight="1" x14ac:dyDescent="0.2">
      <c r="A98" s="15"/>
      <c r="B98" s="176"/>
      <c r="C98" s="157"/>
      <c r="D98" s="157"/>
      <c r="E98" s="173"/>
      <c r="F98" s="264"/>
      <c r="G98" s="254"/>
      <c r="H98" s="157"/>
      <c r="I98" s="157"/>
      <c r="J98" s="157"/>
      <c r="K98" s="157"/>
      <c r="L98" s="157"/>
      <c r="M98" s="260"/>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c r="AK98" s="157"/>
      <c r="AL98" s="157"/>
      <c r="AM98" s="175"/>
    </row>
    <row r="99" spans="1:40" ht="15" customHeight="1" x14ac:dyDescent="0.2">
      <c r="A99" s="15"/>
      <c r="B99" s="176"/>
      <c r="C99" s="157"/>
      <c r="D99" s="157"/>
      <c r="E99" s="173"/>
      <c r="F99" s="264"/>
      <c r="G99" s="254"/>
      <c r="H99" s="157"/>
      <c r="I99" s="157"/>
      <c r="J99" s="157"/>
      <c r="K99" s="157"/>
      <c r="L99" s="157"/>
      <c r="M99" s="265"/>
      <c r="N99" s="157"/>
      <c r="O99" s="157"/>
      <c r="P99" s="157"/>
      <c r="Q99" s="157"/>
      <c r="R99" s="157"/>
      <c r="S99" s="157"/>
      <c r="T99" s="157"/>
      <c r="U99" s="157"/>
      <c r="V99" s="157"/>
      <c r="W99" s="157"/>
      <c r="X99" s="157"/>
      <c r="Y99" s="157"/>
      <c r="Z99" s="157"/>
      <c r="AA99" s="157"/>
      <c r="AB99" s="157"/>
      <c r="AC99" s="157"/>
      <c r="AD99" s="157"/>
      <c r="AE99" s="157"/>
      <c r="AF99" s="157"/>
      <c r="AG99" s="157"/>
      <c r="AH99" s="157"/>
      <c r="AI99" s="157"/>
      <c r="AJ99" s="157"/>
      <c r="AK99" s="157"/>
      <c r="AL99" s="157"/>
      <c r="AM99" s="175"/>
    </row>
    <row r="100" spans="1:40" ht="15" customHeight="1" x14ac:dyDescent="0.2">
      <c r="A100" s="15"/>
      <c r="B100" s="176"/>
      <c r="C100" s="157"/>
      <c r="D100" s="157"/>
      <c r="E100" s="173"/>
      <c r="F100" s="264"/>
      <c r="G100" s="254"/>
      <c r="H100" s="157"/>
      <c r="I100" s="157"/>
      <c r="J100" s="157"/>
      <c r="K100" s="157"/>
      <c r="L100" s="157"/>
      <c r="M100" s="157"/>
      <c r="N100" s="157"/>
      <c r="O100" s="157"/>
      <c r="P100" s="157"/>
      <c r="Q100" s="157"/>
      <c r="R100" s="157"/>
      <c r="S100" s="157"/>
      <c r="T100" s="157"/>
      <c r="U100" s="157"/>
      <c r="V100" s="157"/>
      <c r="W100" s="157"/>
      <c r="X100" s="157"/>
      <c r="Y100" s="157"/>
      <c r="Z100" s="157"/>
      <c r="AA100" s="157"/>
      <c r="AB100" s="157"/>
      <c r="AC100" s="157"/>
      <c r="AD100" s="157"/>
      <c r="AE100" s="157"/>
      <c r="AF100" s="157"/>
      <c r="AG100" s="157"/>
      <c r="AH100" s="157"/>
      <c r="AI100" s="157"/>
      <c r="AJ100" s="157"/>
      <c r="AK100" s="157"/>
      <c r="AL100" s="157"/>
      <c r="AM100" s="175"/>
      <c r="AN100" s="185"/>
    </row>
    <row r="101" spans="1:40" ht="15.75" x14ac:dyDescent="0.3">
      <c r="A101" s="15"/>
      <c r="B101" s="266" t="s">
        <v>13</v>
      </c>
      <c r="C101" s="267" t="s">
        <v>54</v>
      </c>
      <c r="D101" s="268"/>
      <c r="E101" s="267"/>
      <c r="F101" s="269"/>
      <c r="G101" s="254"/>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K101" s="157"/>
      <c r="AL101" s="157"/>
      <c r="AM101" s="175"/>
      <c r="AN101" s="185"/>
    </row>
    <row r="102" spans="1:40" x14ac:dyDescent="0.2">
      <c r="A102" s="15"/>
      <c r="B102" s="176"/>
      <c r="C102" s="267" t="s">
        <v>63</v>
      </c>
      <c r="D102" s="157"/>
      <c r="E102" s="267"/>
      <c r="F102" s="157"/>
      <c r="G102" s="254"/>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7"/>
      <c r="AH102" s="157"/>
      <c r="AI102" s="157"/>
      <c r="AJ102" s="157"/>
      <c r="AK102" s="157"/>
      <c r="AL102" s="157"/>
      <c r="AM102" s="175"/>
    </row>
    <row r="103" spans="1:40" x14ac:dyDescent="0.2">
      <c r="A103" s="15"/>
      <c r="B103" s="176"/>
      <c r="C103" s="267" t="s">
        <v>173</v>
      </c>
      <c r="D103" s="157"/>
      <c r="E103" s="267"/>
      <c r="F103" s="157"/>
      <c r="G103" s="254"/>
      <c r="H103" s="157"/>
      <c r="I103" s="157"/>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E103" s="157"/>
      <c r="AF103" s="157"/>
      <c r="AG103" s="157"/>
      <c r="AH103" s="157"/>
      <c r="AI103" s="157"/>
      <c r="AJ103" s="157"/>
      <c r="AK103" s="157"/>
      <c r="AL103" s="157"/>
      <c r="AM103" s="175"/>
    </row>
    <row r="104" spans="1:40" ht="13.5" thickBot="1" x14ac:dyDescent="0.25">
      <c r="A104" s="15"/>
      <c r="B104" s="178"/>
      <c r="C104" s="179"/>
      <c r="D104" s="179"/>
      <c r="E104" s="270"/>
      <c r="F104" s="179"/>
      <c r="G104" s="271"/>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79"/>
      <c r="AM104" s="182"/>
    </row>
    <row r="105" spans="1:40" x14ac:dyDescent="0.2">
      <c r="A105" s="15"/>
      <c r="B105" s="15"/>
      <c r="C105" s="15"/>
      <c r="D105" s="15"/>
      <c r="E105" s="15"/>
      <c r="F105" s="15"/>
      <c r="G105" s="158"/>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row>
    <row r="106" spans="1:40" ht="15" x14ac:dyDescent="0.25">
      <c r="A106" s="15"/>
      <c r="B106" s="272"/>
      <c r="C106" s="15"/>
      <c r="D106" s="15"/>
      <c r="E106" s="15"/>
      <c r="F106" s="273"/>
      <c r="G106" s="265"/>
      <c r="H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row>
    <row r="107" spans="1:40" x14ac:dyDescent="0.2">
      <c r="A107" s="15"/>
      <c r="B107" s="15"/>
      <c r="C107" s="15"/>
      <c r="D107" s="15"/>
      <c r="E107" s="15"/>
      <c r="F107" s="273"/>
      <c r="G107" s="26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row>
    <row r="108" spans="1:40" x14ac:dyDescent="0.2">
      <c r="A108" s="15"/>
      <c r="B108" s="15"/>
      <c r="C108" s="15"/>
      <c r="D108" s="15"/>
      <c r="E108" s="15"/>
      <c r="F108" s="273"/>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row>
    <row r="109" spans="1:40" x14ac:dyDescent="0.2">
      <c r="A109" s="15"/>
      <c r="B109" s="15"/>
      <c r="C109" s="15"/>
      <c r="D109" s="15"/>
      <c r="E109" s="15"/>
      <c r="F109" s="273"/>
      <c r="G109" s="274"/>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row>
    <row r="110" spans="1:40" x14ac:dyDescent="0.2">
      <c r="A110" s="15"/>
      <c r="B110" s="15"/>
      <c r="C110" s="15"/>
      <c r="D110" s="15"/>
      <c r="E110" s="15"/>
      <c r="F110" s="273"/>
      <c r="G110" s="274"/>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row>
    <row r="111" spans="1:40" x14ac:dyDescent="0.2">
      <c r="A111" s="15"/>
      <c r="B111" s="15"/>
      <c r="C111" s="15"/>
      <c r="D111" s="15"/>
      <c r="E111" s="15"/>
      <c r="F111" s="273"/>
      <c r="G111" s="274"/>
      <c r="H111" s="273"/>
      <c r="I111" s="273"/>
      <c r="J111" s="273"/>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row>
    <row r="112" spans="1:40" x14ac:dyDescent="0.2">
      <c r="A112" s="15"/>
      <c r="B112" s="15"/>
      <c r="C112" s="15"/>
      <c r="D112" s="15"/>
      <c r="E112" s="15"/>
      <c r="F112" s="273"/>
      <c r="G112" s="274"/>
      <c r="H112" s="273"/>
      <c r="I112" s="273"/>
      <c r="J112" s="273"/>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row>
    <row r="113" spans="1:39" x14ac:dyDescent="0.2">
      <c r="A113" s="15"/>
      <c r="B113" s="15"/>
      <c r="C113" s="15"/>
      <c r="D113" s="15"/>
      <c r="E113" s="15"/>
      <c r="F113" s="273"/>
      <c r="G113" s="274"/>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row>
    <row r="114" spans="1:39" x14ac:dyDescent="0.2">
      <c r="A114" s="15"/>
      <c r="B114" s="15"/>
      <c r="C114" s="15"/>
      <c r="D114" s="15"/>
      <c r="E114" s="15"/>
      <c r="F114" s="15"/>
      <c r="G114" s="274"/>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row>
    <row r="115" spans="1:39" x14ac:dyDescent="0.2">
      <c r="A115" s="15"/>
      <c r="B115" s="15"/>
      <c r="C115" s="15"/>
      <c r="D115" s="15"/>
      <c r="E115" s="15"/>
      <c r="F115" s="273"/>
      <c r="G115" s="274"/>
      <c r="H115" s="273"/>
      <c r="I115" s="273"/>
      <c r="J115" s="273"/>
      <c r="K115" s="273"/>
      <c r="L115" s="273"/>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row>
    <row r="116" spans="1:39" x14ac:dyDescent="0.2">
      <c r="A116" s="15"/>
      <c r="B116" s="15"/>
      <c r="C116" s="15"/>
      <c r="D116" s="15"/>
      <c r="E116" s="15"/>
      <c r="F116" s="273"/>
      <c r="G116" s="274"/>
      <c r="H116" s="273"/>
      <c r="I116" s="273"/>
      <c r="J116" s="273"/>
      <c r="K116" s="273"/>
      <c r="L116" s="273"/>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row>
    <row r="117" spans="1:39" x14ac:dyDescent="0.2">
      <c r="A117" s="15"/>
      <c r="B117" s="15"/>
      <c r="C117" s="15"/>
      <c r="D117" s="15"/>
      <c r="E117" s="15"/>
      <c r="F117" s="273"/>
      <c r="G117" s="158"/>
      <c r="H117" s="273"/>
      <c r="I117" s="273"/>
      <c r="J117" s="273"/>
      <c r="K117" s="273"/>
      <c r="L117" s="273"/>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row>
    <row r="118" spans="1:39" x14ac:dyDescent="0.2">
      <c r="A118" s="15"/>
      <c r="B118" s="15"/>
      <c r="C118" s="15"/>
      <c r="D118" s="15"/>
      <c r="E118" s="15"/>
      <c r="F118" s="273"/>
      <c r="G118" s="274"/>
      <c r="H118" s="273"/>
      <c r="I118" s="273"/>
      <c r="J118" s="273"/>
      <c r="K118" s="273"/>
      <c r="L118" s="273"/>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row>
    <row r="119" spans="1:39" x14ac:dyDescent="0.2">
      <c r="A119" s="15"/>
      <c r="B119" s="15"/>
      <c r="C119" s="15"/>
      <c r="D119" s="15"/>
      <c r="E119" s="15"/>
      <c r="F119" s="273"/>
      <c r="G119" s="274"/>
      <c r="H119" s="273"/>
      <c r="I119" s="273"/>
      <c r="J119" s="273"/>
      <c r="K119" s="273"/>
      <c r="L119" s="273"/>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row>
    <row r="120" spans="1:39" x14ac:dyDescent="0.2">
      <c r="A120" s="15"/>
      <c r="B120" s="15"/>
      <c r="C120" s="15"/>
      <c r="D120" s="15"/>
      <c r="E120" s="15"/>
      <c r="F120" s="273"/>
      <c r="G120" s="274"/>
      <c r="H120" s="273"/>
      <c r="I120" s="273"/>
      <c r="J120" s="273"/>
      <c r="K120" s="273"/>
      <c r="L120" s="273"/>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row>
    <row r="121" spans="1:39" x14ac:dyDescent="0.2">
      <c r="A121" s="15"/>
      <c r="B121" s="15"/>
      <c r="C121" s="15"/>
      <c r="D121" s="15"/>
      <c r="E121" s="15"/>
      <c r="F121" s="15"/>
      <c r="G121" s="274"/>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row>
    <row r="122" spans="1:39" x14ac:dyDescent="0.2">
      <c r="A122" s="15"/>
      <c r="B122" s="15"/>
      <c r="C122" s="15"/>
      <c r="D122" s="15"/>
      <c r="E122" s="15"/>
      <c r="F122" s="15"/>
      <c r="G122" s="274"/>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row>
    <row r="123" spans="1:39" x14ac:dyDescent="0.2">
      <c r="A123" s="15"/>
      <c r="B123" s="15"/>
      <c r="C123" s="15"/>
      <c r="D123" s="15"/>
      <c r="E123" s="15"/>
      <c r="F123" s="15"/>
      <c r="G123" s="274"/>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row>
    <row r="124" spans="1:39" x14ac:dyDescent="0.2">
      <c r="A124" s="15"/>
      <c r="B124" s="15"/>
      <c r="C124" s="15"/>
      <c r="D124" s="15"/>
      <c r="E124" s="15"/>
      <c r="F124" s="15"/>
      <c r="G124" s="158"/>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row>
    <row r="125" spans="1:39" x14ac:dyDescent="0.2">
      <c r="A125" s="15"/>
      <c r="B125" s="15"/>
      <c r="C125" s="15"/>
      <c r="D125" s="15"/>
      <c r="E125" s="15"/>
      <c r="F125" s="15"/>
      <c r="G125" s="158"/>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row>
    <row r="126" spans="1:39" x14ac:dyDescent="0.2">
      <c r="A126" s="15"/>
      <c r="B126" s="15"/>
      <c r="C126" s="15"/>
      <c r="D126" s="15"/>
      <c r="E126" s="15"/>
      <c r="F126" s="15"/>
      <c r="G126" s="158"/>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row>
    <row r="127" spans="1:39" x14ac:dyDescent="0.2">
      <c r="A127" s="15"/>
      <c r="B127" s="15"/>
      <c r="C127" s="15"/>
      <c r="D127" s="15"/>
      <c r="E127" s="15"/>
      <c r="F127" s="15"/>
      <c r="G127" s="158"/>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row>
    <row r="128" spans="1:39" x14ac:dyDescent="0.2">
      <c r="A128" s="15"/>
      <c r="B128" s="15"/>
      <c r="C128" s="15"/>
      <c r="D128" s="15"/>
      <c r="E128" s="15"/>
      <c r="F128" s="15"/>
      <c r="G128" s="158"/>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row>
    <row r="129" spans="1:39" x14ac:dyDescent="0.2">
      <c r="A129" s="15"/>
      <c r="B129" s="15"/>
      <c r="C129" s="15"/>
      <c r="D129" s="15"/>
      <c r="E129" s="15"/>
      <c r="F129" s="15"/>
      <c r="G129" s="158"/>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row>
    <row r="130" spans="1:39" x14ac:dyDescent="0.2">
      <c r="A130" s="15"/>
      <c r="B130" s="15"/>
      <c r="C130" s="15"/>
      <c r="D130" s="15"/>
      <c r="E130" s="15"/>
      <c r="F130" s="15"/>
      <c r="G130" s="158"/>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row>
    <row r="131" spans="1:39" x14ac:dyDescent="0.2">
      <c r="A131" s="15"/>
      <c r="B131" s="15"/>
      <c r="C131" s="15"/>
      <c r="D131" s="15"/>
      <c r="E131" s="15"/>
      <c r="F131" s="15"/>
      <c r="G131" s="158"/>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row>
    <row r="132" spans="1:39" ht="15" x14ac:dyDescent="0.25">
      <c r="A132" s="15"/>
      <c r="B132" s="275"/>
      <c r="C132" s="15"/>
      <c r="D132" s="15"/>
      <c r="E132" s="15"/>
      <c r="F132" s="15"/>
      <c r="G132" s="158"/>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row>
    <row r="133" spans="1:39" x14ac:dyDescent="0.2">
      <c r="A133" s="15"/>
      <c r="B133" s="15"/>
      <c r="C133" s="15"/>
      <c r="D133" s="15"/>
      <c r="E133" s="15"/>
      <c r="F133" s="15"/>
      <c r="G133" s="158"/>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row>
    <row r="134" spans="1:39" x14ac:dyDescent="0.2">
      <c r="A134" s="15"/>
      <c r="B134" s="15"/>
      <c r="C134" s="15"/>
      <c r="D134" s="15"/>
      <c r="E134" s="15"/>
      <c r="F134" s="15"/>
      <c r="G134" s="158"/>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row>
    <row r="135" spans="1:39" x14ac:dyDescent="0.2">
      <c r="A135" s="15"/>
      <c r="B135" s="15"/>
      <c r="C135" s="15"/>
      <c r="D135" s="15"/>
      <c r="E135" s="15"/>
      <c r="F135" s="15"/>
      <c r="G135" s="158"/>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row>
    <row r="136" spans="1:39" x14ac:dyDescent="0.2">
      <c r="A136" s="15"/>
      <c r="B136" s="15"/>
      <c r="C136" s="15"/>
      <c r="D136" s="15"/>
      <c r="E136" s="15"/>
      <c r="F136" s="15"/>
      <c r="G136" s="158"/>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row>
    <row r="137" spans="1:39" x14ac:dyDescent="0.2">
      <c r="A137" s="15"/>
      <c r="B137" s="15"/>
      <c r="D137" s="15"/>
      <c r="E137" s="15"/>
      <c r="F137" s="15"/>
      <c r="G137" s="158"/>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row>
    <row r="138" spans="1:39" x14ac:dyDescent="0.2">
      <c r="A138" s="15"/>
      <c r="B138" s="15"/>
      <c r="C138" s="15"/>
      <c r="D138" s="15"/>
      <c r="E138" s="15"/>
      <c r="F138" s="15"/>
      <c r="G138" s="158"/>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row>
    <row r="139" spans="1:39" x14ac:dyDescent="0.2">
      <c r="A139" s="15"/>
      <c r="B139" s="15"/>
      <c r="C139" s="15"/>
      <c r="D139" s="15"/>
      <c r="E139" s="15"/>
      <c r="F139" s="15"/>
      <c r="G139" s="158"/>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row>
    <row r="140" spans="1:39" x14ac:dyDescent="0.2">
      <c r="A140" s="15"/>
      <c r="B140" s="15"/>
      <c r="C140" s="15"/>
      <c r="D140" s="15"/>
      <c r="E140" s="15"/>
      <c r="F140" s="15"/>
      <c r="G140" s="158"/>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row>
    <row r="141" spans="1:39" x14ac:dyDescent="0.2">
      <c r="A141" s="15"/>
      <c r="B141" s="15"/>
      <c r="C141" s="15"/>
      <c r="D141" s="15"/>
      <c r="E141" s="15"/>
      <c r="F141" s="15"/>
      <c r="G141" s="158"/>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row>
    <row r="142" spans="1:39" x14ac:dyDescent="0.2">
      <c r="A142" s="15"/>
      <c r="B142" s="15"/>
      <c r="C142" s="15"/>
      <c r="D142" s="15"/>
      <c r="E142" s="15"/>
      <c r="F142" s="15"/>
      <c r="G142" s="158"/>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row>
    <row r="143" spans="1:39" x14ac:dyDescent="0.2">
      <c r="A143" s="15"/>
      <c r="B143" s="15"/>
      <c r="C143" s="15"/>
      <c r="D143" s="15"/>
      <c r="E143" s="15"/>
      <c r="F143" s="15"/>
      <c r="G143" s="158"/>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row>
    <row r="144" spans="1:39" x14ac:dyDescent="0.2">
      <c r="A144" s="15"/>
      <c r="B144" s="15"/>
      <c r="C144" s="15"/>
      <c r="D144" s="15"/>
      <c r="E144" s="15"/>
      <c r="F144" s="15"/>
      <c r="G144" s="158"/>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row>
    <row r="145" spans="1:39" x14ac:dyDescent="0.2">
      <c r="A145" s="15"/>
      <c r="B145" s="15"/>
      <c r="C145" s="15"/>
      <c r="D145" s="15"/>
      <c r="E145" s="15"/>
      <c r="F145" s="15"/>
      <c r="G145" s="158"/>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row>
    <row r="146" spans="1:39" x14ac:dyDescent="0.2">
      <c r="A146" s="15"/>
      <c r="B146" s="15"/>
      <c r="C146" s="15"/>
      <c r="D146" s="15"/>
      <c r="E146" s="15"/>
      <c r="F146" s="15"/>
      <c r="G146" s="158"/>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row>
    <row r="147" spans="1:39" x14ac:dyDescent="0.2">
      <c r="A147" s="15"/>
      <c r="B147" s="15"/>
      <c r="C147" s="15"/>
      <c r="D147" s="15"/>
      <c r="E147" s="15"/>
      <c r="F147" s="15"/>
      <c r="G147" s="158"/>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row>
    <row r="148" spans="1:39" x14ac:dyDescent="0.2">
      <c r="A148" s="15"/>
      <c r="B148" s="15"/>
      <c r="C148" s="15"/>
      <c r="D148" s="15"/>
      <c r="E148" s="15"/>
      <c r="F148" s="15"/>
      <c r="G148" s="158"/>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row>
    <row r="149" spans="1:39" x14ac:dyDescent="0.2">
      <c r="A149" s="15"/>
      <c r="B149" s="15"/>
      <c r="C149" s="15"/>
      <c r="D149" s="15"/>
      <c r="E149" s="15"/>
      <c r="F149" s="15"/>
      <c r="G149" s="158"/>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row>
    <row r="150" spans="1:39" x14ac:dyDescent="0.2">
      <c r="A150" s="15"/>
      <c r="B150" s="15"/>
      <c r="C150" s="15"/>
      <c r="D150" s="15"/>
      <c r="E150" s="15"/>
      <c r="F150" s="15"/>
      <c r="G150" s="158"/>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row>
    <row r="151" spans="1:39" x14ac:dyDescent="0.2">
      <c r="A151" s="15"/>
      <c r="B151" s="15"/>
      <c r="C151" s="15"/>
      <c r="D151" s="15"/>
      <c r="E151" s="15"/>
      <c r="F151" s="15"/>
      <c r="G151" s="158"/>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row>
    <row r="152" spans="1:39" x14ac:dyDescent="0.2">
      <c r="A152" s="15"/>
      <c r="B152" s="15"/>
      <c r="C152" s="15"/>
      <c r="D152" s="15"/>
      <c r="E152" s="15"/>
      <c r="F152" s="15"/>
      <c r="G152" s="158"/>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row>
    <row r="153" spans="1:39" x14ac:dyDescent="0.2">
      <c r="A153" s="15"/>
      <c r="B153" s="15"/>
      <c r="C153" s="15"/>
      <c r="D153" s="15"/>
      <c r="E153" s="15"/>
      <c r="F153" s="15"/>
      <c r="G153" s="158"/>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row>
    <row r="154" spans="1:39" x14ac:dyDescent="0.2">
      <c r="A154" s="15"/>
      <c r="B154" s="15"/>
      <c r="C154" s="15"/>
      <c r="D154" s="15"/>
      <c r="E154" s="15"/>
      <c r="F154" s="15"/>
      <c r="G154" s="158"/>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row>
    <row r="155" spans="1:39" x14ac:dyDescent="0.2">
      <c r="A155" s="15"/>
      <c r="B155" s="15"/>
      <c r="C155" s="15"/>
      <c r="D155" s="15"/>
      <c r="E155" s="15"/>
      <c r="F155" s="15"/>
      <c r="G155" s="158"/>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row>
    <row r="156" spans="1:39" x14ac:dyDescent="0.2">
      <c r="A156" s="15"/>
      <c r="B156" s="15"/>
      <c r="C156" s="15"/>
      <c r="D156" s="15"/>
      <c r="E156" s="15"/>
      <c r="F156" s="15"/>
      <c r="G156" s="158"/>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row>
    <row r="157" spans="1:39" x14ac:dyDescent="0.2">
      <c r="A157" s="15"/>
      <c r="B157" s="15"/>
      <c r="C157" s="15"/>
      <c r="D157" s="15"/>
      <c r="E157" s="15"/>
      <c r="F157" s="15"/>
      <c r="G157" s="158"/>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row>
    <row r="158" spans="1:39" x14ac:dyDescent="0.2">
      <c r="A158" s="15"/>
      <c r="B158" s="15"/>
      <c r="C158" s="15"/>
      <c r="D158" s="15"/>
      <c r="E158" s="15"/>
      <c r="F158" s="15"/>
      <c r="G158" s="158"/>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row>
    <row r="159" spans="1:39" x14ac:dyDescent="0.2">
      <c r="A159" s="15"/>
      <c r="B159" s="15"/>
      <c r="C159" s="15"/>
      <c r="D159" s="15"/>
      <c r="E159" s="15"/>
      <c r="F159" s="15"/>
      <c r="G159" s="158"/>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row>
    <row r="160" spans="1:39" x14ac:dyDescent="0.2">
      <c r="A160" s="15"/>
      <c r="B160" s="15"/>
      <c r="C160" s="15"/>
      <c r="D160" s="15"/>
      <c r="E160" s="15"/>
      <c r="F160" s="15"/>
      <c r="G160" s="158"/>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row>
    <row r="161" spans="1:39" x14ac:dyDescent="0.2">
      <c r="A161" s="15"/>
      <c r="B161" s="15"/>
      <c r="C161" s="15"/>
      <c r="D161" s="15"/>
      <c r="E161" s="15"/>
      <c r="F161" s="15"/>
      <c r="G161" s="158"/>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row>
    <row r="162" spans="1:39" x14ac:dyDescent="0.2">
      <c r="A162" s="15"/>
      <c r="B162" s="15"/>
      <c r="C162" s="15"/>
      <c r="D162" s="15"/>
      <c r="E162" s="15"/>
      <c r="F162" s="15"/>
      <c r="G162" s="158"/>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row>
    <row r="163" spans="1:39" x14ac:dyDescent="0.2">
      <c r="A163" s="15"/>
      <c r="B163" s="15"/>
      <c r="C163" s="15"/>
      <c r="D163" s="15"/>
      <c r="E163" s="15"/>
      <c r="F163" s="15"/>
      <c r="G163" s="158"/>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row>
    <row r="164" spans="1:39" x14ac:dyDescent="0.2">
      <c r="A164" s="15"/>
      <c r="B164" s="15"/>
      <c r="C164" s="15"/>
      <c r="D164" s="15"/>
      <c r="E164" s="15"/>
      <c r="F164" s="15"/>
      <c r="G164" s="158"/>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row>
    <row r="165" spans="1:39" x14ac:dyDescent="0.2">
      <c r="A165" s="15"/>
      <c r="B165" s="15"/>
      <c r="C165" s="15"/>
      <c r="D165" s="15"/>
      <c r="E165" s="15"/>
      <c r="F165" s="15"/>
      <c r="G165" s="158"/>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row>
    <row r="166" spans="1:39" x14ac:dyDescent="0.2">
      <c r="A166" s="15"/>
      <c r="B166" s="15"/>
      <c r="C166" s="15"/>
      <c r="D166" s="15"/>
      <c r="E166" s="15"/>
      <c r="F166" s="15"/>
      <c r="G166" s="158"/>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row>
    <row r="167" spans="1:39" x14ac:dyDescent="0.2">
      <c r="A167" s="15"/>
      <c r="B167" s="15"/>
      <c r="C167" s="15"/>
      <c r="D167" s="15"/>
      <c r="E167" s="15"/>
      <c r="F167" s="15"/>
      <c r="G167" s="158"/>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row>
    <row r="168" spans="1:39" x14ac:dyDescent="0.2">
      <c r="A168" s="15"/>
      <c r="B168" s="15"/>
      <c r="C168" s="15"/>
      <c r="D168" s="15"/>
      <c r="E168" s="15"/>
      <c r="F168" s="15"/>
      <c r="G168" s="158"/>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row>
    <row r="169" spans="1:39" x14ac:dyDescent="0.2">
      <c r="A169" s="15"/>
      <c r="B169" s="15"/>
      <c r="C169" s="15"/>
      <c r="D169" s="15"/>
      <c r="E169" s="15"/>
      <c r="F169" s="15"/>
      <c r="G169" s="158"/>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row>
    <row r="170" spans="1:39" x14ac:dyDescent="0.2">
      <c r="A170" s="15"/>
      <c r="B170" s="15"/>
      <c r="C170" s="15"/>
      <c r="D170" s="15"/>
      <c r="E170" s="15"/>
      <c r="F170" s="15"/>
      <c r="G170" s="158"/>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row>
    <row r="171" spans="1:39" x14ac:dyDescent="0.2">
      <c r="A171" s="15"/>
      <c r="B171" s="15"/>
      <c r="C171" s="15"/>
      <c r="D171" s="15"/>
      <c r="E171" s="15"/>
      <c r="F171" s="15"/>
      <c r="G171" s="158"/>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row>
    <row r="172" spans="1:39" x14ac:dyDescent="0.2">
      <c r="A172" s="15"/>
      <c r="B172" s="15"/>
      <c r="C172" s="15"/>
      <c r="D172" s="15"/>
      <c r="E172" s="15"/>
      <c r="F172" s="15"/>
      <c r="G172" s="158"/>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row>
    <row r="173" spans="1:39" x14ac:dyDescent="0.2">
      <c r="A173" s="15"/>
      <c r="B173" s="15"/>
      <c r="C173" s="15"/>
      <c r="D173" s="15"/>
      <c r="E173" s="15"/>
      <c r="F173" s="15"/>
      <c r="G173" s="158"/>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row>
    <row r="174" spans="1:39" x14ac:dyDescent="0.2">
      <c r="A174" s="15"/>
      <c r="B174" s="15"/>
      <c r="C174" s="15"/>
      <c r="D174" s="15"/>
      <c r="E174" s="15"/>
      <c r="F174" s="15"/>
      <c r="G174" s="158"/>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row>
    <row r="175" spans="1:39" x14ac:dyDescent="0.2">
      <c r="A175" s="15"/>
      <c r="B175" s="15"/>
      <c r="C175" s="15"/>
      <c r="D175" s="15"/>
      <c r="E175" s="15"/>
      <c r="F175" s="15"/>
      <c r="G175" s="158"/>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row>
    <row r="176" spans="1:39" x14ac:dyDescent="0.2">
      <c r="A176" s="15"/>
      <c r="B176" s="15"/>
      <c r="C176" s="15"/>
      <c r="D176" s="15"/>
      <c r="E176" s="15"/>
      <c r="F176" s="15"/>
      <c r="G176" s="158"/>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row>
    <row r="177" spans="7:7" x14ac:dyDescent="0.2">
      <c r="G177" s="158"/>
    </row>
    <row r="178" spans="7:7" x14ac:dyDescent="0.2">
      <c r="G178" s="158"/>
    </row>
    <row r="179" spans="7:7" x14ac:dyDescent="0.2">
      <c r="G179" s="158"/>
    </row>
  </sheetData>
  <sheetProtection password="FADC" sheet="1" objects="1" scenarios="1" selectLockedCells="1"/>
  <mergeCells count="5">
    <mergeCell ref="L2:M2"/>
    <mergeCell ref="A1:M1"/>
    <mergeCell ref="D11:E12"/>
    <mergeCell ref="B37:B43"/>
    <mergeCell ref="B64:C68"/>
  </mergeCells>
  <phoneticPr fontId="3" type="noConversion"/>
  <conditionalFormatting sqref="E78">
    <cfRule type="expression" dxfId="20" priority="63" stopIfTrue="1">
      <formula>#REF!="Option A"</formula>
    </cfRule>
  </conditionalFormatting>
  <conditionalFormatting sqref="F22">
    <cfRule type="cellIs" dxfId="19" priority="64" stopIfTrue="1" operator="greaterThan">
      <formula>200</formula>
    </cfRule>
  </conditionalFormatting>
  <conditionalFormatting sqref="G78">
    <cfRule type="expression" dxfId="18" priority="54">
      <formula>#REF!="Option A"</formula>
    </cfRule>
  </conditionalFormatting>
  <conditionalFormatting sqref="F43">
    <cfRule type="colorScale" priority="28">
      <colorScale>
        <cfvo type="min"/>
        <cfvo type="formula" val="$AN$36*0.8"/>
        <cfvo type="num" val="$AN$36"/>
        <color theme="0"/>
        <color rgb="FFFFC000"/>
        <color rgb="FFFF0000"/>
      </colorScale>
    </cfRule>
  </conditionalFormatting>
  <conditionalFormatting sqref="F23:F24">
    <cfRule type="cellIs" dxfId="17" priority="25" operator="equal">
      <formula>"NA"</formula>
    </cfRule>
    <cfRule type="cellIs" dxfId="16" priority="31" operator="equal">
      <formula>"""NA"""</formula>
    </cfRule>
  </conditionalFormatting>
  <conditionalFormatting sqref="F55">
    <cfRule type="cellIs" dxfId="15" priority="70" operator="lessThan">
      <formula>0.25</formula>
    </cfRule>
  </conditionalFormatting>
  <conditionalFormatting sqref="F58">
    <cfRule type="cellIs" dxfId="14" priority="21" operator="lessThan">
      <formula>$F$57</formula>
    </cfRule>
  </conditionalFormatting>
  <conditionalFormatting sqref="F60">
    <cfRule type="cellIs" dxfId="13" priority="18" operator="lessThan">
      <formula>1.1</formula>
    </cfRule>
    <cfRule type="cellIs" dxfId="12" priority="19" operator="between">
      <formula>1.1</formula>
      <formula>1.3</formula>
    </cfRule>
  </conditionalFormatting>
  <conditionalFormatting sqref="E53:F53">
    <cfRule type="expression" dxfId="11" priority="68">
      <formula>#REF!="Yes"</formula>
    </cfRule>
  </conditionalFormatting>
  <conditionalFormatting sqref="G64 G66:G71">
    <cfRule type="expression" dxfId="10" priority="16">
      <formula>#REF!="Yes"</formula>
    </cfRule>
  </conditionalFormatting>
  <conditionalFormatting sqref="E54:G60">
    <cfRule type="expression" dxfId="9" priority="14" stopIfTrue="1">
      <formula>$F$53="Yes"</formula>
    </cfRule>
  </conditionalFormatting>
  <conditionalFormatting sqref="B61:G73">
    <cfRule type="expression" dxfId="8" priority="8" stopIfTrue="1">
      <formula>$F$53="NO"</formula>
    </cfRule>
  </conditionalFormatting>
  <conditionalFormatting sqref="F64 F67">
    <cfRule type="cellIs" dxfId="7" priority="9" operator="greaterThanOrEqual">
      <formula>$F$62</formula>
    </cfRule>
  </conditionalFormatting>
  <conditionalFormatting sqref="F68 F73">
    <cfRule type="cellIs" dxfId="6" priority="10" operator="between">
      <formula>1.1</formula>
      <formula>1.2999</formula>
    </cfRule>
    <cfRule type="cellIs" dxfId="5" priority="11" operator="lessThan">
      <formula>1.1</formula>
    </cfRule>
  </conditionalFormatting>
  <conditionalFormatting sqref="F49">
    <cfRule type="cellIs" dxfId="4" priority="7" operator="lessThan">
      <formula>$F$44</formula>
    </cfRule>
  </conditionalFormatting>
  <conditionalFormatting sqref="F61">
    <cfRule type="expression" dxfId="3" priority="6">
      <formula>#REF!="Yes"</formula>
    </cfRule>
  </conditionalFormatting>
  <conditionalFormatting sqref="E23:G27">
    <cfRule type="expression" dxfId="2" priority="3" stopIfTrue="1">
      <formula>IF($F$21="No", "TRUE", "FALSE")</formula>
    </cfRule>
  </conditionalFormatting>
  <conditionalFormatting sqref="F28:F30">
    <cfRule type="cellIs" dxfId="1" priority="2" operator="lessThan">
      <formula>$F$17</formula>
    </cfRule>
  </conditionalFormatting>
  <conditionalFormatting sqref="B64">
    <cfRule type="expression" dxfId="0" priority="1" stopIfTrue="1">
      <formula>$F$53="NO"</formula>
    </cfRule>
  </conditionalFormatting>
  <dataValidations xWindow="815" yWindow="414" count="8">
    <dataValidation type="whole" allowBlank="1" showInputMessage="1" showErrorMessage="1" sqref="F34">
      <formula1>1</formula1>
      <formula2>6</formula2>
    </dataValidation>
    <dataValidation type="decimal" operator="greaterThan" allowBlank="1" showInputMessage="1" showErrorMessage="1" sqref="F25 F27">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23">
      <formula1>"""NA"""</formula1>
    </dataValidation>
    <dataValidation type="list" allowBlank="1" showInputMessage="1" showErrorMessage="1" sqref="F53 F21 F61">
      <formula1>$AN$21:$AN$22</formula1>
    </dataValidation>
    <dataValidation type="list" allowBlank="1" showInputMessage="1" showErrorMessage="1" sqref="F51">
      <formula1>$AN$52:$AN$53</formula1>
    </dataValidation>
    <dataValidation type="decimal" allowBlank="1" showInputMessage="1" showErrorMessage="1" sqref="F36">
      <formula1>0</formula1>
      <formula2>200</formula2>
    </dataValidation>
    <dataValidation type="decimal" allowBlank="1" showInputMessage="1" showErrorMessage="1" sqref="F37:F41">
      <formula1>0.001</formula1>
      <formula2>400</formula2>
    </dataValidation>
    <dataValidation type="decimal" allowBlank="1" showInputMessage="1" showErrorMessage="1" error="Must enter value less than 10" sqref="F26">
      <formula1>0</formula1>
      <formula2>10</formula2>
    </dataValidation>
  </dataValidations>
  <hyperlinks>
    <hyperlink ref="B2" r:id="rId1"/>
  </hyperlinks>
  <pageMargins left="0.7" right="0.7" top="0.75" bottom="0.75" header="0.3" footer="0.3"/>
  <pageSetup paperSize="9" scale="62" fitToHeight="2" orientation="landscape"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J24"/>
  <sheetViews>
    <sheetView workbookViewId="0">
      <selection activeCell="E25" sqref="A4:E25"/>
    </sheetView>
  </sheetViews>
  <sheetFormatPr defaultRowHeight="12.75" x14ac:dyDescent="0.2"/>
  <cols>
    <col min="1" max="1" width="9.42578125" customWidth="1"/>
    <col min="2" max="2" width="24.28515625" customWidth="1"/>
    <col min="12" max="12" width="13.5703125" customWidth="1"/>
  </cols>
  <sheetData>
    <row r="2" spans="1:10" x14ac:dyDescent="0.2">
      <c r="A2" s="16"/>
      <c r="C2" s="16" t="s">
        <v>35</v>
      </c>
      <c r="D2" s="16" t="s">
        <v>36</v>
      </c>
      <c r="E2" s="16" t="s">
        <v>37</v>
      </c>
      <c r="F2" s="16" t="s">
        <v>110</v>
      </c>
    </row>
    <row r="3" spans="1:10" x14ac:dyDescent="0.2">
      <c r="A3" s="11" t="s">
        <v>106</v>
      </c>
      <c r="C3" s="16"/>
      <c r="D3" s="16"/>
      <c r="E3" s="16"/>
    </row>
    <row r="4" spans="1:10" x14ac:dyDescent="0.2">
      <c r="A4" s="11"/>
      <c r="B4" s="16" t="s">
        <v>116</v>
      </c>
      <c r="C4" s="39">
        <v>-40</v>
      </c>
      <c r="D4" s="39"/>
      <c r="E4" s="39">
        <v>125</v>
      </c>
    </row>
    <row r="5" spans="1:10" x14ac:dyDescent="0.2">
      <c r="B5" s="17" t="s">
        <v>107</v>
      </c>
      <c r="C5" s="1">
        <v>9</v>
      </c>
      <c r="D5" s="1"/>
      <c r="E5" s="1">
        <v>80</v>
      </c>
      <c r="F5" s="16" t="s">
        <v>50</v>
      </c>
      <c r="J5" s="2"/>
    </row>
    <row r="6" spans="1:10" ht="16.5" customHeight="1" x14ac:dyDescent="0.2">
      <c r="A6" s="11" t="s">
        <v>83</v>
      </c>
      <c r="B6" s="17"/>
      <c r="C6" s="1"/>
      <c r="D6" s="1"/>
      <c r="E6" s="1"/>
      <c r="J6" s="2"/>
    </row>
    <row r="7" spans="1:10" x14ac:dyDescent="0.2">
      <c r="B7" s="17" t="s">
        <v>108</v>
      </c>
      <c r="C7" s="1">
        <v>45</v>
      </c>
      <c r="D7" s="1">
        <v>50</v>
      </c>
      <c r="E7" s="1">
        <v>55</v>
      </c>
      <c r="J7" s="17"/>
    </row>
    <row r="8" spans="1:10" x14ac:dyDescent="0.2">
      <c r="B8" s="17" t="s">
        <v>109</v>
      </c>
      <c r="C8" s="1"/>
      <c r="D8" s="1">
        <v>7.5</v>
      </c>
      <c r="E8" s="1">
        <v>20</v>
      </c>
      <c r="F8" s="16" t="s">
        <v>111</v>
      </c>
      <c r="J8" s="17"/>
    </row>
    <row r="9" spans="1:10" x14ac:dyDescent="0.2">
      <c r="C9" s="1"/>
      <c r="D9" s="1"/>
      <c r="E9" s="1"/>
    </row>
    <row r="10" spans="1:10" x14ac:dyDescent="0.2">
      <c r="C10" s="1"/>
      <c r="D10" s="1"/>
      <c r="E10" s="1"/>
    </row>
    <row r="11" spans="1:10" x14ac:dyDescent="0.2">
      <c r="A11" s="11" t="s">
        <v>112</v>
      </c>
      <c r="C11" s="1"/>
      <c r="D11" s="1"/>
      <c r="E11" s="1"/>
    </row>
    <row r="12" spans="1:10" x14ac:dyDescent="0.2">
      <c r="B12" s="17" t="s">
        <v>113</v>
      </c>
      <c r="C12" s="1">
        <v>3.9</v>
      </c>
      <c r="D12" s="1">
        <v>4</v>
      </c>
      <c r="E12" s="1">
        <v>4.0999999999999996</v>
      </c>
      <c r="F12" s="16" t="s">
        <v>50</v>
      </c>
    </row>
    <row r="13" spans="1:10" x14ac:dyDescent="0.2">
      <c r="B13" s="17"/>
      <c r="C13" s="1"/>
      <c r="D13" s="1"/>
      <c r="E13" s="1"/>
      <c r="F13" s="16"/>
    </row>
    <row r="14" spans="1:10" x14ac:dyDescent="0.2">
      <c r="B14" s="17" t="s">
        <v>264</v>
      </c>
      <c r="C14" s="80"/>
      <c r="D14" s="80"/>
      <c r="E14" s="80"/>
      <c r="F14" s="16"/>
    </row>
    <row r="15" spans="1:10" x14ac:dyDescent="0.2">
      <c r="B15" s="17" t="s">
        <v>114</v>
      </c>
      <c r="C15" s="1">
        <v>15</v>
      </c>
      <c r="D15" s="1">
        <v>25</v>
      </c>
      <c r="E15" s="1">
        <v>34</v>
      </c>
      <c r="F15" s="16" t="s">
        <v>111</v>
      </c>
    </row>
    <row r="16" spans="1:10" x14ac:dyDescent="0.2">
      <c r="B16" s="17" t="s">
        <v>200</v>
      </c>
      <c r="C16" s="61"/>
      <c r="D16" s="61">
        <f>SQRT(0.66^2+ ((34-25)/25)^2+ 0.1^2)</f>
        <v>0.75841940903434168</v>
      </c>
      <c r="E16" s="61"/>
      <c r="F16" s="16"/>
      <c r="G16" s="16" t="s">
        <v>199</v>
      </c>
    </row>
    <row r="17" spans="1:7" x14ac:dyDescent="0.2">
      <c r="B17" s="17" t="s">
        <v>197</v>
      </c>
      <c r="C17" s="61"/>
      <c r="D17" s="61">
        <v>0.75</v>
      </c>
      <c r="E17" s="61"/>
      <c r="F17" s="16"/>
      <c r="G17" s="16" t="s">
        <v>198</v>
      </c>
    </row>
    <row r="18" spans="1:7" x14ac:dyDescent="0.2">
      <c r="B18" s="2"/>
      <c r="C18" s="1"/>
      <c r="D18" s="1"/>
      <c r="E18" s="1"/>
    </row>
    <row r="19" spans="1:7" x14ac:dyDescent="0.2">
      <c r="A19" s="11" t="s">
        <v>147</v>
      </c>
      <c r="B19" s="2"/>
      <c r="C19" s="1"/>
      <c r="D19" s="1"/>
      <c r="E19" s="1"/>
    </row>
    <row r="20" spans="1:7" x14ac:dyDescent="0.2">
      <c r="B20" s="17" t="s">
        <v>149</v>
      </c>
      <c r="C20" s="1">
        <v>15</v>
      </c>
      <c r="D20" s="1">
        <v>22</v>
      </c>
      <c r="E20" s="1">
        <v>35</v>
      </c>
    </row>
    <row r="21" spans="1:7" x14ac:dyDescent="0.2">
      <c r="B21" s="2"/>
      <c r="C21" s="1"/>
      <c r="D21" s="1"/>
      <c r="E21" s="1"/>
    </row>
    <row r="22" spans="1:7" x14ac:dyDescent="0.2">
      <c r="A22" s="11" t="s">
        <v>376</v>
      </c>
      <c r="B22" s="2"/>
      <c r="C22" s="1"/>
      <c r="D22" s="1"/>
      <c r="E22" s="1"/>
    </row>
    <row r="23" spans="1:7" x14ac:dyDescent="0.2">
      <c r="B23" s="16" t="s">
        <v>377</v>
      </c>
      <c r="C23">
        <v>1.32</v>
      </c>
      <c r="D23">
        <v>1.35</v>
      </c>
      <c r="E23">
        <v>1.38</v>
      </c>
      <c r="F23" s="16" t="s">
        <v>50</v>
      </c>
    </row>
    <row r="24" spans="1:7" x14ac:dyDescent="0.2">
      <c r="B24" s="16" t="s">
        <v>378</v>
      </c>
      <c r="C24">
        <v>1.22</v>
      </c>
      <c r="D24">
        <v>1.25</v>
      </c>
      <c r="E24">
        <v>1.28</v>
      </c>
      <c r="F24" s="16" t="s">
        <v>50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3:Y171"/>
  <sheetViews>
    <sheetView topLeftCell="A22" workbookViewId="0">
      <selection activeCell="F39" sqref="F39"/>
    </sheetView>
  </sheetViews>
  <sheetFormatPr defaultRowHeight="12.75" x14ac:dyDescent="0.2"/>
  <cols>
    <col min="6" max="6" width="14.28515625" customWidth="1"/>
    <col min="8" max="8" width="14" customWidth="1"/>
    <col min="9" max="9" width="12.7109375" customWidth="1"/>
    <col min="10" max="10" width="11.7109375" customWidth="1"/>
  </cols>
  <sheetData>
    <row r="13" spans="1:6" x14ac:dyDescent="0.2">
      <c r="A13" s="11" t="s">
        <v>83</v>
      </c>
    </row>
    <row r="14" spans="1:6" x14ac:dyDescent="0.2">
      <c r="E14" s="2"/>
    </row>
    <row r="15" spans="1:6" x14ac:dyDescent="0.2">
      <c r="D15" t="s">
        <v>156</v>
      </c>
      <c r="E15">
        <v>45</v>
      </c>
      <c r="F15" s="40" t="s">
        <v>119</v>
      </c>
    </row>
    <row r="16" spans="1:6" x14ac:dyDescent="0.2">
      <c r="D16" t="s">
        <v>155</v>
      </c>
      <c r="E16">
        <v>50</v>
      </c>
      <c r="F16" s="40" t="s">
        <v>119</v>
      </c>
    </row>
    <row r="17" spans="1:10" x14ac:dyDescent="0.2">
      <c r="D17" t="s">
        <v>154</v>
      </c>
      <c r="E17">
        <v>55</v>
      </c>
      <c r="F17" s="40" t="s">
        <v>119</v>
      </c>
    </row>
    <row r="18" spans="1:10" x14ac:dyDescent="0.2">
      <c r="E18" s="2"/>
    </row>
    <row r="19" spans="1:10" x14ac:dyDescent="0.2">
      <c r="A19" s="11"/>
      <c r="E19" s="2"/>
    </row>
    <row r="20" spans="1:10" x14ac:dyDescent="0.2">
      <c r="E20" s="2" t="s">
        <v>0</v>
      </c>
      <c r="F20">
        <f>CLMIN_Threshold/('Design Calculator'!F17*1.01)</f>
        <v>2.1216407355021216</v>
      </c>
    </row>
    <row r="21" spans="1:10" x14ac:dyDescent="0.2">
      <c r="E21" s="17" t="s">
        <v>157</v>
      </c>
      <c r="F21" s="16" t="str">
        <f>IF(Rs&gt;RsMAX,10,"NA")</f>
        <v>NA</v>
      </c>
    </row>
    <row r="22" spans="1:10" x14ac:dyDescent="0.2">
      <c r="E22" s="17" t="s">
        <v>158</v>
      </c>
      <c r="F22" t="str">
        <f>IF(Rs&gt;RsMAX,(((IOUTMAX*Rs)/CLMIN_Threshold)-1)*F21,"NA")</f>
        <v>NA</v>
      </c>
    </row>
    <row r="23" spans="1:10" x14ac:dyDescent="0.2">
      <c r="E23" s="17" t="s">
        <v>159</v>
      </c>
      <c r="F23">
        <f>IF(RsMAX&gt;Rs,Rs,IF('Design Calculator'!F21="Yes",IF(Rs&gt;RsMAX,Rs/(1+RDIV2/RDIV1),Rs),Rs))</f>
        <v>2</v>
      </c>
      <c r="H23" s="47"/>
    </row>
    <row r="24" spans="1:10" x14ac:dyDescent="0.2">
      <c r="E24" s="2" t="s">
        <v>1</v>
      </c>
      <c r="F24" s="4">
        <f>CLMIN_Threshold/RsEFF</f>
        <v>22.5</v>
      </c>
      <c r="G24" s="4"/>
    </row>
    <row r="25" spans="1:10" x14ac:dyDescent="0.2">
      <c r="E25" s="2" t="s">
        <v>2</v>
      </c>
      <c r="F25">
        <f>CLNOM_Threshold/RsEFF</f>
        <v>25</v>
      </c>
    </row>
    <row r="26" spans="1:10" x14ac:dyDescent="0.2">
      <c r="E26" s="2" t="s">
        <v>3</v>
      </c>
      <c r="F26">
        <f>CLMAX_Threshold/RsEFF</f>
        <v>27.5</v>
      </c>
    </row>
    <row r="27" spans="1:10" x14ac:dyDescent="0.2">
      <c r="E27" s="2" t="s">
        <v>4</v>
      </c>
      <c r="F27">
        <f>F26^2*'Design Calculator'!F22</f>
        <v>1512.5</v>
      </c>
      <c r="J27" s="16" t="s">
        <v>366</v>
      </c>
    </row>
    <row r="28" spans="1:10" x14ac:dyDescent="0.2">
      <c r="J28" s="16"/>
    </row>
    <row r="29" spans="1:10" x14ac:dyDescent="0.2">
      <c r="J29" s="16" t="s">
        <v>367</v>
      </c>
    </row>
    <row r="30" spans="1:10" x14ac:dyDescent="0.2">
      <c r="E30" s="2"/>
      <c r="J30" s="16"/>
    </row>
    <row r="31" spans="1:10" x14ac:dyDescent="0.2">
      <c r="A31" s="11" t="s">
        <v>103</v>
      </c>
      <c r="J31" s="16" t="s">
        <v>368</v>
      </c>
    </row>
    <row r="32" spans="1:10" x14ac:dyDescent="0.2">
      <c r="A32" s="16"/>
      <c r="F32" s="16" t="s">
        <v>104</v>
      </c>
      <c r="H32" s="16" t="s">
        <v>105</v>
      </c>
      <c r="J32" s="16"/>
    </row>
    <row r="33" spans="1:10" x14ac:dyDescent="0.2">
      <c r="A33" s="16"/>
      <c r="E33" s="25" t="s">
        <v>79</v>
      </c>
      <c r="F33" s="26">
        <f>VINMAX*'Design Calculator'!F37</f>
        <v>5610</v>
      </c>
      <c r="G33" s="16" t="s">
        <v>51</v>
      </c>
      <c r="H33">
        <f>F33*(TJMAX-TJ)/(TJMAX-25)</f>
        <v>2922.0694799999997</v>
      </c>
      <c r="J33" s="16" t="s">
        <v>370</v>
      </c>
    </row>
    <row r="34" spans="1:10" x14ac:dyDescent="0.2">
      <c r="A34" s="16"/>
      <c r="E34" s="25" t="s">
        <v>80</v>
      </c>
      <c r="F34" s="26">
        <f>VINMAX*'Design Calculator'!F38</f>
        <v>561</v>
      </c>
      <c r="G34" s="16" t="s">
        <v>51</v>
      </c>
      <c r="H34">
        <f>F34*(TJMAX-TJ)/(TJMAX-25)</f>
        <v>292.20694799999995</v>
      </c>
      <c r="J34" s="16"/>
    </row>
    <row r="35" spans="1:10" x14ac:dyDescent="0.2">
      <c r="A35" s="16"/>
      <c r="E35" s="25" t="s">
        <v>81</v>
      </c>
      <c r="F35" s="26">
        <f>VINMAX*'Design Calculator'!F39</f>
        <v>115.5</v>
      </c>
      <c r="G35" s="16" t="s">
        <v>51</v>
      </c>
      <c r="H35">
        <f>F35*(TJMAX-TJ)/(TJMAX-25)</f>
        <v>60.160253999999995</v>
      </c>
    </row>
    <row r="36" spans="1:10" x14ac:dyDescent="0.2">
      <c r="A36" s="16"/>
      <c r="E36" s="25" t="s">
        <v>82</v>
      </c>
      <c r="F36" s="26">
        <f>VINMAX*'Design Calculator'!F40</f>
        <v>66</v>
      </c>
      <c r="G36" s="34" t="s">
        <v>51</v>
      </c>
      <c r="H36">
        <f>F36*(TJMAX-TJ)/(TJMAX-25)</f>
        <v>34.377287999999993</v>
      </c>
      <c r="J36" s="16"/>
    </row>
    <row r="37" spans="1:10" x14ac:dyDescent="0.2">
      <c r="A37" s="16"/>
      <c r="E37" s="36"/>
      <c r="F37" s="35"/>
      <c r="G37" s="34"/>
    </row>
    <row r="38" spans="1:10" x14ac:dyDescent="0.2">
      <c r="A38" s="16"/>
      <c r="E38" s="36" t="s">
        <v>120</v>
      </c>
      <c r="F38" s="35">
        <f>MAX(VINMAX*5/RsEFF,0.4*10*CLNOM)</f>
        <v>100</v>
      </c>
      <c r="G38" s="34" t="s">
        <v>51</v>
      </c>
      <c r="J38" s="16"/>
    </row>
    <row r="39" spans="1:10" x14ac:dyDescent="0.2">
      <c r="A39" s="16"/>
      <c r="E39" s="36" t="s">
        <v>183</v>
      </c>
      <c r="F39" s="35">
        <f>'Design Calculator'!F45</f>
        <v>250</v>
      </c>
      <c r="G39" s="34" t="s">
        <v>51</v>
      </c>
    </row>
    <row r="40" spans="1:10" x14ac:dyDescent="0.2">
      <c r="A40" s="16"/>
      <c r="E40" s="78" t="s">
        <v>365</v>
      </c>
      <c r="F40" s="80">
        <f>F39/CLNOM/10</f>
        <v>1</v>
      </c>
      <c r="G40" s="34" t="s">
        <v>50</v>
      </c>
    </row>
    <row r="41" spans="1:10" x14ac:dyDescent="0.2">
      <c r="A41" s="16"/>
      <c r="E41" s="78" t="s">
        <v>15</v>
      </c>
      <c r="F41" s="80">
        <f>'Design Calculator'!F46</f>
        <v>82</v>
      </c>
      <c r="G41" s="16" t="s">
        <v>184</v>
      </c>
    </row>
    <row r="42" spans="1:10" x14ac:dyDescent="0.2">
      <c r="A42" s="16"/>
      <c r="E42" s="78" t="s">
        <v>369</v>
      </c>
      <c r="F42" s="6">
        <f>F40/4</f>
        <v>0.25</v>
      </c>
    </row>
    <row r="43" spans="1:10" x14ac:dyDescent="0.2">
      <c r="A43" s="16"/>
      <c r="E43" s="78" t="s">
        <v>16</v>
      </c>
      <c r="F43" s="6">
        <f>F41*F42/(1-F42)</f>
        <v>27.333333333333332</v>
      </c>
      <c r="G43" s="16" t="s">
        <v>184</v>
      </c>
    </row>
    <row r="44" spans="1:10" x14ac:dyDescent="0.2">
      <c r="A44" s="16"/>
      <c r="E44" s="78" t="s">
        <v>371</v>
      </c>
      <c r="F44" s="35">
        <f>'Design Calculator'!F48</f>
        <v>10</v>
      </c>
    </row>
    <row r="45" spans="1:10" x14ac:dyDescent="0.2">
      <c r="A45" s="16"/>
      <c r="E45" s="78"/>
      <c r="F45" s="35"/>
    </row>
    <row r="46" spans="1:10" x14ac:dyDescent="0.2">
      <c r="E46" s="36" t="s">
        <v>372</v>
      </c>
      <c r="F46" s="155">
        <f>4*F44/(F44+F41)</f>
        <v>0.43478260869565216</v>
      </c>
      <c r="G46" s="34" t="s">
        <v>50</v>
      </c>
    </row>
    <row r="47" spans="1:10" x14ac:dyDescent="0.2">
      <c r="E47" s="36" t="s">
        <v>180</v>
      </c>
      <c r="F47" s="155">
        <f>F46*10*CLNOM</f>
        <v>108.69565217391303</v>
      </c>
      <c r="G47" s="34"/>
    </row>
    <row r="48" spans="1:10" x14ac:dyDescent="0.2">
      <c r="E48" s="36"/>
      <c r="F48" s="153"/>
      <c r="G48" s="34"/>
    </row>
    <row r="49" spans="1:12" x14ac:dyDescent="0.2">
      <c r="E49" s="2"/>
      <c r="F49" s="1"/>
      <c r="H49" s="2"/>
      <c r="I49" s="1"/>
      <c r="K49" s="2"/>
      <c r="L49" s="1"/>
    </row>
    <row r="50" spans="1:12" x14ac:dyDescent="0.2">
      <c r="E50" s="2"/>
      <c r="F50" s="1"/>
      <c r="H50" s="2"/>
      <c r="I50" s="1"/>
      <c r="K50" s="2"/>
      <c r="L50" s="1"/>
    </row>
    <row r="51" spans="1:12" x14ac:dyDescent="0.2">
      <c r="A51" s="11" t="s">
        <v>102</v>
      </c>
    </row>
    <row r="52" spans="1:12" x14ac:dyDescent="0.2">
      <c r="A52" s="11"/>
      <c r="D52" s="295" t="s">
        <v>223</v>
      </c>
      <c r="E52" s="296"/>
      <c r="F52" s="296"/>
      <c r="G52" s="296"/>
    </row>
    <row r="53" spans="1:12" x14ac:dyDescent="0.2">
      <c r="A53" s="11"/>
      <c r="E53" s="17" t="s">
        <v>203</v>
      </c>
      <c r="F53" s="4">
        <f>Start_up!M2</f>
        <v>65.999999999999972</v>
      </c>
      <c r="G53" s="16" t="s">
        <v>5</v>
      </c>
    </row>
    <row r="54" spans="1:12" x14ac:dyDescent="0.2">
      <c r="A54" s="11"/>
      <c r="E54" s="17" t="s">
        <v>204</v>
      </c>
      <c r="F54" s="4">
        <f>'Device Parmaters'!D17</f>
        <v>0.75</v>
      </c>
    </row>
    <row r="55" spans="1:12" x14ac:dyDescent="0.2">
      <c r="A55" s="11"/>
      <c r="E55" s="17" t="s">
        <v>205</v>
      </c>
      <c r="F55">
        <f>F53*(1+F54)</f>
        <v>115.49999999999994</v>
      </c>
      <c r="G55" s="16" t="s">
        <v>5</v>
      </c>
    </row>
    <row r="56" spans="1:12" x14ac:dyDescent="0.2">
      <c r="A56" s="11"/>
      <c r="E56" s="17" t="s">
        <v>206</v>
      </c>
      <c r="F56">
        <f>'Device Parmaters'!D15/'Device Parmaters'!D12*F55</f>
        <v>721.87499999999966</v>
      </c>
      <c r="G56" s="16" t="s">
        <v>69</v>
      </c>
    </row>
    <row r="57" spans="1:12" x14ac:dyDescent="0.2">
      <c r="A57" s="11"/>
      <c r="E57" s="17" t="s">
        <v>207</v>
      </c>
      <c r="F57" s="4">
        <f>'Design Calculator'!F58</f>
        <v>33</v>
      </c>
      <c r="G57" s="16" t="s">
        <v>69</v>
      </c>
    </row>
    <row r="58" spans="1:12" x14ac:dyDescent="0.2">
      <c r="A58" s="11"/>
      <c r="E58" s="17" t="s">
        <v>210</v>
      </c>
      <c r="F58">
        <f>'Device Parmaters'!D12/'Device Parmaters'!D15*F57</f>
        <v>5.28</v>
      </c>
      <c r="G58" s="16" t="s">
        <v>5</v>
      </c>
    </row>
    <row r="59" spans="1:12" x14ac:dyDescent="0.2">
      <c r="A59" s="11"/>
      <c r="E59" s="17" t="s">
        <v>218</v>
      </c>
      <c r="F59">
        <f>SOA!C26/Equations!F47</f>
        <v>1.1332922865938351</v>
      </c>
      <c r="G59" s="16"/>
    </row>
    <row r="60" spans="1:12" x14ac:dyDescent="0.2">
      <c r="A60" s="11"/>
      <c r="E60" s="17"/>
      <c r="G60" s="16"/>
    </row>
    <row r="61" spans="1:12" x14ac:dyDescent="0.2">
      <c r="A61" s="11"/>
      <c r="D61" s="295" t="s">
        <v>228</v>
      </c>
      <c r="E61" s="296"/>
      <c r="F61" s="296"/>
      <c r="G61" s="296"/>
    </row>
    <row r="62" spans="1:12" x14ac:dyDescent="0.2">
      <c r="A62" s="11"/>
      <c r="C62" s="16"/>
      <c r="D62" s="76"/>
      <c r="E62" s="17" t="s">
        <v>224</v>
      </c>
      <c r="F62" s="69">
        <f>'Design Calculator'!F64</f>
        <v>0.5</v>
      </c>
      <c r="G62" s="60" t="s">
        <v>225</v>
      </c>
    </row>
    <row r="63" spans="1:12" x14ac:dyDescent="0.2">
      <c r="A63" s="11"/>
      <c r="C63" s="16"/>
      <c r="D63" s="76"/>
      <c r="E63" s="17" t="s">
        <v>249</v>
      </c>
      <c r="F63" s="70">
        <f>'Device Parmaters'!D20/ss_rate</f>
        <v>44</v>
      </c>
      <c r="G63" s="16" t="s">
        <v>69</v>
      </c>
    </row>
    <row r="64" spans="1:12" x14ac:dyDescent="0.2">
      <c r="A64" s="11"/>
      <c r="C64" s="16"/>
      <c r="D64" s="76"/>
      <c r="E64" s="17" t="s">
        <v>250</v>
      </c>
      <c r="F64" s="69">
        <f>'Design Calculator'!F66</f>
        <v>44</v>
      </c>
      <c r="G64" s="16" t="s">
        <v>69</v>
      </c>
    </row>
    <row r="65" spans="1:8" x14ac:dyDescent="0.2">
      <c r="A65" s="11"/>
      <c r="C65" s="16"/>
      <c r="D65" s="76"/>
      <c r="E65" s="17" t="s">
        <v>251</v>
      </c>
      <c r="F65" s="70">
        <f>ss_rate*F63/F64</f>
        <v>0.5</v>
      </c>
      <c r="G65" s="16" t="s">
        <v>225</v>
      </c>
    </row>
    <row r="66" spans="1:8" x14ac:dyDescent="0.2">
      <c r="A66" s="11"/>
      <c r="C66" s="16"/>
      <c r="D66" s="76"/>
      <c r="E66" s="17" t="s">
        <v>226</v>
      </c>
      <c r="F66" s="69">
        <f>COUTMAX*F65/1000</f>
        <v>0.25</v>
      </c>
      <c r="G66" s="60" t="s">
        <v>17</v>
      </c>
    </row>
    <row r="67" spans="1:8" x14ac:dyDescent="0.2">
      <c r="A67" s="11"/>
      <c r="C67" s="16"/>
      <c r="D67" s="76"/>
      <c r="E67" s="17" t="s">
        <v>242</v>
      </c>
      <c r="F67" s="69">
        <f>VINMAX/F65</f>
        <v>66</v>
      </c>
      <c r="G67" s="60" t="s">
        <v>5</v>
      </c>
    </row>
    <row r="68" spans="1:8" x14ac:dyDescent="0.2">
      <c r="A68" s="11"/>
      <c r="C68" s="16"/>
      <c r="D68" s="76"/>
      <c r="E68" s="17" t="s">
        <v>243</v>
      </c>
      <c r="F68" s="69">
        <f>Start_up!N5</f>
        <v>0.26963221153846151</v>
      </c>
      <c r="G68" s="69" t="s">
        <v>232</v>
      </c>
    </row>
    <row r="69" spans="1:8" x14ac:dyDescent="0.2">
      <c r="A69" s="11"/>
      <c r="C69" s="16"/>
      <c r="D69" s="76"/>
      <c r="E69" s="17" t="s">
        <v>244</v>
      </c>
      <c r="F69" s="69">
        <f>Start_up!Q4</f>
        <v>8.25</v>
      </c>
      <c r="G69" s="69" t="s">
        <v>51</v>
      </c>
    </row>
    <row r="70" spans="1:8" x14ac:dyDescent="0.2">
      <c r="A70" s="11"/>
      <c r="D70" s="75"/>
      <c r="E70" s="17" t="s">
        <v>245</v>
      </c>
      <c r="F70" s="69">
        <f>F68/F69*1000</f>
        <v>32.682692307692299</v>
      </c>
      <c r="G70" s="69" t="s">
        <v>5</v>
      </c>
    </row>
    <row r="71" spans="1:8" x14ac:dyDescent="0.2">
      <c r="A71" s="11"/>
      <c r="E71" s="17" t="s">
        <v>246</v>
      </c>
      <c r="F71" s="16">
        <f>SOA!H28</f>
        <v>54.739428871456418</v>
      </c>
      <c r="G71" s="69" t="s">
        <v>51</v>
      </c>
    </row>
    <row r="72" spans="1:8" x14ac:dyDescent="0.2">
      <c r="A72" s="11"/>
      <c r="E72" s="17" t="s">
        <v>247</v>
      </c>
      <c r="F72" s="16">
        <f>F71/F69</f>
        <v>6.6350822874492632</v>
      </c>
      <c r="G72" s="16"/>
    </row>
    <row r="73" spans="1:8" x14ac:dyDescent="0.2">
      <c r="A73" s="11"/>
      <c r="E73" s="17"/>
      <c r="F73" s="16"/>
      <c r="G73" s="16"/>
    </row>
    <row r="74" spans="1:8" x14ac:dyDescent="0.2">
      <c r="A74" s="11"/>
      <c r="E74" s="17"/>
      <c r="F74" s="16">
        <v>1</v>
      </c>
      <c r="G74" s="69" t="s">
        <v>5</v>
      </c>
    </row>
    <row r="75" spans="1:8" x14ac:dyDescent="0.2">
      <c r="A75" s="11"/>
      <c r="D75" s="297" t="s">
        <v>256</v>
      </c>
      <c r="E75" s="297"/>
      <c r="F75" s="297"/>
      <c r="G75" s="297"/>
      <c r="H75" s="297"/>
    </row>
    <row r="76" spans="1:8" x14ac:dyDescent="0.2">
      <c r="A76" s="11"/>
      <c r="E76" s="17" t="s">
        <v>252</v>
      </c>
      <c r="F76" s="79">
        <f>'Design Calculator'!F69</f>
        <v>4.43</v>
      </c>
      <c r="G76" s="16"/>
    </row>
    <row r="77" spans="1:8" x14ac:dyDescent="0.2">
      <c r="A77" s="11"/>
      <c r="E77" s="17" t="s">
        <v>253</v>
      </c>
      <c r="F77" s="16">
        <f>'Device Parmaters'!D15/'Device Parmaters'!D12*F76</f>
        <v>27.6875</v>
      </c>
      <c r="G77" s="16" t="s">
        <v>69</v>
      </c>
    </row>
    <row r="78" spans="1:8" x14ac:dyDescent="0.2">
      <c r="A78" s="11"/>
      <c r="E78" s="78" t="s">
        <v>254</v>
      </c>
      <c r="F78" s="79">
        <f>'Design Calculator'!F71</f>
        <v>22</v>
      </c>
      <c r="G78" s="16" t="s">
        <v>69</v>
      </c>
    </row>
    <row r="79" spans="1:8" x14ac:dyDescent="0.2">
      <c r="A79" s="11"/>
      <c r="E79" s="77" t="s">
        <v>258</v>
      </c>
      <c r="F79" s="16">
        <f>'Device Parmaters'!D12/'Device Parmaters'!D15*F78</f>
        <v>3.52</v>
      </c>
      <c r="G79" s="16" t="s">
        <v>5</v>
      </c>
    </row>
    <row r="80" spans="1:8" x14ac:dyDescent="0.2">
      <c r="A80" s="11"/>
      <c r="E80" s="78" t="s">
        <v>257</v>
      </c>
      <c r="F80" s="16">
        <f>SOA!C26</f>
        <v>123.18394419498206</v>
      </c>
      <c r="G80" s="16" t="s">
        <v>51</v>
      </c>
    </row>
    <row r="81" spans="1:13" x14ac:dyDescent="0.2">
      <c r="A81" s="11"/>
      <c r="E81" s="77" t="s">
        <v>247</v>
      </c>
      <c r="F81" s="16">
        <f>F80/F47</f>
        <v>1.1332922865938351</v>
      </c>
      <c r="G81" s="16"/>
    </row>
    <row r="82" spans="1:13" x14ac:dyDescent="0.2">
      <c r="A82" s="11"/>
      <c r="E82" s="17"/>
      <c r="F82" s="16"/>
      <c r="G82" s="16"/>
    </row>
    <row r="83" spans="1:13" x14ac:dyDescent="0.2">
      <c r="E83" s="2"/>
      <c r="J83" s="7"/>
      <c r="M83" s="7"/>
    </row>
    <row r="84" spans="1:13" x14ac:dyDescent="0.2">
      <c r="E84" s="17"/>
      <c r="J84" s="7"/>
      <c r="M84" s="7"/>
    </row>
    <row r="85" spans="1:13" x14ac:dyDescent="0.2">
      <c r="E85" s="11" t="s">
        <v>375</v>
      </c>
      <c r="J85" s="16" t="s">
        <v>384</v>
      </c>
    </row>
    <row r="86" spans="1:13" x14ac:dyDescent="0.2">
      <c r="E86" s="17" t="s">
        <v>382</v>
      </c>
      <c r="F86">
        <f>'Design Calculator'!F74</f>
        <v>9</v>
      </c>
      <c r="G86" s="16" t="s">
        <v>50</v>
      </c>
    </row>
    <row r="87" spans="1:13" x14ac:dyDescent="0.2">
      <c r="E87" s="17" t="s">
        <v>379</v>
      </c>
      <c r="F87">
        <f>'Design Calculator'!F75</f>
        <v>10</v>
      </c>
      <c r="G87" s="16" t="s">
        <v>184</v>
      </c>
      <c r="J87" s="16" t="s">
        <v>385</v>
      </c>
    </row>
    <row r="88" spans="1:13" x14ac:dyDescent="0.2">
      <c r="E88" s="17" t="s">
        <v>380</v>
      </c>
      <c r="F88">
        <f>'Design Calculator'!F76</f>
        <v>21.5</v>
      </c>
      <c r="G88" s="16" t="s">
        <v>184</v>
      </c>
    </row>
    <row r="89" spans="1:13" x14ac:dyDescent="0.2">
      <c r="E89" s="17" t="s">
        <v>381</v>
      </c>
      <c r="F89" s="156">
        <f>F88*(-1+F86/'Device Parmaters'!D23)</f>
        <v>121.83333333333331</v>
      </c>
      <c r="G89" s="16" t="s">
        <v>184</v>
      </c>
      <c r="J89" s="16" t="s">
        <v>386</v>
      </c>
    </row>
    <row r="90" spans="1:13" x14ac:dyDescent="0.2">
      <c r="E90" s="17" t="s">
        <v>383</v>
      </c>
      <c r="F90">
        <f>'Design Calculator'!F78</f>
        <v>122</v>
      </c>
      <c r="G90" s="16" t="s">
        <v>184</v>
      </c>
    </row>
    <row r="91" spans="1:13" x14ac:dyDescent="0.2">
      <c r="E91" s="2"/>
      <c r="F91" s="9"/>
      <c r="G91" s="9"/>
    </row>
    <row r="92" spans="1:13" x14ac:dyDescent="0.2">
      <c r="E92" s="2"/>
      <c r="F92" s="9"/>
      <c r="G92" s="9"/>
    </row>
    <row r="93" spans="1:13" ht="13.5" thickBot="1" x14ac:dyDescent="0.25">
      <c r="D93" s="43" t="s">
        <v>21</v>
      </c>
      <c r="E93" s="44" t="s">
        <v>18</v>
      </c>
      <c r="F93" s="44" t="s">
        <v>19</v>
      </c>
      <c r="G93" s="44" t="s">
        <v>20</v>
      </c>
    </row>
    <row r="94" spans="1:13" ht="13.5" thickBot="1" x14ac:dyDescent="0.25">
      <c r="D94" s="18" t="s">
        <v>55</v>
      </c>
      <c r="E94" s="24">
        <f>($F$90+$F$88)/$F$88*'Device Parmaters'!C23</f>
        <v>8.8102325581395355</v>
      </c>
      <c r="F94" s="24">
        <f>($F$90+$F$88)/$F$88*'Device Parmaters'!D23</f>
        <v>9.0104651162790717</v>
      </c>
      <c r="G94" s="24">
        <f>($F$90+$F$88)/$F$88*'Device Parmaters'!E23</f>
        <v>9.2106976744186042</v>
      </c>
    </row>
    <row r="95" spans="1:13" x14ac:dyDescent="0.2">
      <c r="D95" s="18" t="s">
        <v>56</v>
      </c>
      <c r="E95" s="24">
        <f>($F$90+$F$88)/$F$88*'Device Parmaters'!C24</f>
        <v>8.1427906976744193</v>
      </c>
      <c r="F95" s="24">
        <f>($F$90+$F$88)/$F$88*'Device Parmaters'!D24</f>
        <v>8.3430232558139537</v>
      </c>
      <c r="G95" s="24">
        <f>($F$90+$F$88)/$F$88*'Device Parmaters'!E24</f>
        <v>8.5432558139534898</v>
      </c>
    </row>
    <row r="96" spans="1:13" x14ac:dyDescent="0.2">
      <c r="E96" s="3"/>
      <c r="F96" s="9"/>
      <c r="G96" s="9"/>
    </row>
    <row r="104" spans="5:7" x14ac:dyDescent="0.2">
      <c r="E104" s="17"/>
      <c r="F104" s="16"/>
      <c r="G104" s="16"/>
    </row>
    <row r="105" spans="5:7" x14ac:dyDescent="0.2">
      <c r="E105" s="17"/>
      <c r="F105" s="16"/>
      <c r="G105" s="16"/>
    </row>
    <row r="106" spans="5:7" x14ac:dyDescent="0.2">
      <c r="E106" s="17"/>
      <c r="G106" s="16"/>
    </row>
    <row r="127" spans="3:6" x14ac:dyDescent="0.2">
      <c r="C127" s="11" t="s">
        <v>23</v>
      </c>
    </row>
    <row r="128" spans="3:6" x14ac:dyDescent="0.2">
      <c r="E128" s="2" t="s">
        <v>24</v>
      </c>
      <c r="F128" s="1">
        <f>'Design Calculator'!F22</f>
        <v>2</v>
      </c>
    </row>
    <row r="129" spans="4:18" x14ac:dyDescent="0.2">
      <c r="E129" s="2" t="s">
        <v>25</v>
      </c>
      <c r="F129" s="1">
        <f>'Design Calculator'!F16</f>
        <v>33</v>
      </c>
    </row>
    <row r="131" spans="4:18" x14ac:dyDescent="0.2">
      <c r="E131" s="2" t="s">
        <v>26</v>
      </c>
      <c r="F131" s="9">
        <f>F24</f>
        <v>22.5</v>
      </c>
    </row>
    <row r="132" spans="4:18" x14ac:dyDescent="0.2">
      <c r="E132" s="2" t="s">
        <v>27</v>
      </c>
      <c r="F132" s="9">
        <f>F25</f>
        <v>25</v>
      </c>
    </row>
    <row r="133" spans="4:18" x14ac:dyDescent="0.2">
      <c r="E133" s="2" t="s">
        <v>28</v>
      </c>
      <c r="F133" s="9">
        <f>F26</f>
        <v>27.5</v>
      </c>
    </row>
    <row r="135" spans="4:18" x14ac:dyDescent="0.2">
      <c r="E135" s="2" t="s">
        <v>29</v>
      </c>
      <c r="F135" s="6">
        <f>'Design Calculator'!F49</f>
        <v>108.69565217391303</v>
      </c>
    </row>
    <row r="136" spans="4:18" x14ac:dyDescent="0.2">
      <c r="E136" s="2"/>
      <c r="F136" s="6"/>
    </row>
    <row r="138" spans="4:18" x14ac:dyDescent="0.2">
      <c r="E138" s="2"/>
      <c r="F138" s="6"/>
    </row>
    <row r="143" spans="4:18" x14ac:dyDescent="0.2">
      <c r="D143" t="s">
        <v>30</v>
      </c>
      <c r="E143" s="2"/>
      <c r="I143" t="s">
        <v>31</v>
      </c>
      <c r="N143" t="s">
        <v>46</v>
      </c>
      <c r="R143" s="16" t="s">
        <v>52</v>
      </c>
    </row>
    <row r="144" spans="4:18" x14ac:dyDescent="0.2">
      <c r="D144" t="s">
        <v>32</v>
      </c>
      <c r="I144" t="s">
        <v>33</v>
      </c>
      <c r="N144" t="s">
        <v>38</v>
      </c>
      <c r="R144" s="16" t="s">
        <v>53</v>
      </c>
    </row>
    <row r="145" spans="2:25" x14ac:dyDescent="0.2">
      <c r="B145" s="16" t="s">
        <v>95</v>
      </c>
      <c r="D145" s="5" t="s">
        <v>34</v>
      </c>
      <c r="E145" s="5" t="s">
        <v>35</v>
      </c>
      <c r="F145" s="62" t="s">
        <v>36</v>
      </c>
      <c r="G145" s="5" t="s">
        <v>37</v>
      </c>
      <c r="I145" s="5" t="s">
        <v>34</v>
      </c>
      <c r="J145" s="5" t="s">
        <v>35</v>
      </c>
      <c r="K145" s="5" t="s">
        <v>36</v>
      </c>
      <c r="L145" s="5" t="s">
        <v>37</v>
      </c>
      <c r="N145" t="s">
        <v>39</v>
      </c>
      <c r="R145" s="5" t="s">
        <v>34</v>
      </c>
      <c r="S145" s="10" t="s">
        <v>35</v>
      </c>
      <c r="T145" s="10" t="s">
        <v>36</v>
      </c>
      <c r="U145" s="10" t="s">
        <v>37</v>
      </c>
      <c r="V145" s="71" t="s">
        <v>45</v>
      </c>
      <c r="X145" s="72" t="s">
        <v>216</v>
      </c>
    </row>
    <row r="146" spans="2:25" x14ac:dyDescent="0.2">
      <c r="B146">
        <f>D146*F146</f>
        <v>108.69565217391303</v>
      </c>
      <c r="C146" s="5">
        <v>0.1</v>
      </c>
      <c r="D146" s="5">
        <f>C146/12*$F$129</f>
        <v>0.27500000000000002</v>
      </c>
      <c r="E146" s="12">
        <f>(1-$F$169)*F146</f>
        <v>296.44268774703551</v>
      </c>
      <c r="F146" s="12">
        <f>($F$135)/D146</f>
        <v>395.25691699604738</v>
      </c>
      <c r="G146" s="12">
        <f>F146*(1+$F$169)</f>
        <v>494.07114624505925</v>
      </c>
      <c r="I146" s="5">
        <f>D146</f>
        <v>0.27500000000000002</v>
      </c>
      <c r="J146" s="12">
        <f t="shared" ref="J146:J162" si="0">IF(E146&gt;$F$131,$F$131,E146)</f>
        <v>22.5</v>
      </c>
      <c r="K146" s="12">
        <f t="shared" ref="K146:K162" si="1">IF(F146&gt;$F$132,$F$132,F146)</f>
        <v>25</v>
      </c>
      <c r="L146" s="12">
        <f t="shared" ref="L146:L162" si="2">IF(G146&gt;$F$133,$F$133,G146)</f>
        <v>27.5</v>
      </c>
      <c r="N146" t="s">
        <v>40</v>
      </c>
      <c r="R146" s="5">
        <f>I146</f>
        <v>0.27500000000000002</v>
      </c>
      <c r="S146" s="12">
        <f t="shared" ref="S146:S165" si="3">IF($R146&gt;$F$129,0.0000000005,J146)</f>
        <v>22.5</v>
      </c>
      <c r="T146" s="12">
        <f t="shared" ref="T146:T165" si="4">IF($R146&gt;$F$129,0.0000000005,K146)</f>
        <v>25</v>
      </c>
      <c r="U146" s="12">
        <f t="shared" ref="U146:U165" si="5">IF($R146&gt;$F$129,0.0000000005,L146)</f>
        <v>27.5</v>
      </c>
      <c r="V146" s="12">
        <f>$X$146/R146</f>
        <v>447.94161525448021</v>
      </c>
      <c r="X146">
        <f>SOA!C26</f>
        <v>123.18394419498206</v>
      </c>
      <c r="Y146" s="16" t="s">
        <v>51</v>
      </c>
    </row>
    <row r="147" spans="2:25" x14ac:dyDescent="0.2">
      <c r="B147">
        <f t="shared" ref="B147:B162" si="6">D147*F147</f>
        <v>108.69565217391305</v>
      </c>
      <c r="C147" s="5">
        <v>1</v>
      </c>
      <c r="D147" s="5">
        <f t="shared" ref="D147:D162" si="7">C147/12*$F$129</f>
        <v>2.75</v>
      </c>
      <c r="E147" s="12">
        <f t="shared" ref="E147:E162" si="8">(1-$F$169)*F147</f>
        <v>29.644268774703555</v>
      </c>
      <c r="F147" s="12">
        <f t="shared" ref="F147:F162" si="9">($F$135)/D147</f>
        <v>39.525691699604742</v>
      </c>
      <c r="G147" s="12">
        <f t="shared" ref="G147:G162" si="10">F147*(1+$F$169)</f>
        <v>49.40711462450593</v>
      </c>
      <c r="I147" s="5">
        <f t="shared" ref="I147:I162" si="11">D147</f>
        <v>2.75</v>
      </c>
      <c r="J147" s="12">
        <f t="shared" si="0"/>
        <v>22.5</v>
      </c>
      <c r="K147" s="12">
        <f t="shared" si="1"/>
        <v>25</v>
      </c>
      <c r="L147" s="12">
        <f t="shared" si="2"/>
        <v>27.5</v>
      </c>
      <c r="R147" s="5">
        <f t="shared" ref="R147:R162" si="12">I147</f>
        <v>2.75</v>
      </c>
      <c r="S147" s="12">
        <f t="shared" si="3"/>
        <v>22.5</v>
      </c>
      <c r="T147" s="12">
        <f t="shared" si="4"/>
        <v>25</v>
      </c>
      <c r="U147" s="12">
        <f t="shared" si="5"/>
        <v>27.5</v>
      </c>
      <c r="V147" s="12">
        <f t="shared" ref="V147:V165" si="13">$X$146/R147</f>
        <v>44.794161525448025</v>
      </c>
    </row>
    <row r="148" spans="2:25" x14ac:dyDescent="0.2">
      <c r="B148">
        <f t="shared" si="6"/>
        <v>108.69565217391305</v>
      </c>
      <c r="C148" s="5">
        <v>2</v>
      </c>
      <c r="D148" s="5">
        <f t="shared" si="7"/>
        <v>5.5</v>
      </c>
      <c r="E148" s="12">
        <f t="shared" si="8"/>
        <v>14.822134387351777</v>
      </c>
      <c r="F148" s="12">
        <f t="shared" si="9"/>
        <v>19.762845849802371</v>
      </c>
      <c r="G148" s="12">
        <f t="shared" si="10"/>
        <v>24.703557312252965</v>
      </c>
      <c r="I148" s="5">
        <f t="shared" si="11"/>
        <v>5.5</v>
      </c>
      <c r="J148" s="12">
        <f t="shared" si="0"/>
        <v>14.822134387351777</v>
      </c>
      <c r="K148" s="12">
        <f t="shared" si="1"/>
        <v>19.762845849802371</v>
      </c>
      <c r="L148" s="12">
        <f t="shared" si="2"/>
        <v>24.703557312252965</v>
      </c>
      <c r="O148" s="13" t="s">
        <v>41</v>
      </c>
      <c r="R148" s="5">
        <f t="shared" si="12"/>
        <v>5.5</v>
      </c>
      <c r="S148" s="12">
        <f t="shared" si="3"/>
        <v>14.822134387351777</v>
      </c>
      <c r="T148" s="12">
        <f t="shared" si="4"/>
        <v>19.762845849802371</v>
      </c>
      <c r="U148" s="12">
        <f t="shared" si="5"/>
        <v>24.703557312252965</v>
      </c>
      <c r="V148" s="12">
        <f t="shared" si="13"/>
        <v>22.397080762724013</v>
      </c>
    </row>
    <row r="149" spans="2:25" x14ac:dyDescent="0.2">
      <c r="B149">
        <f t="shared" si="6"/>
        <v>108.69565217391303</v>
      </c>
      <c r="C149" s="5">
        <v>3</v>
      </c>
      <c r="D149" s="5">
        <f t="shared" si="7"/>
        <v>8.25</v>
      </c>
      <c r="E149" s="12">
        <f t="shared" si="8"/>
        <v>9.8814229249011838</v>
      </c>
      <c r="F149" s="12">
        <f t="shared" si="9"/>
        <v>13.175230566534912</v>
      </c>
      <c r="G149" s="12">
        <f t="shared" si="10"/>
        <v>16.469038208168641</v>
      </c>
      <c r="I149" s="5">
        <f t="shared" si="11"/>
        <v>8.25</v>
      </c>
      <c r="J149" s="12">
        <f t="shared" si="0"/>
        <v>9.8814229249011838</v>
      </c>
      <c r="K149" s="12">
        <f t="shared" si="1"/>
        <v>13.175230566534912</v>
      </c>
      <c r="L149" s="12">
        <f t="shared" si="2"/>
        <v>16.469038208168641</v>
      </c>
      <c r="N149" s="8" t="s">
        <v>34</v>
      </c>
      <c r="O149" s="14" t="s">
        <v>42</v>
      </c>
      <c r="R149" s="5">
        <f t="shared" si="12"/>
        <v>8.25</v>
      </c>
      <c r="S149" s="12">
        <f t="shared" si="3"/>
        <v>9.8814229249011838</v>
      </c>
      <c r="T149" s="12">
        <f t="shared" si="4"/>
        <v>13.175230566534912</v>
      </c>
      <c r="U149" s="12">
        <f t="shared" si="5"/>
        <v>16.469038208168641</v>
      </c>
      <c r="V149" s="12">
        <f t="shared" si="13"/>
        <v>14.931387175149341</v>
      </c>
    </row>
    <row r="150" spans="2:25" x14ac:dyDescent="0.2">
      <c r="B150">
        <f t="shared" si="6"/>
        <v>108.69565217391305</v>
      </c>
      <c r="C150" s="5">
        <v>4</v>
      </c>
      <c r="D150" s="5">
        <f t="shared" si="7"/>
        <v>11</v>
      </c>
      <c r="E150" s="12">
        <f t="shared" si="8"/>
        <v>7.4110671936758887</v>
      </c>
      <c r="F150" s="12">
        <f t="shared" si="9"/>
        <v>9.8814229249011856</v>
      </c>
      <c r="G150" s="12">
        <f t="shared" si="10"/>
        <v>12.351778656126482</v>
      </c>
      <c r="I150" s="5">
        <f t="shared" si="11"/>
        <v>11</v>
      </c>
      <c r="J150" s="12">
        <f t="shared" si="0"/>
        <v>7.4110671936758887</v>
      </c>
      <c r="K150" s="12">
        <f t="shared" si="1"/>
        <v>9.8814229249011856</v>
      </c>
      <c r="L150" s="12">
        <f t="shared" si="2"/>
        <v>12.351778656126482</v>
      </c>
      <c r="N150" s="5">
        <f>I146</f>
        <v>0.27500000000000002</v>
      </c>
      <c r="O150" s="5">
        <f>SOA!C39</f>
        <v>123.18394419498206</v>
      </c>
      <c r="P150" t="s">
        <v>43</v>
      </c>
      <c r="R150" s="5">
        <f t="shared" si="12"/>
        <v>11</v>
      </c>
      <c r="S150" s="12">
        <f t="shared" si="3"/>
        <v>7.4110671936758887</v>
      </c>
      <c r="T150" s="12">
        <f t="shared" si="4"/>
        <v>9.8814229249011856</v>
      </c>
      <c r="U150" s="12">
        <f t="shared" si="5"/>
        <v>12.351778656126482</v>
      </c>
      <c r="V150" s="12">
        <f t="shared" si="13"/>
        <v>11.198540381362006</v>
      </c>
    </row>
    <row r="151" spans="2:25" x14ac:dyDescent="0.2">
      <c r="B151">
        <f t="shared" si="6"/>
        <v>108.69565217391303</v>
      </c>
      <c r="C151" s="5">
        <v>5</v>
      </c>
      <c r="D151" s="5">
        <f t="shared" si="7"/>
        <v>13.75</v>
      </c>
      <c r="E151" s="12">
        <f t="shared" si="8"/>
        <v>5.928853754940711</v>
      </c>
      <c r="F151" s="12">
        <f t="shared" si="9"/>
        <v>7.9051383399209474</v>
      </c>
      <c r="G151" s="12">
        <f t="shared" si="10"/>
        <v>9.8814229249011838</v>
      </c>
      <c r="I151" s="5">
        <f t="shared" si="11"/>
        <v>13.75</v>
      </c>
      <c r="J151" s="12">
        <f t="shared" si="0"/>
        <v>5.928853754940711</v>
      </c>
      <c r="K151" s="12">
        <f t="shared" si="1"/>
        <v>7.9051383399209474</v>
      </c>
      <c r="L151" s="12">
        <f t="shared" si="2"/>
        <v>9.8814229249011838</v>
      </c>
      <c r="N151" s="5">
        <f t="shared" ref="N151:N166" si="14">I147</f>
        <v>2.75</v>
      </c>
      <c r="O151" s="12">
        <f>O154+((O150-O154)*3/7)</f>
        <v>111.45213998593616</v>
      </c>
      <c r="R151" s="5">
        <f t="shared" si="12"/>
        <v>13.75</v>
      </c>
      <c r="S151" s="12">
        <f t="shared" si="3"/>
        <v>5.928853754940711</v>
      </c>
      <c r="T151" s="12">
        <f t="shared" si="4"/>
        <v>7.9051383399209474</v>
      </c>
      <c r="U151" s="12">
        <f t="shared" si="5"/>
        <v>9.8814229249011838</v>
      </c>
      <c r="V151" s="12">
        <f t="shared" si="13"/>
        <v>8.9588323050896044</v>
      </c>
    </row>
    <row r="152" spans="2:25" x14ac:dyDescent="0.2">
      <c r="B152">
        <f t="shared" si="6"/>
        <v>108.69565217391303</v>
      </c>
      <c r="C152" s="5">
        <v>6</v>
      </c>
      <c r="D152" s="5">
        <f t="shared" si="7"/>
        <v>16.5</v>
      </c>
      <c r="E152" s="12">
        <f t="shared" si="8"/>
        <v>4.9407114624505919</v>
      </c>
      <c r="F152" s="12">
        <f t="shared" si="9"/>
        <v>6.5876152832674562</v>
      </c>
      <c r="G152" s="12">
        <f t="shared" si="10"/>
        <v>8.2345191040843204</v>
      </c>
      <c r="I152" s="5">
        <f t="shared" si="11"/>
        <v>16.5</v>
      </c>
      <c r="J152" s="12">
        <f t="shared" si="0"/>
        <v>4.9407114624505919</v>
      </c>
      <c r="K152" s="12">
        <f t="shared" si="1"/>
        <v>6.5876152832674562</v>
      </c>
      <c r="L152" s="12">
        <f t="shared" si="2"/>
        <v>8.2345191040843204</v>
      </c>
      <c r="N152" s="5">
        <f t="shared" si="14"/>
        <v>5.5</v>
      </c>
      <c r="O152" s="12">
        <f>O154+((O150-O154)*2/8)</f>
        <v>107.78595117060931</v>
      </c>
      <c r="R152" s="5">
        <f t="shared" si="12"/>
        <v>16.5</v>
      </c>
      <c r="S152" s="12">
        <f t="shared" si="3"/>
        <v>4.9407114624505919</v>
      </c>
      <c r="T152" s="12">
        <f t="shared" si="4"/>
        <v>6.5876152832674562</v>
      </c>
      <c r="U152" s="12">
        <f t="shared" si="5"/>
        <v>8.2345191040843204</v>
      </c>
      <c r="V152" s="12">
        <f t="shared" si="13"/>
        <v>7.4656935875746706</v>
      </c>
    </row>
    <row r="153" spans="2:25" x14ac:dyDescent="0.2">
      <c r="B153">
        <f t="shared" si="6"/>
        <v>108.69565217391303</v>
      </c>
      <c r="C153" s="5">
        <v>7</v>
      </c>
      <c r="D153" s="5">
        <f t="shared" si="7"/>
        <v>19.25</v>
      </c>
      <c r="E153" s="12">
        <f t="shared" si="8"/>
        <v>4.2348955392433654</v>
      </c>
      <c r="F153" s="12">
        <f t="shared" si="9"/>
        <v>5.6465273856578202</v>
      </c>
      <c r="G153" s="12">
        <f t="shared" si="10"/>
        <v>7.058159232072275</v>
      </c>
      <c r="I153" s="5">
        <f t="shared" si="11"/>
        <v>19.25</v>
      </c>
      <c r="J153" s="12">
        <f t="shared" si="0"/>
        <v>4.2348955392433654</v>
      </c>
      <c r="K153" s="12">
        <f t="shared" si="1"/>
        <v>5.6465273856578202</v>
      </c>
      <c r="L153" s="12">
        <f t="shared" si="2"/>
        <v>7.058159232072275</v>
      </c>
      <c r="N153" s="5">
        <f t="shared" si="14"/>
        <v>8.25</v>
      </c>
      <c r="O153" s="12">
        <f>O154+((O150-O154)*1/9)</f>
        <v>104.93447098091065</v>
      </c>
      <c r="R153" s="5">
        <f t="shared" si="12"/>
        <v>19.25</v>
      </c>
      <c r="S153" s="12">
        <f t="shared" si="3"/>
        <v>4.2348955392433654</v>
      </c>
      <c r="T153" s="12">
        <f t="shared" si="4"/>
        <v>5.6465273856578202</v>
      </c>
      <c r="U153" s="12">
        <f t="shared" si="5"/>
        <v>7.058159232072275</v>
      </c>
      <c r="V153" s="12">
        <f t="shared" si="13"/>
        <v>6.3991659322068601</v>
      </c>
    </row>
    <row r="154" spans="2:25" x14ac:dyDescent="0.2">
      <c r="B154">
        <f t="shared" si="6"/>
        <v>108.69565217391305</v>
      </c>
      <c r="C154" s="5">
        <v>8</v>
      </c>
      <c r="D154" s="5">
        <f t="shared" si="7"/>
        <v>22</v>
      </c>
      <c r="E154" s="12">
        <f t="shared" si="8"/>
        <v>3.7055335968379444</v>
      </c>
      <c r="F154" s="12">
        <f t="shared" si="9"/>
        <v>4.9407114624505928</v>
      </c>
      <c r="G154" s="12">
        <f t="shared" si="10"/>
        <v>6.1758893280632412</v>
      </c>
      <c r="I154" s="5">
        <f t="shared" si="11"/>
        <v>22</v>
      </c>
      <c r="J154" s="12">
        <f t="shared" si="0"/>
        <v>3.7055335968379444</v>
      </c>
      <c r="K154" s="12">
        <f t="shared" si="1"/>
        <v>4.9407114624505928</v>
      </c>
      <c r="L154" s="12">
        <f t="shared" si="2"/>
        <v>6.1758893280632412</v>
      </c>
      <c r="N154" s="5">
        <f t="shared" si="14"/>
        <v>11</v>
      </c>
      <c r="O154" s="12">
        <f>SOA!C40</f>
        <v>102.65328682915172</v>
      </c>
      <c r="P154" t="s">
        <v>44</v>
      </c>
      <c r="R154" s="5">
        <f t="shared" si="12"/>
        <v>22</v>
      </c>
      <c r="S154" s="12">
        <f t="shared" si="3"/>
        <v>3.7055335968379444</v>
      </c>
      <c r="T154" s="12">
        <f t="shared" si="4"/>
        <v>4.9407114624505928</v>
      </c>
      <c r="U154" s="12">
        <f t="shared" si="5"/>
        <v>6.1758893280632412</v>
      </c>
      <c r="V154" s="12">
        <f t="shared" si="13"/>
        <v>5.5992701906810032</v>
      </c>
    </row>
    <row r="155" spans="2:25" x14ac:dyDescent="0.2">
      <c r="B155">
        <f t="shared" si="6"/>
        <v>108.69565217391303</v>
      </c>
      <c r="C155" s="5">
        <v>9</v>
      </c>
      <c r="D155" s="5">
        <f t="shared" si="7"/>
        <v>24.75</v>
      </c>
      <c r="E155" s="12">
        <f t="shared" si="8"/>
        <v>3.2938076416337281</v>
      </c>
      <c r="F155" s="12">
        <f t="shared" si="9"/>
        <v>4.3917435221783041</v>
      </c>
      <c r="G155" s="12">
        <f t="shared" si="10"/>
        <v>5.4896794027228797</v>
      </c>
      <c r="I155" s="5">
        <f t="shared" si="11"/>
        <v>24.75</v>
      </c>
      <c r="J155" s="12">
        <f t="shared" si="0"/>
        <v>3.2938076416337281</v>
      </c>
      <c r="K155" s="12">
        <f t="shared" si="1"/>
        <v>4.3917435221783041</v>
      </c>
      <c r="L155" s="12">
        <f t="shared" si="2"/>
        <v>5.4896794027228797</v>
      </c>
      <c r="N155" s="5">
        <f t="shared" si="14"/>
        <v>13.75</v>
      </c>
      <c r="O155" s="12">
        <f>O$159+((O$154-O$159)*4/6)</f>
        <v>69.804235043823169</v>
      </c>
      <c r="R155" s="5">
        <f t="shared" si="12"/>
        <v>24.75</v>
      </c>
      <c r="S155" s="12">
        <f t="shared" si="3"/>
        <v>3.2938076416337281</v>
      </c>
      <c r="T155" s="12">
        <f t="shared" si="4"/>
        <v>4.3917435221783041</v>
      </c>
      <c r="U155" s="12">
        <f t="shared" si="5"/>
        <v>5.4896794027228797</v>
      </c>
      <c r="V155" s="12">
        <f t="shared" si="13"/>
        <v>4.9771290583831131</v>
      </c>
    </row>
    <row r="156" spans="2:25" x14ac:dyDescent="0.2">
      <c r="B156">
        <f t="shared" si="6"/>
        <v>108.69565217391303</v>
      </c>
      <c r="C156" s="5">
        <v>10</v>
      </c>
      <c r="D156" s="5">
        <f t="shared" si="7"/>
        <v>27.5</v>
      </c>
      <c r="E156" s="12">
        <f t="shared" si="8"/>
        <v>2.9644268774703555</v>
      </c>
      <c r="F156" s="12">
        <f t="shared" si="9"/>
        <v>3.9525691699604737</v>
      </c>
      <c r="G156" s="12">
        <f t="shared" si="10"/>
        <v>4.9407114624505919</v>
      </c>
      <c r="I156" s="5">
        <f t="shared" si="11"/>
        <v>27.5</v>
      </c>
      <c r="J156" s="12">
        <f t="shared" si="0"/>
        <v>2.9644268774703555</v>
      </c>
      <c r="K156" s="12">
        <f t="shared" si="1"/>
        <v>3.9525691699604737</v>
      </c>
      <c r="L156" s="12">
        <f t="shared" si="2"/>
        <v>4.9407114624505919</v>
      </c>
      <c r="N156" s="5">
        <f t="shared" si="14"/>
        <v>16.5</v>
      </c>
      <c r="O156" s="12">
        <f>O$159+((O$154-O$159)*3/7)</f>
        <v>46.340626625731346</v>
      </c>
      <c r="R156" s="5">
        <f t="shared" si="12"/>
        <v>27.5</v>
      </c>
      <c r="S156" s="12">
        <f t="shared" si="3"/>
        <v>2.9644268774703555</v>
      </c>
      <c r="T156" s="12">
        <f t="shared" si="4"/>
        <v>3.9525691699604737</v>
      </c>
      <c r="U156" s="12">
        <f t="shared" si="5"/>
        <v>4.9407114624505919</v>
      </c>
      <c r="V156" s="12">
        <f t="shared" si="13"/>
        <v>4.4794161525448022</v>
      </c>
    </row>
    <row r="157" spans="2:25" x14ac:dyDescent="0.2">
      <c r="B157">
        <f t="shared" si="6"/>
        <v>108.69565217391303</v>
      </c>
      <c r="C157" s="5">
        <v>11</v>
      </c>
      <c r="D157" s="5">
        <f t="shared" si="7"/>
        <v>30.25</v>
      </c>
      <c r="E157" s="12">
        <f t="shared" si="8"/>
        <v>2.6949335249730502</v>
      </c>
      <c r="F157" s="12">
        <f t="shared" si="9"/>
        <v>3.593244699964067</v>
      </c>
      <c r="G157" s="12">
        <f t="shared" si="10"/>
        <v>4.4915558749550835</v>
      </c>
      <c r="I157" s="5">
        <f t="shared" si="11"/>
        <v>30.25</v>
      </c>
      <c r="J157" s="12">
        <f t="shared" si="0"/>
        <v>2.6949335249730502</v>
      </c>
      <c r="K157" s="12">
        <f t="shared" si="1"/>
        <v>3.593244699964067</v>
      </c>
      <c r="L157" s="12">
        <f t="shared" si="2"/>
        <v>4.4915558749550835</v>
      </c>
      <c r="N157" s="5">
        <f t="shared" si="14"/>
        <v>19.25</v>
      </c>
      <c r="O157" s="12">
        <f>O$159+((O$154-O$159)*2/8)</f>
        <v>28.742920312162482</v>
      </c>
      <c r="R157" s="5">
        <f t="shared" si="12"/>
        <v>30.25</v>
      </c>
      <c r="S157" s="12">
        <f t="shared" si="3"/>
        <v>2.6949335249730502</v>
      </c>
      <c r="T157" s="12">
        <f t="shared" si="4"/>
        <v>3.593244699964067</v>
      </c>
      <c r="U157" s="12">
        <f t="shared" si="5"/>
        <v>4.4915558749550835</v>
      </c>
      <c r="V157" s="12">
        <f t="shared" si="13"/>
        <v>4.0721965023134565</v>
      </c>
    </row>
    <row r="158" spans="2:25" x14ac:dyDescent="0.2">
      <c r="B158">
        <f t="shared" si="6"/>
        <v>108.69565217391303</v>
      </c>
      <c r="C158" s="5">
        <v>12</v>
      </c>
      <c r="D158" s="5">
        <f t="shared" si="7"/>
        <v>33</v>
      </c>
      <c r="E158" s="12">
        <f t="shared" si="8"/>
        <v>2.4703557312252959</v>
      </c>
      <c r="F158" s="12">
        <f t="shared" si="9"/>
        <v>3.2938076416337281</v>
      </c>
      <c r="G158" s="12">
        <f t="shared" si="10"/>
        <v>4.1172595520421602</v>
      </c>
      <c r="I158" s="5">
        <f t="shared" si="11"/>
        <v>33</v>
      </c>
      <c r="J158" s="12">
        <f t="shared" si="0"/>
        <v>2.4703557312252959</v>
      </c>
      <c r="K158" s="12">
        <f t="shared" si="1"/>
        <v>3.2938076416337281</v>
      </c>
      <c r="L158" s="12">
        <f t="shared" si="2"/>
        <v>4.1172595520421602</v>
      </c>
      <c r="N158" s="5">
        <f t="shared" si="14"/>
        <v>22</v>
      </c>
      <c r="O158" s="12">
        <f>O$159+((O$154-O$159)*1/9)</f>
        <v>15.055815401608918</v>
      </c>
      <c r="R158" s="5">
        <f t="shared" si="12"/>
        <v>33</v>
      </c>
      <c r="S158" s="12">
        <f t="shared" si="3"/>
        <v>2.4703557312252959</v>
      </c>
      <c r="T158" s="12">
        <f t="shared" si="4"/>
        <v>3.2938076416337281</v>
      </c>
      <c r="U158" s="12">
        <f t="shared" si="5"/>
        <v>4.1172595520421602</v>
      </c>
      <c r="V158" s="12">
        <f t="shared" si="13"/>
        <v>3.7328467937873353</v>
      </c>
    </row>
    <row r="159" spans="2:25" x14ac:dyDescent="0.2">
      <c r="B159">
        <f t="shared" si="6"/>
        <v>108.69565217391303</v>
      </c>
      <c r="C159" s="5">
        <v>13</v>
      </c>
      <c r="D159" s="5">
        <f t="shared" si="7"/>
        <v>35.75</v>
      </c>
      <c r="E159" s="12">
        <f t="shared" si="8"/>
        <v>2.2803283672848886</v>
      </c>
      <c r="F159" s="12">
        <f t="shared" si="9"/>
        <v>3.0404378230465183</v>
      </c>
      <c r="G159" s="12">
        <f t="shared" si="10"/>
        <v>3.800547278808148</v>
      </c>
      <c r="I159" s="5">
        <f t="shared" si="11"/>
        <v>35.75</v>
      </c>
      <c r="J159" s="12">
        <f t="shared" si="0"/>
        <v>2.2803283672848886</v>
      </c>
      <c r="K159" s="12">
        <f t="shared" si="1"/>
        <v>3.0404378230465183</v>
      </c>
      <c r="L159" s="12">
        <f t="shared" si="2"/>
        <v>3.800547278808148</v>
      </c>
      <c r="N159" s="5">
        <f t="shared" si="14"/>
        <v>24.75</v>
      </c>
      <c r="O159" s="12">
        <f>SOA!C41</f>
        <v>4.1061314731660685</v>
      </c>
      <c r="P159" t="s">
        <v>44</v>
      </c>
      <c r="R159" s="5">
        <f t="shared" si="12"/>
        <v>35.75</v>
      </c>
      <c r="S159" s="12">
        <f t="shared" si="3"/>
        <v>5.0000000000000003E-10</v>
      </c>
      <c r="T159" s="12">
        <f t="shared" si="4"/>
        <v>5.0000000000000003E-10</v>
      </c>
      <c r="U159" s="12">
        <f t="shared" si="5"/>
        <v>5.0000000000000003E-10</v>
      </c>
      <c r="V159" s="12">
        <f t="shared" si="13"/>
        <v>3.4457047327267709</v>
      </c>
    </row>
    <row r="160" spans="2:25" x14ac:dyDescent="0.2">
      <c r="B160">
        <f t="shared" si="6"/>
        <v>108.69565217391303</v>
      </c>
      <c r="C160" s="5">
        <v>14</v>
      </c>
      <c r="D160" s="5">
        <f t="shared" si="7"/>
        <v>38.5</v>
      </c>
      <c r="E160" s="12">
        <f t="shared" si="8"/>
        <v>2.1174477696216827</v>
      </c>
      <c r="F160" s="12">
        <f t="shared" si="9"/>
        <v>2.8232636928289101</v>
      </c>
      <c r="G160" s="12">
        <f t="shared" si="10"/>
        <v>3.5290796160361375</v>
      </c>
      <c r="I160" s="5">
        <f t="shared" si="11"/>
        <v>38.5</v>
      </c>
      <c r="J160" s="12">
        <f t="shared" si="0"/>
        <v>2.1174477696216827</v>
      </c>
      <c r="K160" s="12">
        <f t="shared" si="1"/>
        <v>2.8232636928289101</v>
      </c>
      <c r="L160" s="12">
        <f t="shared" si="2"/>
        <v>3.5290796160361375</v>
      </c>
      <c r="N160" s="5">
        <f t="shared" si="14"/>
        <v>27.5</v>
      </c>
      <c r="O160" s="12">
        <f>O$164+((O$159-O$164)*4/6)</f>
        <v>2.7374209821107125</v>
      </c>
      <c r="R160" s="5">
        <f t="shared" si="12"/>
        <v>38.5</v>
      </c>
      <c r="S160" s="12">
        <f t="shared" si="3"/>
        <v>5.0000000000000003E-10</v>
      </c>
      <c r="T160" s="12">
        <f t="shared" si="4"/>
        <v>5.0000000000000003E-10</v>
      </c>
      <c r="U160" s="12">
        <f t="shared" si="5"/>
        <v>5.0000000000000003E-10</v>
      </c>
      <c r="V160" s="12">
        <f t="shared" si="13"/>
        <v>3.1995829661034301</v>
      </c>
    </row>
    <row r="161" spans="2:22" x14ac:dyDescent="0.2">
      <c r="B161">
        <f t="shared" si="6"/>
        <v>108.69565217391303</v>
      </c>
      <c r="C161" s="5">
        <v>15</v>
      </c>
      <c r="D161" s="5">
        <f t="shared" si="7"/>
        <v>41.25</v>
      </c>
      <c r="E161" s="12">
        <f t="shared" si="8"/>
        <v>1.9762845849802368</v>
      </c>
      <c r="F161" s="12">
        <f t="shared" si="9"/>
        <v>2.6350461133069825</v>
      </c>
      <c r="G161" s="12">
        <f t="shared" si="10"/>
        <v>3.2938076416337281</v>
      </c>
      <c r="I161" s="5">
        <f t="shared" si="11"/>
        <v>41.25</v>
      </c>
      <c r="J161" s="12">
        <f t="shared" si="0"/>
        <v>1.9762845849802368</v>
      </c>
      <c r="K161" s="12">
        <f t="shared" si="1"/>
        <v>2.6350461133069825</v>
      </c>
      <c r="L161" s="12">
        <f t="shared" si="2"/>
        <v>3.2938076416337281</v>
      </c>
      <c r="N161" s="5">
        <f t="shared" si="14"/>
        <v>30.25</v>
      </c>
      <c r="O161" s="12">
        <f>O$164+((O$159-O$164)*3/7)</f>
        <v>1.7597706313568864</v>
      </c>
      <c r="R161" s="5">
        <f t="shared" si="12"/>
        <v>41.25</v>
      </c>
      <c r="S161" s="12">
        <f t="shared" si="3"/>
        <v>5.0000000000000003E-10</v>
      </c>
      <c r="T161" s="12">
        <f t="shared" si="4"/>
        <v>5.0000000000000003E-10</v>
      </c>
      <c r="U161" s="12">
        <f t="shared" si="5"/>
        <v>5.0000000000000003E-10</v>
      </c>
      <c r="V161" s="12">
        <f t="shared" si="13"/>
        <v>2.986277435029868</v>
      </c>
    </row>
    <row r="162" spans="2:22" x14ac:dyDescent="0.2">
      <c r="B162">
        <f t="shared" si="6"/>
        <v>108.69565217391305</v>
      </c>
      <c r="C162" s="5">
        <v>16</v>
      </c>
      <c r="D162" s="5">
        <f t="shared" si="7"/>
        <v>44</v>
      </c>
      <c r="E162" s="12">
        <f t="shared" si="8"/>
        <v>1.8527667984189722</v>
      </c>
      <c r="F162" s="12">
        <f t="shared" si="9"/>
        <v>2.4703557312252964</v>
      </c>
      <c r="G162" s="12">
        <f t="shared" si="10"/>
        <v>3.0879446640316206</v>
      </c>
      <c r="I162" s="5">
        <f t="shared" si="11"/>
        <v>44</v>
      </c>
      <c r="J162" s="12">
        <f t="shared" si="0"/>
        <v>1.8527667984189722</v>
      </c>
      <c r="K162" s="12">
        <f t="shared" si="1"/>
        <v>2.4703557312252964</v>
      </c>
      <c r="L162" s="12">
        <f t="shared" si="2"/>
        <v>3.0879446640316206</v>
      </c>
      <c r="N162" s="5">
        <f t="shared" si="14"/>
        <v>33</v>
      </c>
      <c r="O162" s="12">
        <f>O$164+((O$159-O$164)*2/8)</f>
        <v>1.0265328682915171</v>
      </c>
      <c r="R162" s="5">
        <f t="shared" si="12"/>
        <v>44</v>
      </c>
      <c r="S162" s="12">
        <f t="shared" si="3"/>
        <v>5.0000000000000003E-10</v>
      </c>
      <c r="T162" s="12">
        <f t="shared" si="4"/>
        <v>5.0000000000000003E-10</v>
      </c>
      <c r="U162" s="12">
        <f t="shared" si="5"/>
        <v>5.0000000000000003E-10</v>
      </c>
      <c r="V162" s="12">
        <f t="shared" si="13"/>
        <v>2.7996350953405016</v>
      </c>
    </row>
    <row r="163" spans="2:22" x14ac:dyDescent="0.2">
      <c r="N163" s="5">
        <f t="shared" si="14"/>
        <v>35.75</v>
      </c>
      <c r="O163" s="12">
        <f>O$164+((O$159-O$164)*1/9)</f>
        <v>0.45623683035178542</v>
      </c>
      <c r="R163" s="5"/>
      <c r="S163" s="12">
        <f t="shared" si="3"/>
        <v>0</v>
      </c>
      <c r="T163" s="12">
        <f t="shared" si="4"/>
        <v>0</v>
      </c>
      <c r="U163" s="12">
        <f t="shared" si="5"/>
        <v>0</v>
      </c>
      <c r="V163" s="12" t="e">
        <f t="shared" si="13"/>
        <v>#DIV/0!</v>
      </c>
    </row>
    <row r="164" spans="2:22" x14ac:dyDescent="0.2">
      <c r="D164" s="16" t="s">
        <v>211</v>
      </c>
      <c r="N164" s="5">
        <f t="shared" si="14"/>
        <v>38.5</v>
      </c>
      <c r="O164" s="12">
        <f>SOA!C42</f>
        <v>0</v>
      </c>
      <c r="P164" t="s">
        <v>44</v>
      </c>
      <c r="R164" s="5"/>
      <c r="S164" s="12">
        <f t="shared" si="3"/>
        <v>0</v>
      </c>
      <c r="T164" s="12">
        <f t="shared" si="4"/>
        <v>0</v>
      </c>
      <c r="U164" s="12">
        <f t="shared" si="5"/>
        <v>0</v>
      </c>
      <c r="V164" s="12" t="e">
        <f t="shared" si="13"/>
        <v>#DIV/0!</v>
      </c>
    </row>
    <row r="165" spans="2:22" x14ac:dyDescent="0.2">
      <c r="N165" s="5">
        <f t="shared" si="14"/>
        <v>41.25</v>
      </c>
      <c r="O165" s="12">
        <f>O$169+((O$164-O$169)*4/6)</f>
        <v>0</v>
      </c>
      <c r="R165" s="5"/>
      <c r="S165" s="12">
        <f t="shared" si="3"/>
        <v>0</v>
      </c>
      <c r="T165" s="12">
        <f t="shared" si="4"/>
        <v>0</v>
      </c>
      <c r="U165" s="12">
        <f t="shared" si="5"/>
        <v>0</v>
      </c>
      <c r="V165" s="12" t="e">
        <f t="shared" si="13"/>
        <v>#DIV/0!</v>
      </c>
    </row>
    <row r="166" spans="2:22" x14ac:dyDescent="0.2">
      <c r="D166" s="16" t="s">
        <v>212</v>
      </c>
      <c r="E166" t="e">
        <f>'Device Parmaters'!#REF!</f>
        <v>#REF!</v>
      </c>
      <c r="N166" s="5">
        <f t="shared" si="14"/>
        <v>44</v>
      </c>
      <c r="O166" s="12">
        <f>O$169+((O$164-O$169)*3/7)</f>
        <v>0</v>
      </c>
    </row>
    <row r="167" spans="2:22" x14ac:dyDescent="0.2">
      <c r="D167" s="16" t="s">
        <v>213</v>
      </c>
      <c r="E167">
        <f>RsEFF*0.001</f>
        <v>2E-3</v>
      </c>
      <c r="N167" s="5"/>
      <c r="O167" s="12"/>
    </row>
    <row r="168" spans="2:22" x14ac:dyDescent="0.2">
      <c r="D168" s="16" t="s">
        <v>214</v>
      </c>
      <c r="E168">
        <f>VINMAX</f>
        <v>33</v>
      </c>
      <c r="N168" s="5"/>
      <c r="O168" s="12"/>
    </row>
    <row r="169" spans="2:22" x14ac:dyDescent="0.2">
      <c r="D169" s="16" t="s">
        <v>215</v>
      </c>
      <c r="E169" s="59"/>
      <c r="F169">
        <v>0.25</v>
      </c>
      <c r="N169" s="5"/>
      <c r="O169" s="12"/>
    </row>
    <row r="171" spans="2:22" x14ac:dyDescent="0.2">
      <c r="D171" s="63" t="s">
        <v>181</v>
      </c>
    </row>
  </sheetData>
  <mergeCells count="3">
    <mergeCell ref="D52:G52"/>
    <mergeCell ref="D61:G61"/>
    <mergeCell ref="D75:H7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5"/>
  <sheetViews>
    <sheetView topLeftCell="A5" zoomScale="85" zoomScaleNormal="85" workbookViewId="0">
      <selection activeCell="J9" sqref="J9"/>
    </sheetView>
  </sheetViews>
  <sheetFormatPr defaultColWidth="9.140625" defaultRowHeight="12.75" x14ac:dyDescent="0.2"/>
  <cols>
    <col min="1" max="1" width="11" style="28" customWidth="1"/>
    <col min="2" max="3" width="9.140625" style="28"/>
    <col min="4" max="5" width="15" style="28" customWidth="1"/>
    <col min="6" max="6" width="15.42578125" style="28" customWidth="1"/>
    <col min="7" max="7" width="14.85546875" style="28" customWidth="1"/>
    <col min="8" max="8" width="10.7109375" style="28" customWidth="1"/>
    <col min="9" max="9" width="12.42578125" style="28" bestFit="1" customWidth="1"/>
    <col min="10" max="10" width="14.85546875" style="28" customWidth="1"/>
    <col min="11" max="11" width="12.85546875" style="28" customWidth="1"/>
    <col min="12" max="12" width="14.28515625" style="28" customWidth="1"/>
    <col min="13" max="13" width="20.85546875" style="28" customWidth="1"/>
    <col min="14" max="14" width="12.7109375" style="28" customWidth="1"/>
    <col min="15" max="15" width="10.140625" style="28" bestFit="1" customWidth="1"/>
    <col min="16" max="16" width="18.85546875" style="28" customWidth="1"/>
    <col min="17" max="17" width="10.85546875" style="28" customWidth="1"/>
    <col min="18" max="16384" width="9.140625" style="28"/>
  </cols>
  <sheetData>
    <row r="1" spans="1:25" x14ac:dyDescent="0.2">
      <c r="B1" s="28" t="s">
        <v>95</v>
      </c>
      <c r="C1" s="28" t="s">
        <v>186</v>
      </c>
      <c r="D1" s="28" t="s">
        <v>187</v>
      </c>
      <c r="F1" s="73" t="s">
        <v>221</v>
      </c>
      <c r="G1" s="73" t="s">
        <v>188</v>
      </c>
      <c r="H1" s="73" t="s">
        <v>189</v>
      </c>
      <c r="I1" s="73" t="s">
        <v>190</v>
      </c>
      <c r="J1" s="73" t="s">
        <v>191</v>
      </c>
      <c r="K1" s="73"/>
      <c r="L1" s="73"/>
      <c r="M1" s="73" t="s">
        <v>195</v>
      </c>
      <c r="N1" s="73"/>
      <c r="O1" s="73" t="s">
        <v>196</v>
      </c>
      <c r="Q1" s="28" t="s">
        <v>237</v>
      </c>
      <c r="R1" s="28" t="s">
        <v>238</v>
      </c>
    </row>
    <row r="2" spans="1:25" x14ac:dyDescent="0.2">
      <c r="B2" s="64">
        <f>'Design Calculator'!F49</f>
        <v>108.69565217391303</v>
      </c>
      <c r="C2" s="28">
        <f>'Design Calculator'!F29</f>
        <v>25</v>
      </c>
      <c r="D2" s="28" t="str">
        <f>IF( 'Design Calculator'!F51 = "Constant Current", "CC", "R")</f>
        <v>CC</v>
      </c>
      <c r="F2" s="28" t="str">
        <f>'Design Calculator'!F53</f>
        <v>Yes</v>
      </c>
      <c r="G2" s="28">
        <f>'Design Calculator'!F52</f>
        <v>0</v>
      </c>
      <c r="H2" s="28">
        <f>'Design Calculator'!F50</f>
        <v>0</v>
      </c>
      <c r="I2" s="28">
        <f>RsEFF</f>
        <v>2</v>
      </c>
      <c r="J2" s="28">
        <v>0</v>
      </c>
      <c r="M2" s="64">
        <f>J114*1000</f>
        <v>65.999999999999972</v>
      </c>
      <c r="N2" s="28" t="s">
        <v>5</v>
      </c>
      <c r="O2" s="68">
        <f>MIN(L10:L111)</f>
        <v>1</v>
      </c>
      <c r="Q2" s="28">
        <f>'Device Parmaters'!E20/'Device Parmaters'!D20</f>
        <v>1.5909090909090908</v>
      </c>
      <c r="R2" s="28">
        <f>'Device Parmaters'!C20/'Device Parmaters'!D20</f>
        <v>0.68181818181818177</v>
      </c>
    </row>
    <row r="3" spans="1:25" x14ac:dyDescent="0.2">
      <c r="B3" s="64"/>
      <c r="M3" s="64"/>
      <c r="O3" s="68"/>
    </row>
    <row r="4" spans="1:25" x14ac:dyDescent="0.2">
      <c r="B4" s="64"/>
      <c r="D4" s="28" t="s">
        <v>229</v>
      </c>
      <c r="M4" s="64" t="s">
        <v>230</v>
      </c>
      <c r="N4" s="28">
        <f>MIN(M10:M114)</f>
        <v>3.2938076416337281</v>
      </c>
      <c r="O4" s="68" t="s">
        <v>225</v>
      </c>
      <c r="P4" s="28" t="s">
        <v>239</v>
      </c>
      <c r="Q4" s="28">
        <f>MAX(O10:O114)</f>
        <v>8.25</v>
      </c>
      <c r="R4" s="28" t="s">
        <v>51</v>
      </c>
    </row>
    <row r="5" spans="1:25" x14ac:dyDescent="0.2">
      <c r="B5" s="64"/>
      <c r="M5" s="28" t="s">
        <v>231</v>
      </c>
      <c r="N5" s="28">
        <f>SUM(N10:N114)</f>
        <v>0.26963221153846151</v>
      </c>
      <c r="O5" s="68" t="s">
        <v>232</v>
      </c>
      <c r="P5" s="28" t="s">
        <v>241</v>
      </c>
      <c r="Q5" s="28">
        <f>MAX(P10:P114)</f>
        <v>13.125</v>
      </c>
      <c r="R5" s="28" t="s">
        <v>51</v>
      </c>
    </row>
    <row r="6" spans="1:25" x14ac:dyDescent="0.2">
      <c r="P6" s="28" t="s">
        <v>240</v>
      </c>
      <c r="Q6" s="28">
        <f>MAX(Q10:Q114)</f>
        <v>5.625</v>
      </c>
      <c r="R6" s="28" t="s">
        <v>51</v>
      </c>
    </row>
    <row r="7" spans="1:25" x14ac:dyDescent="0.2">
      <c r="A7" s="65" t="s">
        <v>117</v>
      </c>
      <c r="B7" s="66" t="s">
        <v>89</v>
      </c>
      <c r="C7" s="66" t="s">
        <v>90</v>
      </c>
      <c r="D7" s="66" t="s">
        <v>95</v>
      </c>
      <c r="E7" s="66" t="s">
        <v>219</v>
      </c>
      <c r="F7" s="66" t="s">
        <v>220</v>
      </c>
      <c r="G7" s="66" t="s">
        <v>193</v>
      </c>
      <c r="H7" s="66" t="s">
        <v>115</v>
      </c>
      <c r="I7" s="66" t="s">
        <v>192</v>
      </c>
      <c r="J7" s="67" t="s">
        <v>101</v>
      </c>
      <c r="K7" s="67" t="s">
        <v>271</v>
      </c>
      <c r="L7" s="65" t="s">
        <v>194</v>
      </c>
      <c r="M7" s="65" t="s">
        <v>233</v>
      </c>
      <c r="N7" s="65" t="s">
        <v>270</v>
      </c>
      <c r="O7" s="65" t="s">
        <v>234</v>
      </c>
      <c r="P7" s="28" t="s">
        <v>235</v>
      </c>
      <c r="Q7" s="28" t="s">
        <v>236</v>
      </c>
    </row>
    <row r="8" spans="1:25" x14ac:dyDescent="0.2">
      <c r="A8" s="65"/>
      <c r="B8" s="66"/>
      <c r="C8" s="66"/>
      <c r="D8" s="66"/>
      <c r="E8" s="66"/>
      <c r="F8" s="66"/>
      <c r="G8" s="66"/>
      <c r="H8" s="66"/>
      <c r="I8" s="66"/>
      <c r="J8" s="67"/>
      <c r="K8" s="91">
        <v>-10</v>
      </c>
      <c r="L8" s="65"/>
      <c r="M8" s="65"/>
      <c r="N8" s="65"/>
      <c r="O8" s="28">
        <v>0</v>
      </c>
    </row>
    <row r="9" spans="1:25" x14ac:dyDescent="0.2">
      <c r="A9" s="65"/>
      <c r="B9" s="66"/>
      <c r="C9" s="66"/>
      <c r="D9" s="66"/>
      <c r="E9" s="66"/>
      <c r="F9" s="66"/>
      <c r="G9" s="66"/>
      <c r="H9" s="66"/>
      <c r="I9" s="66"/>
      <c r="J9" s="67"/>
      <c r="K9" s="38">
        <v>-0.01</v>
      </c>
      <c r="L9" s="65"/>
      <c r="M9" s="65"/>
      <c r="N9" s="65"/>
      <c r="O9" s="28">
        <v>0</v>
      </c>
    </row>
    <row r="10" spans="1:25" x14ac:dyDescent="0.2">
      <c r="A10" s="28">
        <f t="shared" ref="A10:A41" si="0">VINMAX</f>
        <v>33</v>
      </c>
      <c r="B10" s="31">
        <f t="shared" ref="B10:B41" si="1">VINMAX*((ROW()-10)/104)</f>
        <v>0</v>
      </c>
      <c r="C10" s="29">
        <f t="shared" ref="C10:C41" si="2">IF(B10&gt;=$H$2,IF($D$2="CC", $G$2, B10/$G$2), 0)</f>
        <v>0</v>
      </c>
      <c r="D10" s="27">
        <f>$B$2-B10*$J$2/($I$2*0.001)</f>
        <v>108.69565217391303</v>
      </c>
      <c r="E10" s="27">
        <f>MIN(D10/(A10-B10),$C$2)</f>
        <v>3.2938076416337281</v>
      </c>
      <c r="F10" s="29">
        <f>I_Cout_ss+C10</f>
        <v>0.25</v>
      </c>
      <c r="G10" s="27">
        <f>IF($F$2="YES", F10, E10)</f>
        <v>0.25</v>
      </c>
      <c r="H10" s="29">
        <f t="shared" ref="H10:H41" si="3">G10-C10</f>
        <v>0.25</v>
      </c>
      <c r="I10" s="30">
        <f>(COUTMAX/1000000)*(B10)/H10</f>
        <v>0</v>
      </c>
      <c r="J10" s="37">
        <f>I10</f>
        <v>0</v>
      </c>
      <c r="K10" s="91">
        <f>J10*1000</f>
        <v>0</v>
      </c>
      <c r="L10" s="68">
        <f>H10/G10</f>
        <v>1</v>
      </c>
      <c r="M10" s="28">
        <f t="shared" ref="M10:M41" si="4">1/COUTMAX*(E10/2-C10)*1000</f>
        <v>3.2938076416337281</v>
      </c>
      <c r="N10" s="28">
        <f>I10*G10*(A10-B10)</f>
        <v>0</v>
      </c>
      <c r="O10" s="28">
        <f>G10*(A10-B10)</f>
        <v>8.25</v>
      </c>
      <c r="P10" s="28">
        <f t="shared" ref="P10:P41" si="5">(A10-B10)*(I_Cout_ss*$Q$2+C10)</f>
        <v>13.125</v>
      </c>
      <c r="Q10" s="28">
        <f t="shared" ref="Q10:Q41" si="6">(A10-B10)*(I_Cout_ss*$R$2+C10)</f>
        <v>5.625</v>
      </c>
    </row>
    <row r="11" spans="1:25" x14ac:dyDescent="0.2">
      <c r="A11" s="28">
        <f t="shared" si="0"/>
        <v>33</v>
      </c>
      <c r="B11" s="31">
        <f t="shared" si="1"/>
        <v>0.31730769230769235</v>
      </c>
      <c r="C11" s="29">
        <f t="shared" si="2"/>
        <v>0</v>
      </c>
      <c r="D11" s="27">
        <f t="shared" ref="D11:D41" si="7">$B$2-B11*$J$2/($I$2*0.001)</f>
        <v>108.69565217391303</v>
      </c>
      <c r="E11" s="27">
        <f t="shared" ref="E11:E74" si="8">MIN(D11/(A11-B11),$C$2)</f>
        <v>3.3257863566010459</v>
      </c>
      <c r="F11" s="29">
        <f t="shared" ref="F11:F41" si="9">I_Cout_ss+C11</f>
        <v>0.25</v>
      </c>
      <c r="G11" s="27">
        <f t="shared" ref="G11:G74" si="10">IF($F$2="YES", F11, E11)</f>
        <v>0.25</v>
      </c>
      <c r="H11" s="29">
        <f t="shared" si="3"/>
        <v>0.25</v>
      </c>
      <c r="I11" s="30">
        <f t="shared" ref="I11:I42" si="11">(COUTMAX/1000000)*(B11-B10)/H11</f>
        <v>6.3461538461538473E-4</v>
      </c>
      <c r="J11" s="37">
        <f>J10+I11</f>
        <v>6.3461538461538473E-4</v>
      </c>
      <c r="K11" s="91">
        <f t="shared" ref="K11:K74" si="12">J11*1000</f>
        <v>0.63461538461538469</v>
      </c>
      <c r="L11" s="68">
        <f t="shared" ref="L11:L74" si="13">H11/G11</f>
        <v>1</v>
      </c>
      <c r="M11" s="28">
        <f t="shared" si="4"/>
        <v>3.3257863566010459</v>
      </c>
      <c r="N11" s="28">
        <f t="shared" ref="N11:N13" si="14">I11*G11*(A11-B11)</f>
        <v>5.1852348372781075E-3</v>
      </c>
      <c r="O11" s="28">
        <f>G11*(A11-B11)</f>
        <v>8.1706730769230766</v>
      </c>
      <c r="P11" s="28">
        <f t="shared" si="5"/>
        <v>12.998798076923077</v>
      </c>
      <c r="Q11" s="28">
        <f t="shared" si="6"/>
        <v>5.5709134615384608</v>
      </c>
    </row>
    <row r="12" spans="1:25" x14ac:dyDescent="0.2">
      <c r="A12" s="28">
        <f t="shared" si="0"/>
        <v>33</v>
      </c>
      <c r="B12" s="31">
        <f t="shared" si="1"/>
        <v>0.63461538461538469</v>
      </c>
      <c r="C12" s="29">
        <f t="shared" si="2"/>
        <v>0</v>
      </c>
      <c r="D12" s="27">
        <f t="shared" si="7"/>
        <v>108.69565217391303</v>
      </c>
      <c r="E12" s="27">
        <f t="shared" si="8"/>
        <v>3.3583921051951742</v>
      </c>
      <c r="F12" s="29">
        <f t="shared" si="9"/>
        <v>0.25</v>
      </c>
      <c r="G12" s="27">
        <f t="shared" si="10"/>
        <v>0.25</v>
      </c>
      <c r="H12" s="29">
        <f t="shared" si="3"/>
        <v>0.25</v>
      </c>
      <c r="I12" s="30">
        <f t="shared" si="11"/>
        <v>6.3461538461538473E-4</v>
      </c>
      <c r="J12" s="37">
        <f t="shared" ref="J12:J75" si="15">J11+I12</f>
        <v>1.2692307692307695E-3</v>
      </c>
      <c r="K12" s="91">
        <f t="shared" si="12"/>
        <v>1.2692307692307694</v>
      </c>
      <c r="L12" s="68">
        <f t="shared" si="13"/>
        <v>1</v>
      </c>
      <c r="M12" s="28">
        <f t="shared" si="4"/>
        <v>3.3583921051951742</v>
      </c>
      <c r="N12" s="28">
        <f>I12*G12*(A12-B12)</f>
        <v>5.1348927514792905E-3</v>
      </c>
      <c r="O12" s="28">
        <f t="shared" ref="O12:O74" si="16">G12*(A12-B12)</f>
        <v>8.0913461538461533</v>
      </c>
      <c r="P12" s="28">
        <f t="shared" si="5"/>
        <v>12.872596153846152</v>
      </c>
      <c r="Q12" s="28">
        <f t="shared" si="6"/>
        <v>5.5168269230769225</v>
      </c>
      <c r="X12" s="298" t="s">
        <v>91</v>
      </c>
      <c r="Y12" s="298"/>
    </row>
    <row r="13" spans="1:25" x14ac:dyDescent="0.2">
      <c r="A13" s="28">
        <f t="shared" si="0"/>
        <v>33</v>
      </c>
      <c r="B13" s="31">
        <f t="shared" si="1"/>
        <v>0.95192307692307698</v>
      </c>
      <c r="C13" s="29">
        <f t="shared" si="2"/>
        <v>0</v>
      </c>
      <c r="D13" s="27">
        <f t="shared" si="7"/>
        <v>108.69565217391303</v>
      </c>
      <c r="E13" s="27">
        <f t="shared" si="8"/>
        <v>3.3916435121773048</v>
      </c>
      <c r="F13" s="29">
        <f t="shared" si="9"/>
        <v>0.25</v>
      </c>
      <c r="G13" s="27">
        <f>IF($F$2="YES", F13, E13)</f>
        <v>0.25</v>
      </c>
      <c r="H13" s="29">
        <f t="shared" si="3"/>
        <v>0.25</v>
      </c>
      <c r="I13" s="30">
        <f t="shared" si="11"/>
        <v>6.3461538461538462E-4</v>
      </c>
      <c r="J13" s="37">
        <f t="shared" si="15"/>
        <v>1.903846153846154E-3</v>
      </c>
      <c r="K13" s="91">
        <f t="shared" si="12"/>
        <v>1.903846153846154</v>
      </c>
      <c r="L13" s="68">
        <f t="shared" si="13"/>
        <v>1</v>
      </c>
      <c r="M13" s="28">
        <f t="shared" si="4"/>
        <v>3.3916435121773048</v>
      </c>
      <c r="N13" s="28">
        <f t="shared" si="14"/>
        <v>5.0845506656804727E-3</v>
      </c>
      <c r="O13" s="28">
        <f t="shared" si="16"/>
        <v>8.0120192307692299</v>
      </c>
      <c r="P13" s="28">
        <f t="shared" si="5"/>
        <v>12.746394230769228</v>
      </c>
      <c r="Q13" s="28">
        <f t="shared" si="6"/>
        <v>5.4627403846153832</v>
      </c>
      <c r="X13" s="32" t="s">
        <v>92</v>
      </c>
      <c r="Y13" s="33">
        <v>0.3</v>
      </c>
    </row>
    <row r="14" spans="1:25" x14ac:dyDescent="0.2">
      <c r="A14" s="28">
        <f t="shared" si="0"/>
        <v>33</v>
      </c>
      <c r="B14" s="31">
        <f t="shared" si="1"/>
        <v>1.2692307692307694</v>
      </c>
      <c r="C14" s="29">
        <f t="shared" si="2"/>
        <v>0</v>
      </c>
      <c r="D14" s="27">
        <f t="shared" si="7"/>
        <v>108.69565217391303</v>
      </c>
      <c r="E14" s="27">
        <f t="shared" si="8"/>
        <v>3.4255599472990776</v>
      </c>
      <c r="F14" s="29">
        <f t="shared" si="9"/>
        <v>0.25</v>
      </c>
      <c r="G14" s="27">
        <f t="shared" si="10"/>
        <v>0.25</v>
      </c>
      <c r="H14" s="29">
        <f t="shared" si="3"/>
        <v>0.25</v>
      </c>
      <c r="I14" s="30">
        <f t="shared" si="11"/>
        <v>6.3461538461538484E-4</v>
      </c>
      <c r="J14" s="37">
        <f t="shared" si="15"/>
        <v>2.5384615384615389E-3</v>
      </c>
      <c r="K14" s="91">
        <f t="shared" si="12"/>
        <v>2.5384615384615388</v>
      </c>
      <c r="L14" s="68">
        <f t="shared" si="13"/>
        <v>1</v>
      </c>
      <c r="M14" s="28">
        <f t="shared" si="4"/>
        <v>3.4255599472990776</v>
      </c>
      <c r="N14" s="28">
        <f t="shared" ref="N14:N74" si="17">I14*G14*(A14-B14)</f>
        <v>5.0342085798816584E-3</v>
      </c>
      <c r="O14" s="28">
        <f t="shared" si="16"/>
        <v>7.9326923076923075</v>
      </c>
      <c r="P14" s="28">
        <f t="shared" si="5"/>
        <v>12.620192307692307</v>
      </c>
      <c r="Q14" s="28">
        <f t="shared" si="6"/>
        <v>5.4086538461538458</v>
      </c>
      <c r="X14" s="32" t="s">
        <v>93</v>
      </c>
      <c r="Y14" s="33">
        <v>0.3</v>
      </c>
    </row>
    <row r="15" spans="1:25" x14ac:dyDescent="0.2">
      <c r="A15" s="28">
        <f t="shared" si="0"/>
        <v>33</v>
      </c>
      <c r="B15" s="31">
        <f t="shared" si="1"/>
        <v>1.5865384615384617</v>
      </c>
      <c r="C15" s="29">
        <f t="shared" si="2"/>
        <v>0</v>
      </c>
      <c r="D15" s="27">
        <f t="shared" si="7"/>
        <v>108.69565217391303</v>
      </c>
      <c r="E15" s="27">
        <f t="shared" si="8"/>
        <v>3.4601615629283606</v>
      </c>
      <c r="F15" s="29">
        <f t="shared" si="9"/>
        <v>0.25</v>
      </c>
      <c r="G15" s="27">
        <f t="shared" si="10"/>
        <v>0.25</v>
      </c>
      <c r="H15" s="29">
        <f t="shared" si="3"/>
        <v>0.25</v>
      </c>
      <c r="I15" s="30">
        <f t="shared" si="11"/>
        <v>6.3461538461538462E-4</v>
      </c>
      <c r="J15" s="37">
        <f t="shared" si="15"/>
        <v>3.1730769230769234E-3</v>
      </c>
      <c r="K15" s="91">
        <f t="shared" si="12"/>
        <v>3.1730769230769234</v>
      </c>
      <c r="L15" s="68">
        <f t="shared" si="13"/>
        <v>1</v>
      </c>
      <c r="M15" s="28">
        <f t="shared" si="4"/>
        <v>3.4601615629283606</v>
      </c>
      <c r="N15" s="28">
        <f t="shared" si="17"/>
        <v>4.9838664940828406E-3</v>
      </c>
      <c r="O15" s="28">
        <f t="shared" si="16"/>
        <v>7.853365384615385</v>
      </c>
      <c r="P15" s="28">
        <f t="shared" si="5"/>
        <v>12.493990384615385</v>
      </c>
      <c r="Q15" s="28">
        <f t="shared" si="6"/>
        <v>5.3545673076923075</v>
      </c>
      <c r="X15" s="32" t="s">
        <v>94</v>
      </c>
      <c r="Y15" s="33">
        <f>SQRT(Y14^2+Y13^2)</f>
        <v>0.42426406871192851</v>
      </c>
    </row>
    <row r="16" spans="1:25" x14ac:dyDescent="0.2">
      <c r="A16" s="28">
        <f t="shared" si="0"/>
        <v>33</v>
      </c>
      <c r="B16" s="31">
        <f t="shared" si="1"/>
        <v>1.903846153846154</v>
      </c>
      <c r="C16" s="29">
        <f t="shared" si="2"/>
        <v>0</v>
      </c>
      <c r="D16" s="27">
        <f t="shared" si="7"/>
        <v>108.69565217391303</v>
      </c>
      <c r="E16" s="27">
        <f t="shared" si="8"/>
        <v>3.4954693339786505</v>
      </c>
      <c r="F16" s="29">
        <f t="shared" si="9"/>
        <v>0.25</v>
      </c>
      <c r="G16" s="27">
        <f t="shared" si="10"/>
        <v>0.25</v>
      </c>
      <c r="H16" s="29">
        <f t="shared" si="3"/>
        <v>0.25</v>
      </c>
      <c r="I16" s="30">
        <f t="shared" si="11"/>
        <v>6.3461538461538462E-4</v>
      </c>
      <c r="J16" s="37">
        <f t="shared" si="15"/>
        <v>3.8076923076923079E-3</v>
      </c>
      <c r="K16" s="91">
        <f t="shared" si="12"/>
        <v>3.8076923076923079</v>
      </c>
      <c r="L16" s="68">
        <f t="shared" si="13"/>
        <v>1</v>
      </c>
      <c r="M16" s="28">
        <f t="shared" si="4"/>
        <v>3.4954693339786505</v>
      </c>
      <c r="N16" s="28">
        <f t="shared" si="17"/>
        <v>4.9335244082840237E-3</v>
      </c>
      <c r="O16" s="28">
        <f t="shared" si="16"/>
        <v>7.7740384615384617</v>
      </c>
      <c r="P16" s="28">
        <f t="shared" si="5"/>
        <v>12.367788461538462</v>
      </c>
      <c r="Q16" s="28">
        <f t="shared" si="6"/>
        <v>5.3004807692307692</v>
      </c>
      <c r="X16" s="33"/>
      <c r="Y16" s="33"/>
    </row>
    <row r="17" spans="1:25" x14ac:dyDescent="0.2">
      <c r="A17" s="28">
        <f t="shared" si="0"/>
        <v>33</v>
      </c>
      <c r="B17" s="31">
        <f t="shared" si="1"/>
        <v>2.2211538461538463</v>
      </c>
      <c r="C17" s="29">
        <f t="shared" si="2"/>
        <v>0</v>
      </c>
      <c r="D17" s="27">
        <f t="shared" si="7"/>
        <v>108.69565217391303</v>
      </c>
      <c r="E17" s="27">
        <f t="shared" si="8"/>
        <v>3.5315051003083271</v>
      </c>
      <c r="F17" s="29">
        <f t="shared" si="9"/>
        <v>0.25</v>
      </c>
      <c r="G17" s="27">
        <f t="shared" si="10"/>
        <v>0.25</v>
      </c>
      <c r="H17" s="29">
        <f t="shared" si="3"/>
        <v>0.25</v>
      </c>
      <c r="I17" s="30">
        <f t="shared" si="11"/>
        <v>6.3461538461538462E-4</v>
      </c>
      <c r="J17" s="37">
        <f t="shared" si="15"/>
        <v>4.4423076923076925E-3</v>
      </c>
      <c r="K17" s="91">
        <f t="shared" si="12"/>
        <v>4.4423076923076925</v>
      </c>
      <c r="L17" s="68">
        <f t="shared" si="13"/>
        <v>1</v>
      </c>
      <c r="M17" s="28">
        <f t="shared" si="4"/>
        <v>3.5315051003083271</v>
      </c>
      <c r="N17" s="28">
        <f t="shared" si="17"/>
        <v>4.8831823224852067E-3</v>
      </c>
      <c r="O17" s="28">
        <f t="shared" si="16"/>
        <v>7.6947115384615383</v>
      </c>
      <c r="P17" s="28">
        <f t="shared" si="5"/>
        <v>12.241586538461538</v>
      </c>
      <c r="Q17" s="28">
        <f t="shared" si="6"/>
        <v>5.2463942307692299</v>
      </c>
      <c r="X17" s="32" t="s">
        <v>95</v>
      </c>
      <c r="Y17" s="33">
        <v>0.3</v>
      </c>
    </row>
    <row r="18" spans="1:25" x14ac:dyDescent="0.2">
      <c r="A18" s="28">
        <f t="shared" si="0"/>
        <v>33</v>
      </c>
      <c r="B18" s="31">
        <f t="shared" si="1"/>
        <v>2.5384615384615388</v>
      </c>
      <c r="C18" s="29">
        <f t="shared" si="2"/>
        <v>0</v>
      </c>
      <c r="D18" s="27">
        <f t="shared" si="7"/>
        <v>108.69565217391303</v>
      </c>
      <c r="E18" s="27">
        <f t="shared" si="8"/>
        <v>3.5682916117698724</v>
      </c>
      <c r="F18" s="29">
        <f t="shared" si="9"/>
        <v>0.25</v>
      </c>
      <c r="G18" s="27">
        <f t="shared" si="10"/>
        <v>0.25</v>
      </c>
      <c r="H18" s="29">
        <f t="shared" si="3"/>
        <v>0.25</v>
      </c>
      <c r="I18" s="30">
        <f t="shared" si="11"/>
        <v>6.3461538461538505E-4</v>
      </c>
      <c r="J18" s="37">
        <f t="shared" si="15"/>
        <v>5.0769230769230778E-3</v>
      </c>
      <c r="K18" s="91">
        <f t="shared" si="12"/>
        <v>5.0769230769230775</v>
      </c>
      <c r="L18" s="68">
        <f t="shared" si="13"/>
        <v>1</v>
      </c>
      <c r="M18" s="28">
        <f t="shared" si="4"/>
        <v>3.5682916117698724</v>
      </c>
      <c r="N18" s="28">
        <f t="shared" si="17"/>
        <v>4.8328402366863933E-3</v>
      </c>
      <c r="O18" s="28">
        <f t="shared" si="16"/>
        <v>7.615384615384615</v>
      </c>
      <c r="P18" s="28">
        <f t="shared" si="5"/>
        <v>12.115384615384615</v>
      </c>
      <c r="Q18" s="28">
        <f t="shared" si="6"/>
        <v>5.1923076923076916</v>
      </c>
      <c r="X18" s="32" t="s">
        <v>96</v>
      </c>
      <c r="Y18" s="33">
        <f>MAX(Y15:Y17)</f>
        <v>0.42426406871192851</v>
      </c>
    </row>
    <row r="19" spans="1:25" x14ac:dyDescent="0.2">
      <c r="A19" s="28">
        <f t="shared" si="0"/>
        <v>33</v>
      </c>
      <c r="B19" s="31">
        <f t="shared" si="1"/>
        <v>2.8557692307692308</v>
      </c>
      <c r="C19" s="29">
        <f t="shared" si="2"/>
        <v>0</v>
      </c>
      <c r="D19" s="27">
        <f t="shared" si="7"/>
        <v>108.69565217391303</v>
      </c>
      <c r="E19" s="27">
        <f t="shared" si="8"/>
        <v>3.6058525761042919</v>
      </c>
      <c r="F19" s="29">
        <f t="shared" si="9"/>
        <v>0.25</v>
      </c>
      <c r="G19" s="27">
        <f t="shared" si="10"/>
        <v>0.25</v>
      </c>
      <c r="H19" s="29">
        <f t="shared" si="3"/>
        <v>0.25</v>
      </c>
      <c r="I19" s="30">
        <f t="shared" si="11"/>
        <v>6.3461538461538419E-4</v>
      </c>
      <c r="J19" s="37">
        <f t="shared" si="15"/>
        <v>5.7115384615384623E-3</v>
      </c>
      <c r="K19" s="91">
        <f t="shared" si="12"/>
        <v>5.7115384615384626</v>
      </c>
      <c r="L19" s="68">
        <f t="shared" si="13"/>
        <v>1</v>
      </c>
      <c r="M19" s="28">
        <f t="shared" si="4"/>
        <v>3.6058525761042919</v>
      </c>
      <c r="N19" s="28">
        <f t="shared" si="17"/>
        <v>4.7824981508875711E-3</v>
      </c>
      <c r="O19" s="28">
        <f t="shared" si="16"/>
        <v>7.5360576923076925</v>
      </c>
      <c r="P19" s="28">
        <f t="shared" si="5"/>
        <v>11.989182692307692</v>
      </c>
      <c r="Q19" s="28">
        <f t="shared" si="6"/>
        <v>5.1382211538461533</v>
      </c>
      <c r="X19" s="33"/>
      <c r="Y19" s="33"/>
    </row>
    <row r="20" spans="1:25" x14ac:dyDescent="0.2">
      <c r="A20" s="28">
        <f t="shared" si="0"/>
        <v>33</v>
      </c>
      <c r="B20" s="31">
        <f t="shared" si="1"/>
        <v>3.1730769230769234</v>
      </c>
      <c r="C20" s="29">
        <f t="shared" si="2"/>
        <v>0</v>
      </c>
      <c r="D20" s="27">
        <f t="shared" si="7"/>
        <v>108.69565217391303</v>
      </c>
      <c r="E20" s="27">
        <f t="shared" si="8"/>
        <v>3.6442127098926353</v>
      </c>
      <c r="F20" s="29">
        <f t="shared" si="9"/>
        <v>0.25</v>
      </c>
      <c r="G20" s="27">
        <f t="shared" si="10"/>
        <v>0.25</v>
      </c>
      <c r="H20" s="29">
        <f t="shared" si="3"/>
        <v>0.25</v>
      </c>
      <c r="I20" s="30">
        <f t="shared" si="11"/>
        <v>6.3461538461538505E-4</v>
      </c>
      <c r="J20" s="37">
        <f t="shared" si="15"/>
        <v>6.3461538461538477E-3</v>
      </c>
      <c r="K20" s="91">
        <f t="shared" si="12"/>
        <v>6.3461538461538476</v>
      </c>
      <c r="L20" s="68">
        <f t="shared" si="13"/>
        <v>1</v>
      </c>
      <c r="M20" s="28">
        <f t="shared" si="4"/>
        <v>3.6442127098926353</v>
      </c>
      <c r="N20" s="28">
        <f t="shared" si="17"/>
        <v>4.7321560650887603E-3</v>
      </c>
      <c r="O20" s="28">
        <f t="shared" si="16"/>
        <v>7.4567307692307692</v>
      </c>
      <c r="P20" s="28">
        <f t="shared" si="5"/>
        <v>11.862980769230768</v>
      </c>
      <c r="Q20" s="28">
        <f t="shared" si="6"/>
        <v>5.084134615384615</v>
      </c>
      <c r="X20" s="32" t="s">
        <v>97</v>
      </c>
      <c r="Y20" s="33">
        <v>0.2</v>
      </c>
    </row>
    <row r="21" spans="1:25" x14ac:dyDescent="0.2">
      <c r="A21" s="28">
        <f t="shared" si="0"/>
        <v>33</v>
      </c>
      <c r="B21" s="31">
        <f t="shared" si="1"/>
        <v>3.4903846153846154</v>
      </c>
      <c r="C21" s="29">
        <f t="shared" si="2"/>
        <v>0</v>
      </c>
      <c r="D21" s="27">
        <f t="shared" si="7"/>
        <v>108.69565217391303</v>
      </c>
      <c r="E21" s="27">
        <f t="shared" si="8"/>
        <v>3.683397792794707</v>
      </c>
      <c r="F21" s="29">
        <f t="shared" si="9"/>
        <v>0.25</v>
      </c>
      <c r="G21" s="27">
        <f t="shared" si="10"/>
        <v>0.25</v>
      </c>
      <c r="H21" s="29">
        <f t="shared" si="3"/>
        <v>0.25</v>
      </c>
      <c r="I21" s="30">
        <f t="shared" si="11"/>
        <v>6.3461538461538419E-4</v>
      </c>
      <c r="J21" s="37">
        <f t="shared" si="15"/>
        <v>6.9807692307692322E-3</v>
      </c>
      <c r="K21" s="91">
        <f t="shared" si="12"/>
        <v>6.9807692307692326</v>
      </c>
      <c r="L21" s="68">
        <f t="shared" si="13"/>
        <v>1</v>
      </c>
      <c r="M21" s="28">
        <f t="shared" si="4"/>
        <v>3.683397792794707</v>
      </c>
      <c r="N21" s="28">
        <f t="shared" si="17"/>
        <v>4.6818139792899373E-3</v>
      </c>
      <c r="O21" s="28">
        <f t="shared" si="16"/>
        <v>7.3774038461538458</v>
      </c>
      <c r="P21" s="28">
        <f t="shared" si="5"/>
        <v>11.736778846153845</v>
      </c>
      <c r="Q21" s="28">
        <f t="shared" si="6"/>
        <v>5.0300480769230766</v>
      </c>
      <c r="X21" s="32" t="s">
        <v>98</v>
      </c>
      <c r="Y21" s="33">
        <v>0.2</v>
      </c>
    </row>
    <row r="22" spans="1:25" x14ac:dyDescent="0.2">
      <c r="A22" s="28">
        <f t="shared" si="0"/>
        <v>33</v>
      </c>
      <c r="B22" s="31">
        <f t="shared" si="1"/>
        <v>3.8076923076923079</v>
      </c>
      <c r="C22" s="29">
        <f t="shared" si="2"/>
        <v>0</v>
      </c>
      <c r="D22" s="27">
        <f t="shared" si="7"/>
        <v>108.69565217391303</v>
      </c>
      <c r="E22" s="27">
        <f t="shared" si="8"/>
        <v>3.7234347253250841</v>
      </c>
      <c r="F22" s="29">
        <f t="shared" si="9"/>
        <v>0.25</v>
      </c>
      <c r="G22" s="27">
        <f t="shared" si="10"/>
        <v>0.25</v>
      </c>
      <c r="H22" s="29">
        <f t="shared" si="3"/>
        <v>0.25</v>
      </c>
      <c r="I22" s="30">
        <f t="shared" si="11"/>
        <v>6.3461538461538505E-4</v>
      </c>
      <c r="J22" s="37">
        <f t="shared" si="15"/>
        <v>7.6153846153846176E-3</v>
      </c>
      <c r="K22" s="91">
        <f t="shared" si="12"/>
        <v>7.6153846153846176</v>
      </c>
      <c r="L22" s="68">
        <f t="shared" si="13"/>
        <v>1</v>
      </c>
      <c r="M22" s="28">
        <f t="shared" si="4"/>
        <v>3.7234347253250841</v>
      </c>
      <c r="N22" s="28">
        <f t="shared" si="17"/>
        <v>4.6314718934911273E-3</v>
      </c>
      <c r="O22" s="28">
        <f t="shared" si="16"/>
        <v>7.2980769230769234</v>
      </c>
      <c r="P22" s="28">
        <f t="shared" si="5"/>
        <v>11.610576923076923</v>
      </c>
      <c r="Q22" s="28">
        <f t="shared" si="6"/>
        <v>4.9759615384615383</v>
      </c>
      <c r="X22" s="32" t="s">
        <v>94</v>
      </c>
      <c r="Y22" s="33">
        <f>SQRT(Y21^2+Y20^2)</f>
        <v>0.28284271247461906</v>
      </c>
    </row>
    <row r="23" spans="1:25" x14ac:dyDescent="0.2">
      <c r="A23" s="28">
        <f t="shared" si="0"/>
        <v>33</v>
      </c>
      <c r="B23" s="31">
        <f t="shared" si="1"/>
        <v>4.125</v>
      </c>
      <c r="C23" s="29">
        <f t="shared" si="2"/>
        <v>0</v>
      </c>
      <c r="D23" s="27">
        <f t="shared" si="7"/>
        <v>108.69565217391303</v>
      </c>
      <c r="E23" s="27">
        <f t="shared" si="8"/>
        <v>3.7643515904385465</v>
      </c>
      <c r="F23" s="29">
        <f t="shared" si="9"/>
        <v>0.25</v>
      </c>
      <c r="G23" s="27">
        <f t="shared" si="10"/>
        <v>0.25</v>
      </c>
      <c r="H23" s="29">
        <f t="shared" si="3"/>
        <v>0.25</v>
      </c>
      <c r="I23" s="30">
        <f t="shared" si="11"/>
        <v>6.3461538461538419E-4</v>
      </c>
      <c r="J23" s="37">
        <f t="shared" si="15"/>
        <v>8.2500000000000021E-3</v>
      </c>
      <c r="K23" s="91">
        <f t="shared" si="12"/>
        <v>8.2500000000000018</v>
      </c>
      <c r="L23" s="68">
        <f t="shared" si="13"/>
        <v>1</v>
      </c>
      <c r="M23" s="28">
        <f t="shared" si="4"/>
        <v>3.7643515904385465</v>
      </c>
      <c r="N23" s="28">
        <f t="shared" si="17"/>
        <v>4.5811298076923043E-3</v>
      </c>
      <c r="O23" s="28">
        <f t="shared" si="16"/>
        <v>7.21875</v>
      </c>
      <c r="P23" s="28">
        <f t="shared" si="5"/>
        <v>11.484375</v>
      </c>
      <c r="Q23" s="28">
        <f t="shared" si="6"/>
        <v>4.921875</v>
      </c>
      <c r="X23" s="33"/>
      <c r="Y23" s="33"/>
    </row>
    <row r="24" spans="1:25" x14ac:dyDescent="0.2">
      <c r="A24" s="28">
        <f t="shared" si="0"/>
        <v>33</v>
      </c>
      <c r="B24" s="31">
        <f t="shared" si="1"/>
        <v>4.4423076923076925</v>
      </c>
      <c r="C24" s="29">
        <f t="shared" si="2"/>
        <v>0</v>
      </c>
      <c r="D24" s="27">
        <f t="shared" si="7"/>
        <v>108.69565217391303</v>
      </c>
      <c r="E24" s="27">
        <f t="shared" si="8"/>
        <v>3.8061777192211972</v>
      </c>
      <c r="F24" s="29">
        <f t="shared" si="9"/>
        <v>0.25</v>
      </c>
      <c r="G24" s="27">
        <f t="shared" si="10"/>
        <v>0.25</v>
      </c>
      <c r="H24" s="29">
        <f t="shared" si="3"/>
        <v>0.25</v>
      </c>
      <c r="I24" s="30">
        <f t="shared" si="11"/>
        <v>6.3461538461538505E-4</v>
      </c>
      <c r="J24" s="37">
        <f t="shared" si="15"/>
        <v>8.8846153846153866E-3</v>
      </c>
      <c r="K24" s="91">
        <f t="shared" si="12"/>
        <v>8.8846153846153868</v>
      </c>
      <c r="L24" s="68">
        <f t="shared" si="13"/>
        <v>1</v>
      </c>
      <c r="M24" s="28">
        <f t="shared" si="4"/>
        <v>3.8061777192211972</v>
      </c>
      <c r="N24" s="28">
        <f t="shared" si="17"/>
        <v>4.5307877218934943E-3</v>
      </c>
      <c r="O24" s="28">
        <f t="shared" si="16"/>
        <v>7.1394230769230766</v>
      </c>
      <c r="P24" s="28">
        <f t="shared" si="5"/>
        <v>11.358173076923077</v>
      </c>
      <c r="Q24" s="28">
        <f t="shared" si="6"/>
        <v>4.8677884615384608</v>
      </c>
      <c r="X24" s="32" t="s">
        <v>99</v>
      </c>
      <c r="Y24" s="33">
        <f>SQRT(Y18^2+Y22^2)</f>
        <v>0.50990195135927852</v>
      </c>
    </row>
    <row r="25" spans="1:25" x14ac:dyDescent="0.2">
      <c r="A25" s="28">
        <f t="shared" si="0"/>
        <v>33</v>
      </c>
      <c r="B25" s="31">
        <f t="shared" si="1"/>
        <v>4.7596153846153841</v>
      </c>
      <c r="C25" s="29">
        <f t="shared" si="2"/>
        <v>0</v>
      </c>
      <c r="D25" s="27">
        <f t="shared" si="7"/>
        <v>108.69565217391303</v>
      </c>
      <c r="E25" s="27">
        <f t="shared" si="8"/>
        <v>3.8489437610101991</v>
      </c>
      <c r="F25" s="29">
        <f t="shared" si="9"/>
        <v>0.25</v>
      </c>
      <c r="G25" s="27">
        <f t="shared" si="10"/>
        <v>0.25</v>
      </c>
      <c r="H25" s="29">
        <f t="shared" si="3"/>
        <v>0.25</v>
      </c>
      <c r="I25" s="30">
        <f t="shared" si="11"/>
        <v>6.3461538461538321E-4</v>
      </c>
      <c r="J25" s="37">
        <f t="shared" si="15"/>
        <v>9.5192307692307694E-3</v>
      </c>
      <c r="K25" s="91">
        <f t="shared" si="12"/>
        <v>9.5192307692307701</v>
      </c>
      <c r="L25" s="68">
        <f t="shared" si="13"/>
        <v>1</v>
      </c>
      <c r="M25" s="28">
        <f t="shared" si="4"/>
        <v>3.8489437610101995</v>
      </c>
      <c r="N25" s="28">
        <f t="shared" si="17"/>
        <v>4.4804456360946652E-3</v>
      </c>
      <c r="O25" s="28">
        <f t="shared" si="16"/>
        <v>7.0600961538461542</v>
      </c>
      <c r="P25" s="28">
        <f t="shared" si="5"/>
        <v>11.231971153846153</v>
      </c>
      <c r="Q25" s="28">
        <f t="shared" si="6"/>
        <v>4.8137019230769234</v>
      </c>
    </row>
    <row r="26" spans="1:25" x14ac:dyDescent="0.2">
      <c r="A26" s="28">
        <f t="shared" si="0"/>
        <v>33</v>
      </c>
      <c r="B26" s="31">
        <f t="shared" si="1"/>
        <v>5.0769230769230775</v>
      </c>
      <c r="C26" s="29">
        <f t="shared" si="2"/>
        <v>0</v>
      </c>
      <c r="D26" s="27">
        <f t="shared" si="7"/>
        <v>108.69565217391303</v>
      </c>
      <c r="E26" s="27">
        <f t="shared" si="8"/>
        <v>3.892681758294406</v>
      </c>
      <c r="F26" s="29">
        <f t="shared" si="9"/>
        <v>0.25</v>
      </c>
      <c r="G26" s="27">
        <f t="shared" si="10"/>
        <v>0.25</v>
      </c>
      <c r="H26" s="29">
        <f t="shared" si="3"/>
        <v>0.25</v>
      </c>
      <c r="I26" s="30">
        <f t="shared" si="11"/>
        <v>6.3461538461538679E-4</v>
      </c>
      <c r="J26" s="37">
        <f t="shared" si="15"/>
        <v>1.0153846153846156E-2</v>
      </c>
      <c r="K26" s="91">
        <f t="shared" si="12"/>
        <v>10.153846153846155</v>
      </c>
      <c r="L26" s="68">
        <f t="shared" si="13"/>
        <v>1</v>
      </c>
      <c r="M26" s="28">
        <f t="shared" si="4"/>
        <v>3.8926817582944064</v>
      </c>
      <c r="N26" s="28">
        <f t="shared" si="17"/>
        <v>4.4301035502958734E-3</v>
      </c>
      <c r="O26" s="28">
        <f t="shared" si="16"/>
        <v>6.9807692307692308</v>
      </c>
      <c r="P26" s="28">
        <f t="shared" si="5"/>
        <v>11.10576923076923</v>
      </c>
      <c r="Q26" s="28">
        <f t="shared" si="6"/>
        <v>4.7596153846153841</v>
      </c>
    </row>
    <row r="27" spans="1:25" x14ac:dyDescent="0.2">
      <c r="A27" s="28">
        <f t="shared" si="0"/>
        <v>33</v>
      </c>
      <c r="B27" s="31">
        <f t="shared" si="1"/>
        <v>5.3942307692307692</v>
      </c>
      <c r="C27" s="29">
        <f t="shared" si="2"/>
        <v>0</v>
      </c>
      <c r="D27" s="27">
        <f t="shared" si="7"/>
        <v>108.69565217391303</v>
      </c>
      <c r="E27" s="27">
        <f t="shared" si="8"/>
        <v>3.9374252267805487</v>
      </c>
      <c r="F27" s="29">
        <f t="shared" si="9"/>
        <v>0.25</v>
      </c>
      <c r="G27" s="27">
        <f t="shared" si="10"/>
        <v>0.25</v>
      </c>
      <c r="H27" s="29">
        <f t="shared" si="3"/>
        <v>0.25</v>
      </c>
      <c r="I27" s="30">
        <f t="shared" si="11"/>
        <v>6.3461538461538321E-4</v>
      </c>
      <c r="J27" s="37">
        <f t="shared" si="15"/>
        <v>1.0788461538461538E-2</v>
      </c>
      <c r="K27" s="91">
        <f t="shared" si="12"/>
        <v>10.788461538461538</v>
      </c>
      <c r="L27" s="68">
        <f t="shared" si="13"/>
        <v>1</v>
      </c>
      <c r="M27" s="28">
        <f t="shared" si="4"/>
        <v>3.9374252267805487</v>
      </c>
      <c r="N27" s="28">
        <f t="shared" si="17"/>
        <v>4.3797614644970314E-3</v>
      </c>
      <c r="O27" s="28">
        <f t="shared" si="16"/>
        <v>6.9014423076923075</v>
      </c>
      <c r="P27" s="28">
        <f t="shared" si="5"/>
        <v>10.979567307692307</v>
      </c>
      <c r="Q27" s="28">
        <f t="shared" si="6"/>
        <v>4.7055288461538458</v>
      </c>
    </row>
    <row r="28" spans="1:25" x14ac:dyDescent="0.2">
      <c r="A28" s="28">
        <f t="shared" si="0"/>
        <v>33</v>
      </c>
      <c r="B28" s="31">
        <f t="shared" si="1"/>
        <v>5.7115384615384617</v>
      </c>
      <c r="C28" s="29">
        <f t="shared" si="2"/>
        <v>0</v>
      </c>
      <c r="D28" s="27">
        <f t="shared" si="7"/>
        <v>108.69565217391303</v>
      </c>
      <c r="E28" s="27">
        <f t="shared" si="8"/>
        <v>3.9832092410454387</v>
      </c>
      <c r="F28" s="29">
        <f t="shared" si="9"/>
        <v>0.25</v>
      </c>
      <c r="G28" s="27">
        <f t="shared" si="10"/>
        <v>0.25</v>
      </c>
      <c r="H28" s="29">
        <f t="shared" si="3"/>
        <v>0.25</v>
      </c>
      <c r="I28" s="30">
        <f t="shared" si="11"/>
        <v>6.3461538461538505E-4</v>
      </c>
      <c r="J28" s="37">
        <f t="shared" si="15"/>
        <v>1.1423076923076923E-2</v>
      </c>
      <c r="K28" s="91">
        <f t="shared" si="12"/>
        <v>11.423076923076923</v>
      </c>
      <c r="L28" s="68">
        <f t="shared" si="13"/>
        <v>1</v>
      </c>
      <c r="M28" s="28">
        <f t="shared" si="4"/>
        <v>3.9832092410454387</v>
      </c>
      <c r="N28" s="28">
        <f t="shared" si="17"/>
        <v>4.3294193786982283E-3</v>
      </c>
      <c r="O28" s="28">
        <f t="shared" si="16"/>
        <v>6.822115384615385</v>
      </c>
      <c r="P28" s="28">
        <f t="shared" si="5"/>
        <v>10.853365384615385</v>
      </c>
      <c r="Q28" s="28">
        <f t="shared" si="6"/>
        <v>4.6514423076923075</v>
      </c>
    </row>
    <row r="29" spans="1:25" x14ac:dyDescent="0.2">
      <c r="A29" s="28">
        <f t="shared" si="0"/>
        <v>33</v>
      </c>
      <c r="B29" s="31">
        <f t="shared" si="1"/>
        <v>6.0288461538461533</v>
      </c>
      <c r="C29" s="29">
        <f t="shared" si="2"/>
        <v>0</v>
      </c>
      <c r="D29" s="27">
        <f t="shared" si="7"/>
        <v>108.69565217391303</v>
      </c>
      <c r="E29" s="27">
        <f t="shared" si="8"/>
        <v>4.0300705262342085</v>
      </c>
      <c r="F29" s="29">
        <f t="shared" si="9"/>
        <v>0.25</v>
      </c>
      <c r="G29" s="27">
        <f t="shared" si="10"/>
        <v>0.25</v>
      </c>
      <c r="H29" s="29">
        <f t="shared" si="3"/>
        <v>0.25</v>
      </c>
      <c r="I29" s="30">
        <f t="shared" si="11"/>
        <v>6.3461538461538321E-4</v>
      </c>
      <c r="J29" s="37">
        <f t="shared" si="15"/>
        <v>1.2057692307692306E-2</v>
      </c>
      <c r="K29" s="91">
        <f t="shared" si="12"/>
        <v>12.057692307692307</v>
      </c>
      <c r="L29" s="68">
        <f t="shared" si="13"/>
        <v>1</v>
      </c>
      <c r="M29" s="28">
        <f t="shared" si="4"/>
        <v>4.0300705262342085</v>
      </c>
      <c r="N29" s="28">
        <f t="shared" si="17"/>
        <v>4.2790772928993992E-3</v>
      </c>
      <c r="O29" s="28">
        <f t="shared" si="16"/>
        <v>6.7427884615384617</v>
      </c>
      <c r="P29" s="28">
        <f t="shared" si="5"/>
        <v>10.727163461538462</v>
      </c>
      <c r="Q29" s="28">
        <f t="shared" si="6"/>
        <v>4.5973557692307692</v>
      </c>
    </row>
    <row r="30" spans="1:25" x14ac:dyDescent="0.2">
      <c r="A30" s="28">
        <f t="shared" si="0"/>
        <v>33</v>
      </c>
      <c r="B30" s="31">
        <f t="shared" si="1"/>
        <v>6.3461538461538467</v>
      </c>
      <c r="C30" s="29">
        <f t="shared" si="2"/>
        <v>0</v>
      </c>
      <c r="D30" s="27">
        <f t="shared" si="7"/>
        <v>108.69565217391303</v>
      </c>
      <c r="E30" s="27">
        <f t="shared" si="8"/>
        <v>4.0780475563084257</v>
      </c>
      <c r="F30" s="29">
        <f t="shared" si="9"/>
        <v>0.25</v>
      </c>
      <c r="G30" s="27">
        <f t="shared" si="10"/>
        <v>0.25</v>
      </c>
      <c r="H30" s="29">
        <f t="shared" si="3"/>
        <v>0.25</v>
      </c>
      <c r="I30" s="30">
        <f t="shared" si="11"/>
        <v>6.3461538461538679E-4</v>
      </c>
      <c r="J30" s="37">
        <f t="shared" si="15"/>
        <v>1.2692307692307692E-2</v>
      </c>
      <c r="K30" s="91">
        <f t="shared" si="12"/>
        <v>12.692307692307692</v>
      </c>
      <c r="L30" s="68">
        <f t="shared" si="13"/>
        <v>1</v>
      </c>
      <c r="M30" s="28">
        <f t="shared" si="4"/>
        <v>4.0780475563084257</v>
      </c>
      <c r="N30" s="28">
        <f t="shared" si="17"/>
        <v>4.2287352071006057E-3</v>
      </c>
      <c r="O30" s="28">
        <f t="shared" si="16"/>
        <v>6.6634615384615383</v>
      </c>
      <c r="P30" s="28">
        <f t="shared" si="5"/>
        <v>10.600961538461538</v>
      </c>
      <c r="Q30" s="28">
        <f t="shared" si="6"/>
        <v>4.5432692307692299</v>
      </c>
    </row>
    <row r="31" spans="1:25" x14ac:dyDescent="0.2">
      <c r="A31" s="28">
        <f t="shared" si="0"/>
        <v>33</v>
      </c>
      <c r="B31" s="31">
        <f t="shared" si="1"/>
        <v>6.6634615384615383</v>
      </c>
      <c r="C31" s="29">
        <f t="shared" si="2"/>
        <v>0</v>
      </c>
      <c r="D31" s="27">
        <f t="shared" si="7"/>
        <v>108.69565217391303</v>
      </c>
      <c r="E31" s="27">
        <f t="shared" si="8"/>
        <v>4.1271806593964788</v>
      </c>
      <c r="F31" s="29">
        <f t="shared" si="9"/>
        <v>0.25</v>
      </c>
      <c r="G31" s="27">
        <f t="shared" si="10"/>
        <v>0.25</v>
      </c>
      <c r="H31" s="29">
        <f t="shared" si="3"/>
        <v>0.25</v>
      </c>
      <c r="I31" s="30">
        <f t="shared" si="11"/>
        <v>6.3461538461538321E-4</v>
      </c>
      <c r="J31" s="37">
        <f t="shared" si="15"/>
        <v>1.3326923076923075E-2</v>
      </c>
      <c r="K31" s="91">
        <f t="shared" si="12"/>
        <v>13.326923076923075</v>
      </c>
      <c r="L31" s="68">
        <f t="shared" si="13"/>
        <v>1</v>
      </c>
      <c r="M31" s="28">
        <f t="shared" si="4"/>
        <v>4.1271806593964788</v>
      </c>
      <c r="N31" s="28">
        <f t="shared" si="17"/>
        <v>4.1783931213017654E-3</v>
      </c>
      <c r="O31" s="28">
        <f t="shared" si="16"/>
        <v>6.584134615384615</v>
      </c>
      <c r="P31" s="28">
        <f t="shared" si="5"/>
        <v>10.474759615384615</v>
      </c>
      <c r="Q31" s="28">
        <f t="shared" si="6"/>
        <v>4.4891826923076916</v>
      </c>
    </row>
    <row r="32" spans="1:25" x14ac:dyDescent="0.2">
      <c r="A32" s="28">
        <f t="shared" si="0"/>
        <v>33</v>
      </c>
      <c r="B32" s="31">
        <f t="shared" si="1"/>
        <v>6.9807692307692308</v>
      </c>
      <c r="C32" s="29">
        <f t="shared" si="2"/>
        <v>0</v>
      </c>
      <c r="D32" s="27">
        <f t="shared" si="7"/>
        <v>108.69565217391303</v>
      </c>
      <c r="E32" s="27">
        <f t="shared" si="8"/>
        <v>4.1775121308525334</v>
      </c>
      <c r="F32" s="29">
        <f t="shared" si="9"/>
        <v>0.25</v>
      </c>
      <c r="G32" s="27">
        <f t="shared" si="10"/>
        <v>0.25</v>
      </c>
      <c r="H32" s="29">
        <f t="shared" si="3"/>
        <v>0.25</v>
      </c>
      <c r="I32" s="30">
        <f t="shared" si="11"/>
        <v>6.3461538461538505E-4</v>
      </c>
      <c r="J32" s="37">
        <f t="shared" si="15"/>
        <v>1.3961538461538459E-2</v>
      </c>
      <c r="K32" s="91">
        <f t="shared" si="12"/>
        <v>13.96153846153846</v>
      </c>
      <c r="L32" s="68">
        <f t="shared" si="13"/>
        <v>1</v>
      </c>
      <c r="M32" s="28">
        <f t="shared" si="4"/>
        <v>4.1775121308525334</v>
      </c>
      <c r="N32" s="28">
        <f t="shared" si="17"/>
        <v>4.1280510355029615E-3</v>
      </c>
      <c r="O32" s="28">
        <f t="shared" si="16"/>
        <v>6.5048076923076925</v>
      </c>
      <c r="P32" s="28">
        <f t="shared" si="5"/>
        <v>10.348557692307692</v>
      </c>
      <c r="Q32" s="28">
        <f t="shared" si="6"/>
        <v>4.4350961538461533</v>
      </c>
    </row>
    <row r="33" spans="1:17" x14ac:dyDescent="0.2">
      <c r="A33" s="28">
        <f t="shared" si="0"/>
        <v>33</v>
      </c>
      <c r="B33" s="31">
        <f t="shared" si="1"/>
        <v>7.2980769230769225</v>
      </c>
      <c r="C33" s="29">
        <f t="shared" si="2"/>
        <v>0</v>
      </c>
      <c r="D33" s="27">
        <f t="shared" si="7"/>
        <v>108.69565217391303</v>
      </c>
      <c r="E33" s="27">
        <f t="shared" si="8"/>
        <v>4.2290863546902191</v>
      </c>
      <c r="F33" s="29">
        <f t="shared" si="9"/>
        <v>0.25</v>
      </c>
      <c r="G33" s="27">
        <f t="shared" si="10"/>
        <v>0.25</v>
      </c>
      <c r="H33" s="29">
        <f t="shared" si="3"/>
        <v>0.25</v>
      </c>
      <c r="I33" s="30">
        <f t="shared" si="11"/>
        <v>6.3461538461538321E-4</v>
      </c>
      <c r="J33" s="37">
        <f t="shared" si="15"/>
        <v>1.4596153846153842E-2</v>
      </c>
      <c r="K33" s="91">
        <f t="shared" si="12"/>
        <v>14.596153846153841</v>
      </c>
      <c r="L33" s="68">
        <f t="shared" si="13"/>
        <v>1</v>
      </c>
      <c r="M33" s="28">
        <f t="shared" si="4"/>
        <v>4.2290863546902191</v>
      </c>
      <c r="N33" s="28">
        <f t="shared" si="17"/>
        <v>4.0777089497041332E-3</v>
      </c>
      <c r="O33" s="28">
        <f t="shared" si="16"/>
        <v>6.4254807692307692</v>
      </c>
      <c r="P33" s="28">
        <f t="shared" si="5"/>
        <v>10.222355769230768</v>
      </c>
      <c r="Q33" s="28">
        <f t="shared" si="6"/>
        <v>4.381009615384615</v>
      </c>
    </row>
    <row r="34" spans="1:17" x14ac:dyDescent="0.2">
      <c r="A34" s="28">
        <f t="shared" si="0"/>
        <v>33</v>
      </c>
      <c r="B34" s="31">
        <f t="shared" si="1"/>
        <v>7.6153846153846159</v>
      </c>
      <c r="C34" s="29">
        <f t="shared" si="2"/>
        <v>0</v>
      </c>
      <c r="D34" s="27">
        <f t="shared" si="7"/>
        <v>108.69565217391303</v>
      </c>
      <c r="E34" s="27">
        <f t="shared" si="8"/>
        <v>4.2819499341238467</v>
      </c>
      <c r="F34" s="29">
        <f t="shared" si="9"/>
        <v>0.25</v>
      </c>
      <c r="G34" s="27">
        <f t="shared" si="10"/>
        <v>0.25</v>
      </c>
      <c r="H34" s="29">
        <f t="shared" si="3"/>
        <v>0.25</v>
      </c>
      <c r="I34" s="30">
        <f t="shared" si="11"/>
        <v>6.3461538461538679E-4</v>
      </c>
      <c r="J34" s="37">
        <f t="shared" si="15"/>
        <v>1.5230769230769228E-2</v>
      </c>
      <c r="K34" s="91">
        <f t="shared" si="12"/>
        <v>15.230769230769228</v>
      </c>
      <c r="L34" s="68">
        <f t="shared" si="13"/>
        <v>1</v>
      </c>
      <c r="M34" s="28">
        <f t="shared" si="4"/>
        <v>4.2819499341238467</v>
      </c>
      <c r="N34" s="28">
        <f t="shared" si="17"/>
        <v>4.0273668639053389E-3</v>
      </c>
      <c r="O34" s="28">
        <f t="shared" si="16"/>
        <v>6.3461538461538458</v>
      </c>
      <c r="P34" s="28">
        <f t="shared" si="5"/>
        <v>10.096153846153845</v>
      </c>
      <c r="Q34" s="28">
        <f t="shared" si="6"/>
        <v>4.3269230769230766</v>
      </c>
    </row>
    <row r="35" spans="1:17" x14ac:dyDescent="0.2">
      <c r="A35" s="28">
        <f t="shared" si="0"/>
        <v>33</v>
      </c>
      <c r="B35" s="31">
        <f t="shared" si="1"/>
        <v>7.9326923076923075</v>
      </c>
      <c r="C35" s="29">
        <f t="shared" si="2"/>
        <v>0</v>
      </c>
      <c r="D35" s="27">
        <f t="shared" si="7"/>
        <v>108.69565217391303</v>
      </c>
      <c r="E35" s="27">
        <f t="shared" si="8"/>
        <v>4.3361518320241483</v>
      </c>
      <c r="F35" s="29">
        <f t="shared" si="9"/>
        <v>0.25</v>
      </c>
      <c r="G35" s="27">
        <f t="shared" si="10"/>
        <v>0.25</v>
      </c>
      <c r="H35" s="29">
        <f t="shared" si="3"/>
        <v>0.25</v>
      </c>
      <c r="I35" s="30">
        <f t="shared" si="11"/>
        <v>6.3461538461538321E-4</v>
      </c>
      <c r="J35" s="37">
        <f t="shared" si="15"/>
        <v>1.5865384615384611E-2</v>
      </c>
      <c r="K35" s="91">
        <f t="shared" si="12"/>
        <v>15.865384615384611</v>
      </c>
      <c r="L35" s="68">
        <f t="shared" si="13"/>
        <v>1</v>
      </c>
      <c r="M35" s="28">
        <f t="shared" si="4"/>
        <v>4.3361518320241483</v>
      </c>
      <c r="N35" s="28">
        <f t="shared" si="17"/>
        <v>3.9770247781065002E-3</v>
      </c>
      <c r="O35" s="28">
        <f t="shared" si="16"/>
        <v>6.2668269230769234</v>
      </c>
      <c r="P35" s="28">
        <f t="shared" si="5"/>
        <v>9.9699519230769234</v>
      </c>
      <c r="Q35" s="28">
        <f t="shared" si="6"/>
        <v>4.2728365384615383</v>
      </c>
    </row>
    <row r="36" spans="1:17" x14ac:dyDescent="0.2">
      <c r="A36" s="28">
        <f t="shared" si="0"/>
        <v>33</v>
      </c>
      <c r="B36" s="31">
        <f t="shared" si="1"/>
        <v>8.25</v>
      </c>
      <c r="C36" s="29">
        <f t="shared" si="2"/>
        <v>0</v>
      </c>
      <c r="D36" s="27">
        <f t="shared" si="7"/>
        <v>108.69565217391303</v>
      </c>
      <c r="E36" s="27">
        <f t="shared" si="8"/>
        <v>4.3917435221783041</v>
      </c>
      <c r="F36" s="29">
        <f t="shared" si="9"/>
        <v>0.25</v>
      </c>
      <c r="G36" s="27">
        <f t="shared" si="10"/>
        <v>0.25</v>
      </c>
      <c r="H36" s="29">
        <f t="shared" si="3"/>
        <v>0.25</v>
      </c>
      <c r="I36" s="30">
        <f t="shared" si="11"/>
        <v>6.3461538461538505E-4</v>
      </c>
      <c r="J36" s="37">
        <f t="shared" si="15"/>
        <v>1.6499999999999997E-2</v>
      </c>
      <c r="K36" s="91">
        <f t="shared" si="12"/>
        <v>16.499999999999996</v>
      </c>
      <c r="L36" s="68">
        <f t="shared" si="13"/>
        <v>1</v>
      </c>
      <c r="M36" s="28">
        <f t="shared" si="4"/>
        <v>4.3917435221783041</v>
      </c>
      <c r="N36" s="28">
        <f t="shared" si="17"/>
        <v>3.9266826923076946E-3</v>
      </c>
      <c r="O36" s="28">
        <f t="shared" si="16"/>
        <v>6.1875</v>
      </c>
      <c r="P36" s="28">
        <f t="shared" si="5"/>
        <v>9.84375</v>
      </c>
      <c r="Q36" s="28">
        <f t="shared" si="6"/>
        <v>4.21875</v>
      </c>
    </row>
    <row r="37" spans="1:17" x14ac:dyDescent="0.2">
      <c r="A37" s="28">
        <f t="shared" si="0"/>
        <v>33</v>
      </c>
      <c r="B37" s="31">
        <f t="shared" si="1"/>
        <v>8.5673076923076934</v>
      </c>
      <c r="C37" s="29">
        <f t="shared" si="2"/>
        <v>0</v>
      </c>
      <c r="D37" s="27">
        <f t="shared" si="7"/>
        <v>108.69565217391303</v>
      </c>
      <c r="E37" s="27">
        <f t="shared" si="8"/>
        <v>4.4487791523364644</v>
      </c>
      <c r="F37" s="29">
        <f t="shared" si="9"/>
        <v>0.25</v>
      </c>
      <c r="G37" s="27">
        <f t="shared" si="10"/>
        <v>0.25</v>
      </c>
      <c r="H37" s="29">
        <f t="shared" si="3"/>
        <v>0.25</v>
      </c>
      <c r="I37" s="30">
        <f t="shared" si="11"/>
        <v>6.3461538461538679E-4</v>
      </c>
      <c r="J37" s="37">
        <f t="shared" si="15"/>
        <v>1.7134615384615384E-2</v>
      </c>
      <c r="K37" s="91">
        <f t="shared" si="12"/>
        <v>17.134615384615383</v>
      </c>
      <c r="L37" s="68">
        <f t="shared" si="13"/>
        <v>1</v>
      </c>
      <c r="M37" s="28">
        <f t="shared" si="4"/>
        <v>4.4487791523364644</v>
      </c>
      <c r="N37" s="28">
        <f t="shared" si="17"/>
        <v>3.8763406065088889E-3</v>
      </c>
      <c r="O37" s="28">
        <f t="shared" si="16"/>
        <v>6.1081730769230766</v>
      </c>
      <c r="P37" s="28">
        <f t="shared" si="5"/>
        <v>9.7175480769230766</v>
      </c>
      <c r="Q37" s="28">
        <f t="shared" si="6"/>
        <v>4.1646634615384608</v>
      </c>
    </row>
    <row r="38" spans="1:17" x14ac:dyDescent="0.2">
      <c r="A38" s="28">
        <f t="shared" si="0"/>
        <v>33</v>
      </c>
      <c r="B38" s="31">
        <f t="shared" si="1"/>
        <v>8.884615384615385</v>
      </c>
      <c r="C38" s="29">
        <f t="shared" si="2"/>
        <v>0</v>
      </c>
      <c r="D38" s="27">
        <f t="shared" si="7"/>
        <v>108.69565217391303</v>
      </c>
      <c r="E38" s="27">
        <f t="shared" si="8"/>
        <v>4.5073157201303653</v>
      </c>
      <c r="F38" s="29">
        <f t="shared" si="9"/>
        <v>0.25</v>
      </c>
      <c r="G38" s="27">
        <f t="shared" si="10"/>
        <v>0.25</v>
      </c>
      <c r="H38" s="29">
        <f t="shared" si="3"/>
        <v>0.25</v>
      </c>
      <c r="I38" s="30">
        <f t="shared" si="11"/>
        <v>6.3461538461538321E-4</v>
      </c>
      <c r="J38" s="37">
        <f t="shared" si="15"/>
        <v>1.7769230769230766E-2</v>
      </c>
      <c r="K38" s="91">
        <f t="shared" si="12"/>
        <v>17.769230769230766</v>
      </c>
      <c r="L38" s="68">
        <f t="shared" si="13"/>
        <v>1</v>
      </c>
      <c r="M38" s="28">
        <f t="shared" si="4"/>
        <v>4.5073157201303653</v>
      </c>
      <c r="N38" s="28">
        <f t="shared" si="17"/>
        <v>3.8259985207100503E-3</v>
      </c>
      <c r="O38" s="28">
        <f t="shared" si="16"/>
        <v>6.0288461538461533</v>
      </c>
      <c r="P38" s="28">
        <f t="shared" si="5"/>
        <v>9.5913461538461533</v>
      </c>
      <c r="Q38" s="28">
        <f t="shared" si="6"/>
        <v>4.1105769230769225</v>
      </c>
    </row>
    <row r="39" spans="1:17" x14ac:dyDescent="0.2">
      <c r="A39" s="28">
        <f t="shared" si="0"/>
        <v>33</v>
      </c>
      <c r="B39" s="31">
        <f t="shared" si="1"/>
        <v>9.2019230769230766</v>
      </c>
      <c r="C39" s="29">
        <f t="shared" si="2"/>
        <v>0</v>
      </c>
      <c r="D39" s="27">
        <f t="shared" si="7"/>
        <v>108.69565217391303</v>
      </c>
      <c r="E39" s="27">
        <f t="shared" si="8"/>
        <v>4.5674132630654363</v>
      </c>
      <c r="F39" s="29">
        <f t="shared" si="9"/>
        <v>0.25</v>
      </c>
      <c r="G39" s="27">
        <f t="shared" si="10"/>
        <v>0.25</v>
      </c>
      <c r="H39" s="29">
        <f t="shared" si="3"/>
        <v>0.25</v>
      </c>
      <c r="I39" s="30">
        <f t="shared" si="11"/>
        <v>6.3461538461538321E-4</v>
      </c>
      <c r="J39" s="37">
        <f t="shared" si="15"/>
        <v>1.8403846153846149E-2</v>
      </c>
      <c r="K39" s="91">
        <f t="shared" si="12"/>
        <v>18.40384615384615</v>
      </c>
      <c r="L39" s="68">
        <f t="shared" si="13"/>
        <v>1</v>
      </c>
      <c r="M39" s="28">
        <f t="shared" si="4"/>
        <v>4.5674132630654363</v>
      </c>
      <c r="N39" s="28">
        <f t="shared" si="17"/>
        <v>3.7756564349112343E-3</v>
      </c>
      <c r="O39" s="28">
        <f t="shared" si="16"/>
        <v>5.9495192307692308</v>
      </c>
      <c r="P39" s="28">
        <f t="shared" si="5"/>
        <v>9.4651442307692299</v>
      </c>
      <c r="Q39" s="28">
        <f t="shared" si="6"/>
        <v>4.0564903846153841</v>
      </c>
    </row>
    <row r="40" spans="1:17" x14ac:dyDescent="0.2">
      <c r="A40" s="28">
        <f t="shared" si="0"/>
        <v>33</v>
      </c>
      <c r="B40" s="31">
        <f t="shared" si="1"/>
        <v>9.5192307692307683</v>
      </c>
      <c r="C40" s="29">
        <f t="shared" si="2"/>
        <v>0</v>
      </c>
      <c r="D40" s="27">
        <f t="shared" si="7"/>
        <v>108.69565217391303</v>
      </c>
      <c r="E40" s="27">
        <f t="shared" si="8"/>
        <v>4.6291350639176718</v>
      </c>
      <c r="F40" s="29">
        <f t="shared" si="9"/>
        <v>0.25</v>
      </c>
      <c r="G40" s="27">
        <f t="shared" si="10"/>
        <v>0.25</v>
      </c>
      <c r="H40" s="29">
        <f t="shared" si="3"/>
        <v>0.25</v>
      </c>
      <c r="I40" s="30">
        <f t="shared" si="11"/>
        <v>6.3461538461538321E-4</v>
      </c>
      <c r="J40" s="37">
        <f t="shared" si="15"/>
        <v>1.9038461538461532E-2</v>
      </c>
      <c r="K40" s="91">
        <f t="shared" si="12"/>
        <v>19.038461538461533</v>
      </c>
      <c r="L40" s="68">
        <f t="shared" si="13"/>
        <v>1</v>
      </c>
      <c r="M40" s="28">
        <f t="shared" si="4"/>
        <v>4.6291350639176718</v>
      </c>
      <c r="N40" s="28">
        <f t="shared" si="17"/>
        <v>3.7253143491124182E-3</v>
      </c>
      <c r="O40" s="28">
        <f t="shared" si="16"/>
        <v>5.8701923076923084</v>
      </c>
      <c r="P40" s="28">
        <f t="shared" si="5"/>
        <v>9.3389423076923084</v>
      </c>
      <c r="Q40" s="28">
        <f t="shared" si="6"/>
        <v>4.0024038461538467</v>
      </c>
    </row>
    <row r="41" spans="1:17" x14ac:dyDescent="0.2">
      <c r="A41" s="28">
        <f t="shared" si="0"/>
        <v>33</v>
      </c>
      <c r="B41" s="31">
        <f t="shared" si="1"/>
        <v>9.8365384615384617</v>
      </c>
      <c r="C41" s="29">
        <f t="shared" si="2"/>
        <v>0</v>
      </c>
      <c r="D41" s="27">
        <f t="shared" si="7"/>
        <v>108.69565217391303</v>
      </c>
      <c r="E41" s="27">
        <f t="shared" si="8"/>
        <v>4.6925478730124341</v>
      </c>
      <c r="F41" s="29">
        <f t="shared" si="9"/>
        <v>0.25</v>
      </c>
      <c r="G41" s="27">
        <f t="shared" si="10"/>
        <v>0.25</v>
      </c>
      <c r="H41" s="29">
        <f t="shared" si="3"/>
        <v>0.25</v>
      </c>
      <c r="I41" s="30">
        <f t="shared" si="11"/>
        <v>6.3461538461538679E-4</v>
      </c>
      <c r="J41" s="37">
        <f t="shared" si="15"/>
        <v>1.9673076923076918E-2</v>
      </c>
      <c r="K41" s="91">
        <f t="shared" si="12"/>
        <v>19.67307692307692</v>
      </c>
      <c r="L41" s="68">
        <f t="shared" si="13"/>
        <v>1</v>
      </c>
      <c r="M41" s="28">
        <f t="shared" si="4"/>
        <v>4.6925478730124341</v>
      </c>
      <c r="N41" s="28">
        <f t="shared" si="17"/>
        <v>3.6749722633136225E-3</v>
      </c>
      <c r="O41" s="28">
        <f t="shared" si="16"/>
        <v>5.790865384615385</v>
      </c>
      <c r="P41" s="28">
        <f t="shared" si="5"/>
        <v>9.212740384615385</v>
      </c>
      <c r="Q41" s="28">
        <f t="shared" si="6"/>
        <v>3.9483173076923075</v>
      </c>
    </row>
    <row r="42" spans="1:17" x14ac:dyDescent="0.2">
      <c r="A42" s="28">
        <f t="shared" ref="A42:A73" si="18">VINMAX</f>
        <v>33</v>
      </c>
      <c r="B42" s="31">
        <f t="shared" ref="B42:B73" si="19">VINMAX*((ROW()-10)/104)</f>
        <v>10.153846153846155</v>
      </c>
      <c r="C42" s="29">
        <f t="shared" ref="C42:C73" si="20">IF(B42&gt;=$H$2,IF($D$2="CC", $G$2, B42/$G$2), 0)</f>
        <v>0</v>
      </c>
      <c r="D42" s="27">
        <f t="shared" ref="D42:D73" si="21">$B$2-B42*$J$2/($I$2*0.001)</f>
        <v>108.69565217391303</v>
      </c>
      <c r="E42" s="27">
        <f t="shared" si="8"/>
        <v>4.7577221490264963</v>
      </c>
      <c r="F42" s="29">
        <f t="shared" ref="F42:F73" si="22">I_Cout_ss+C42</f>
        <v>0.25</v>
      </c>
      <c r="G42" s="27">
        <f t="shared" si="10"/>
        <v>0.25</v>
      </c>
      <c r="H42" s="29">
        <f t="shared" ref="H42:H73" si="23">G42-C42</f>
        <v>0.25</v>
      </c>
      <c r="I42" s="30">
        <f t="shared" si="11"/>
        <v>6.3461538461538679E-4</v>
      </c>
      <c r="J42" s="37">
        <f t="shared" si="15"/>
        <v>2.0307692307692304E-2</v>
      </c>
      <c r="K42" s="91">
        <f t="shared" si="12"/>
        <v>20.307692307692303</v>
      </c>
      <c r="L42" s="68">
        <f t="shared" si="13"/>
        <v>1</v>
      </c>
      <c r="M42" s="28">
        <f t="shared" ref="M42:M73" si="24">1/COUTMAX*(E42/2-C42)*1000</f>
        <v>4.7577221490264963</v>
      </c>
      <c r="N42" s="28">
        <f t="shared" si="17"/>
        <v>3.6246301775148056E-3</v>
      </c>
      <c r="O42" s="28">
        <f t="shared" si="16"/>
        <v>5.7115384615384617</v>
      </c>
      <c r="P42" s="28">
        <f t="shared" ref="P42:P73" si="25">(A42-B42)*(I_Cout_ss*$Q$2+C42)</f>
        <v>9.0865384615384617</v>
      </c>
      <c r="Q42" s="28">
        <f t="shared" ref="Q42:Q73" si="26">(A42-B42)*(I_Cout_ss*$R$2+C42)</f>
        <v>3.8942307692307692</v>
      </c>
    </row>
    <row r="43" spans="1:17" x14ac:dyDescent="0.2">
      <c r="A43" s="28">
        <f t="shared" si="18"/>
        <v>33</v>
      </c>
      <c r="B43" s="31">
        <f t="shared" si="19"/>
        <v>10.471153846153845</v>
      </c>
      <c r="C43" s="29">
        <f t="shared" si="20"/>
        <v>0</v>
      </c>
      <c r="D43" s="27">
        <f t="shared" si="21"/>
        <v>108.69565217391303</v>
      </c>
      <c r="E43" s="27">
        <f t="shared" si="8"/>
        <v>4.824732320139546</v>
      </c>
      <c r="F43" s="29">
        <f t="shared" si="22"/>
        <v>0.25</v>
      </c>
      <c r="G43" s="27">
        <f t="shared" si="10"/>
        <v>0.25</v>
      </c>
      <c r="H43" s="29">
        <f t="shared" si="23"/>
        <v>0.25</v>
      </c>
      <c r="I43" s="30">
        <f t="shared" ref="I43:I74" si="27">(COUTMAX/1000000)*(B43-B42)/H43</f>
        <v>6.3461538461537974E-4</v>
      </c>
      <c r="J43" s="37">
        <f t="shared" si="15"/>
        <v>2.0942307692307684E-2</v>
      </c>
      <c r="K43" s="91">
        <f t="shared" si="12"/>
        <v>20.942307692307683</v>
      </c>
      <c r="L43" s="68">
        <f t="shared" si="13"/>
        <v>1</v>
      </c>
      <c r="M43" s="28">
        <f t="shared" si="24"/>
        <v>4.824732320139546</v>
      </c>
      <c r="N43" s="28">
        <f t="shared" si="17"/>
        <v>3.5742880917159488E-3</v>
      </c>
      <c r="O43" s="28">
        <f t="shared" si="16"/>
        <v>5.6322115384615383</v>
      </c>
      <c r="P43" s="28">
        <f t="shared" si="25"/>
        <v>8.9603365384615383</v>
      </c>
      <c r="Q43" s="28">
        <f t="shared" si="26"/>
        <v>3.8401442307692304</v>
      </c>
    </row>
    <row r="44" spans="1:17" x14ac:dyDescent="0.2">
      <c r="A44" s="28">
        <f t="shared" si="18"/>
        <v>33</v>
      </c>
      <c r="B44" s="31">
        <f t="shared" si="19"/>
        <v>10.788461538461538</v>
      </c>
      <c r="C44" s="29">
        <f t="shared" si="20"/>
        <v>0</v>
      </c>
      <c r="D44" s="27">
        <f t="shared" si="21"/>
        <v>108.69565217391303</v>
      </c>
      <c r="E44" s="27">
        <f t="shared" si="8"/>
        <v>4.8936570675701105</v>
      </c>
      <c r="F44" s="29">
        <f t="shared" si="22"/>
        <v>0.25</v>
      </c>
      <c r="G44" s="27">
        <f t="shared" si="10"/>
        <v>0.25</v>
      </c>
      <c r="H44" s="29">
        <f t="shared" si="23"/>
        <v>0.25</v>
      </c>
      <c r="I44" s="30">
        <f t="shared" si="27"/>
        <v>6.3461538461538679E-4</v>
      </c>
      <c r="J44" s="37">
        <f t="shared" si="15"/>
        <v>2.157692307692307E-2</v>
      </c>
      <c r="K44" s="91">
        <f t="shared" si="12"/>
        <v>21.57692307692307</v>
      </c>
      <c r="L44" s="68">
        <f t="shared" si="13"/>
        <v>1</v>
      </c>
      <c r="M44" s="28">
        <f t="shared" si="24"/>
        <v>4.8936570675701114</v>
      </c>
      <c r="N44" s="28">
        <f t="shared" si="17"/>
        <v>3.5239460059171717E-3</v>
      </c>
      <c r="O44" s="28">
        <f t="shared" si="16"/>
        <v>5.552884615384615</v>
      </c>
      <c r="P44" s="28">
        <f t="shared" si="25"/>
        <v>8.834134615384615</v>
      </c>
      <c r="Q44" s="28">
        <f t="shared" si="26"/>
        <v>3.7860576923076916</v>
      </c>
    </row>
    <row r="45" spans="1:17" x14ac:dyDescent="0.2">
      <c r="A45" s="28">
        <f t="shared" si="18"/>
        <v>33</v>
      </c>
      <c r="B45" s="31">
        <f t="shared" si="19"/>
        <v>11.105769230769232</v>
      </c>
      <c r="C45" s="29">
        <f t="shared" si="20"/>
        <v>0</v>
      </c>
      <c r="D45" s="27">
        <f t="shared" si="21"/>
        <v>108.69565217391303</v>
      </c>
      <c r="E45" s="27">
        <f t="shared" si="8"/>
        <v>4.9645796337667791</v>
      </c>
      <c r="F45" s="29">
        <f t="shared" si="22"/>
        <v>0.25</v>
      </c>
      <c r="G45" s="27">
        <f t="shared" si="10"/>
        <v>0.25</v>
      </c>
      <c r="H45" s="29">
        <f t="shared" si="23"/>
        <v>0.25</v>
      </c>
      <c r="I45" s="30">
        <f t="shared" si="27"/>
        <v>6.3461538461538679E-4</v>
      </c>
      <c r="J45" s="37">
        <f t="shared" si="15"/>
        <v>2.2211538461538456E-2</v>
      </c>
      <c r="K45" s="91">
        <f t="shared" si="12"/>
        <v>22.211538461538456</v>
      </c>
      <c r="L45" s="68">
        <f t="shared" si="13"/>
        <v>1</v>
      </c>
      <c r="M45" s="28">
        <f t="shared" si="24"/>
        <v>4.9645796337667791</v>
      </c>
      <c r="N45" s="28">
        <f t="shared" si="17"/>
        <v>3.4736039201183548E-3</v>
      </c>
      <c r="O45" s="28">
        <f t="shared" si="16"/>
        <v>5.4735576923076916</v>
      </c>
      <c r="P45" s="28">
        <f t="shared" si="25"/>
        <v>8.7079326923076916</v>
      </c>
      <c r="Q45" s="28">
        <f t="shared" si="26"/>
        <v>3.7319711538461533</v>
      </c>
    </row>
    <row r="46" spans="1:17" x14ac:dyDescent="0.2">
      <c r="A46" s="28">
        <f t="shared" si="18"/>
        <v>33</v>
      </c>
      <c r="B46" s="31">
        <f t="shared" si="19"/>
        <v>11.423076923076923</v>
      </c>
      <c r="C46" s="29">
        <f t="shared" si="20"/>
        <v>0</v>
      </c>
      <c r="D46" s="27">
        <f t="shared" si="21"/>
        <v>108.69565217391303</v>
      </c>
      <c r="E46" s="27">
        <f t="shared" si="8"/>
        <v>5.0375881577927606</v>
      </c>
      <c r="F46" s="29">
        <f t="shared" si="22"/>
        <v>0.25</v>
      </c>
      <c r="G46" s="27">
        <f t="shared" si="10"/>
        <v>0.25</v>
      </c>
      <c r="H46" s="29">
        <f t="shared" si="23"/>
        <v>0.25</v>
      </c>
      <c r="I46" s="30">
        <f t="shared" si="27"/>
        <v>6.3461538461538321E-4</v>
      </c>
      <c r="J46" s="37">
        <f t="shared" si="15"/>
        <v>2.2846153846153839E-2</v>
      </c>
      <c r="K46" s="91">
        <f t="shared" si="12"/>
        <v>22.84615384615384</v>
      </c>
      <c r="L46" s="68">
        <f t="shared" si="13"/>
        <v>1</v>
      </c>
      <c r="M46" s="28">
        <f t="shared" si="24"/>
        <v>5.0375881577927606</v>
      </c>
      <c r="N46" s="28">
        <f t="shared" si="17"/>
        <v>3.4232618343195192E-3</v>
      </c>
      <c r="O46" s="28">
        <f t="shared" si="16"/>
        <v>5.3942307692307692</v>
      </c>
      <c r="P46" s="28">
        <f t="shared" si="25"/>
        <v>8.5817307692307683</v>
      </c>
      <c r="Q46" s="28">
        <f t="shared" si="26"/>
        <v>3.677884615384615</v>
      </c>
    </row>
    <row r="47" spans="1:17" x14ac:dyDescent="0.2">
      <c r="A47" s="28">
        <f t="shared" si="18"/>
        <v>33</v>
      </c>
      <c r="B47" s="31">
        <f t="shared" si="19"/>
        <v>11.740384615384615</v>
      </c>
      <c r="C47" s="29">
        <f t="shared" si="20"/>
        <v>0</v>
      </c>
      <c r="D47" s="27">
        <f t="shared" si="21"/>
        <v>108.69565217391303</v>
      </c>
      <c r="E47" s="27">
        <f t="shared" si="8"/>
        <v>5.1127760407448912</v>
      </c>
      <c r="F47" s="29">
        <f t="shared" si="22"/>
        <v>0.25</v>
      </c>
      <c r="G47" s="27">
        <f t="shared" si="10"/>
        <v>0.25</v>
      </c>
      <c r="H47" s="29">
        <f t="shared" si="23"/>
        <v>0.25</v>
      </c>
      <c r="I47" s="30">
        <f t="shared" si="27"/>
        <v>6.3461538461538321E-4</v>
      </c>
      <c r="J47" s="37">
        <f t="shared" si="15"/>
        <v>2.3480769230769222E-2</v>
      </c>
      <c r="K47" s="91">
        <f t="shared" si="12"/>
        <v>23.480769230769223</v>
      </c>
      <c r="L47" s="68">
        <f t="shared" si="13"/>
        <v>1</v>
      </c>
      <c r="M47" s="28">
        <f t="shared" si="24"/>
        <v>5.1127760407448912</v>
      </c>
      <c r="N47" s="28">
        <f t="shared" si="17"/>
        <v>3.3729197485207031E-3</v>
      </c>
      <c r="O47" s="28">
        <f t="shared" si="16"/>
        <v>5.3149038461538467</v>
      </c>
      <c r="P47" s="28">
        <f t="shared" si="25"/>
        <v>8.4555288461538467</v>
      </c>
      <c r="Q47" s="28">
        <f t="shared" si="26"/>
        <v>3.6237980769230771</v>
      </c>
    </row>
    <row r="48" spans="1:17" x14ac:dyDescent="0.2">
      <c r="A48" s="28">
        <f t="shared" si="18"/>
        <v>33</v>
      </c>
      <c r="B48" s="31">
        <f t="shared" si="19"/>
        <v>12.057692307692307</v>
      </c>
      <c r="C48" s="29">
        <f t="shared" si="20"/>
        <v>0</v>
      </c>
      <c r="D48" s="27">
        <f t="shared" si="21"/>
        <v>108.69565217391303</v>
      </c>
      <c r="E48" s="27">
        <f t="shared" si="8"/>
        <v>5.1902423443925416</v>
      </c>
      <c r="F48" s="29">
        <f t="shared" si="22"/>
        <v>0.25</v>
      </c>
      <c r="G48" s="27">
        <f t="shared" si="10"/>
        <v>0.25</v>
      </c>
      <c r="H48" s="29">
        <f t="shared" si="23"/>
        <v>0.25</v>
      </c>
      <c r="I48" s="30">
        <f t="shared" si="27"/>
        <v>6.3461538461538321E-4</v>
      </c>
      <c r="J48" s="37">
        <f t="shared" si="15"/>
        <v>2.4115384615384605E-2</v>
      </c>
      <c r="K48" s="91">
        <f t="shared" si="12"/>
        <v>24.115384615384606</v>
      </c>
      <c r="L48" s="68">
        <f t="shared" si="13"/>
        <v>1</v>
      </c>
      <c r="M48" s="28">
        <f t="shared" si="24"/>
        <v>5.1902423443925416</v>
      </c>
      <c r="N48" s="28">
        <f t="shared" si="17"/>
        <v>3.3225776627218862E-3</v>
      </c>
      <c r="O48" s="28">
        <f t="shared" si="16"/>
        <v>5.2355769230769234</v>
      </c>
      <c r="P48" s="28">
        <f t="shared" si="25"/>
        <v>8.3293269230769234</v>
      </c>
      <c r="Q48" s="28">
        <f t="shared" si="26"/>
        <v>3.5697115384615383</v>
      </c>
    </row>
    <row r="49" spans="1:17" x14ac:dyDescent="0.2">
      <c r="A49" s="28">
        <f t="shared" si="18"/>
        <v>33</v>
      </c>
      <c r="B49" s="31">
        <f t="shared" si="19"/>
        <v>12.375</v>
      </c>
      <c r="C49" s="29">
        <f t="shared" si="20"/>
        <v>0</v>
      </c>
      <c r="D49" s="27">
        <f t="shared" si="21"/>
        <v>108.69565217391303</v>
      </c>
      <c r="E49" s="27">
        <f t="shared" si="8"/>
        <v>5.2700922266139649</v>
      </c>
      <c r="F49" s="29">
        <f t="shared" si="22"/>
        <v>0.25</v>
      </c>
      <c r="G49" s="27">
        <f t="shared" si="10"/>
        <v>0.25</v>
      </c>
      <c r="H49" s="29">
        <f t="shared" si="23"/>
        <v>0.25</v>
      </c>
      <c r="I49" s="30">
        <f t="shared" si="27"/>
        <v>6.3461538461538679E-4</v>
      </c>
      <c r="J49" s="37">
        <f t="shared" si="15"/>
        <v>2.4749999999999991E-2</v>
      </c>
      <c r="K49" s="91">
        <f t="shared" si="12"/>
        <v>24.749999999999989</v>
      </c>
      <c r="L49" s="68">
        <f t="shared" si="13"/>
        <v>1</v>
      </c>
      <c r="M49" s="28">
        <f t="shared" si="24"/>
        <v>5.2700922266139649</v>
      </c>
      <c r="N49" s="28">
        <f t="shared" si="17"/>
        <v>3.2722355769230879E-3</v>
      </c>
      <c r="O49" s="28">
        <f t="shared" si="16"/>
        <v>5.15625</v>
      </c>
      <c r="P49" s="28">
        <f t="shared" si="25"/>
        <v>8.203125</v>
      </c>
      <c r="Q49" s="28">
        <f t="shared" si="26"/>
        <v>3.5156249999999996</v>
      </c>
    </row>
    <row r="50" spans="1:17" x14ac:dyDescent="0.2">
      <c r="A50" s="28">
        <f t="shared" si="18"/>
        <v>33</v>
      </c>
      <c r="B50" s="31">
        <f t="shared" si="19"/>
        <v>12.692307692307693</v>
      </c>
      <c r="C50" s="29">
        <f t="shared" si="20"/>
        <v>0</v>
      </c>
      <c r="D50" s="27">
        <f t="shared" si="21"/>
        <v>108.69565217391303</v>
      </c>
      <c r="E50" s="27">
        <f t="shared" si="8"/>
        <v>5.3524374176548086</v>
      </c>
      <c r="F50" s="29">
        <f t="shared" si="22"/>
        <v>0.25</v>
      </c>
      <c r="G50" s="27">
        <f t="shared" si="10"/>
        <v>0.25</v>
      </c>
      <c r="H50" s="29">
        <f t="shared" si="23"/>
        <v>0.25</v>
      </c>
      <c r="I50" s="30">
        <f t="shared" si="27"/>
        <v>6.3461538461538679E-4</v>
      </c>
      <c r="J50" s="37">
        <f t="shared" si="15"/>
        <v>2.5384615384615377E-2</v>
      </c>
      <c r="K50" s="91">
        <f t="shared" si="12"/>
        <v>25.384615384615376</v>
      </c>
      <c r="L50" s="68">
        <f t="shared" si="13"/>
        <v>1</v>
      </c>
      <c r="M50" s="28">
        <f t="shared" si="24"/>
        <v>5.3524374176548086</v>
      </c>
      <c r="N50" s="28">
        <f t="shared" si="17"/>
        <v>3.221893491124271E-3</v>
      </c>
      <c r="O50" s="28">
        <f t="shared" si="16"/>
        <v>5.0769230769230766</v>
      </c>
      <c r="P50" s="28">
        <f t="shared" si="25"/>
        <v>8.0769230769230766</v>
      </c>
      <c r="Q50" s="28">
        <f t="shared" si="26"/>
        <v>3.4615384615384612</v>
      </c>
    </row>
    <row r="51" spans="1:17" x14ac:dyDescent="0.2">
      <c r="A51" s="28">
        <f t="shared" si="18"/>
        <v>33</v>
      </c>
      <c r="B51" s="31">
        <f t="shared" si="19"/>
        <v>13.009615384615385</v>
      </c>
      <c r="C51" s="29">
        <f t="shared" si="20"/>
        <v>0</v>
      </c>
      <c r="D51" s="27">
        <f t="shared" si="21"/>
        <v>108.69565217391303</v>
      </c>
      <c r="E51" s="27">
        <f t="shared" si="8"/>
        <v>5.4373967417445677</v>
      </c>
      <c r="F51" s="29">
        <f t="shared" si="22"/>
        <v>0.25</v>
      </c>
      <c r="G51" s="27">
        <f t="shared" si="10"/>
        <v>0.25</v>
      </c>
      <c r="H51" s="29">
        <f t="shared" si="23"/>
        <v>0.25</v>
      </c>
      <c r="I51" s="30">
        <f t="shared" si="27"/>
        <v>6.3461538461538321E-4</v>
      </c>
      <c r="J51" s="37">
        <f t="shared" si="15"/>
        <v>2.601923076923076E-2</v>
      </c>
      <c r="K51" s="91">
        <f t="shared" si="12"/>
        <v>26.019230769230759</v>
      </c>
      <c r="L51" s="68">
        <f t="shared" si="13"/>
        <v>1</v>
      </c>
      <c r="M51" s="28">
        <f t="shared" si="24"/>
        <v>5.4373967417445677</v>
      </c>
      <c r="N51" s="28">
        <f t="shared" si="17"/>
        <v>3.1715514053254363E-3</v>
      </c>
      <c r="O51" s="28">
        <f t="shared" si="16"/>
        <v>4.9975961538461533</v>
      </c>
      <c r="P51" s="28">
        <f t="shared" si="25"/>
        <v>7.9507211538461524</v>
      </c>
      <c r="Q51" s="28">
        <f t="shared" si="26"/>
        <v>3.4074519230769225</v>
      </c>
    </row>
    <row r="52" spans="1:17" x14ac:dyDescent="0.2">
      <c r="A52" s="28">
        <f t="shared" si="18"/>
        <v>33</v>
      </c>
      <c r="B52" s="31">
        <f t="shared" si="19"/>
        <v>13.326923076923077</v>
      </c>
      <c r="C52" s="29">
        <f t="shared" si="20"/>
        <v>0</v>
      </c>
      <c r="D52" s="27">
        <f t="shared" si="21"/>
        <v>108.69565217391303</v>
      </c>
      <c r="E52" s="27">
        <f t="shared" si="8"/>
        <v>5.5250966891920603</v>
      </c>
      <c r="F52" s="29">
        <f t="shared" si="22"/>
        <v>0.25</v>
      </c>
      <c r="G52" s="27">
        <f t="shared" si="10"/>
        <v>0.25</v>
      </c>
      <c r="H52" s="29">
        <f t="shared" si="23"/>
        <v>0.25</v>
      </c>
      <c r="I52" s="30">
        <f t="shared" si="27"/>
        <v>6.3461538461538321E-4</v>
      </c>
      <c r="J52" s="37">
        <f t="shared" si="15"/>
        <v>2.6653846153846143E-2</v>
      </c>
      <c r="K52" s="91">
        <f t="shared" si="12"/>
        <v>26.653846153846143</v>
      </c>
      <c r="L52" s="68">
        <f t="shared" si="13"/>
        <v>1</v>
      </c>
      <c r="M52" s="28">
        <f t="shared" si="24"/>
        <v>5.5250966891920603</v>
      </c>
      <c r="N52" s="28">
        <f t="shared" si="17"/>
        <v>3.1212093195266202E-3</v>
      </c>
      <c r="O52" s="28">
        <f t="shared" si="16"/>
        <v>4.9182692307692308</v>
      </c>
      <c r="P52" s="28">
        <f t="shared" si="25"/>
        <v>7.8245192307692308</v>
      </c>
      <c r="Q52" s="28">
        <f t="shared" si="26"/>
        <v>3.3533653846153846</v>
      </c>
    </row>
    <row r="53" spans="1:17" x14ac:dyDescent="0.2">
      <c r="A53" s="28">
        <f t="shared" si="18"/>
        <v>33</v>
      </c>
      <c r="B53" s="31">
        <f t="shared" si="19"/>
        <v>13.644230769230768</v>
      </c>
      <c r="C53" s="29">
        <f t="shared" si="20"/>
        <v>0</v>
      </c>
      <c r="D53" s="27">
        <f t="shared" si="21"/>
        <v>108.69565217391303</v>
      </c>
      <c r="E53" s="27">
        <f t="shared" si="8"/>
        <v>5.6156720447525847</v>
      </c>
      <c r="F53" s="29">
        <f t="shared" si="22"/>
        <v>0.25</v>
      </c>
      <c r="G53" s="27">
        <f t="shared" si="10"/>
        <v>0.25</v>
      </c>
      <c r="H53" s="29">
        <f t="shared" si="23"/>
        <v>0.25</v>
      </c>
      <c r="I53" s="30">
        <f t="shared" si="27"/>
        <v>6.3461538461538321E-4</v>
      </c>
      <c r="J53" s="37">
        <f t="shared" si="15"/>
        <v>2.7288461538461525E-2</v>
      </c>
      <c r="K53" s="91">
        <f t="shared" si="12"/>
        <v>27.288461538461526</v>
      </c>
      <c r="L53" s="68">
        <f t="shared" si="13"/>
        <v>1</v>
      </c>
      <c r="M53" s="28">
        <f t="shared" si="24"/>
        <v>5.6156720447525847</v>
      </c>
      <c r="N53" s="28">
        <f t="shared" si="17"/>
        <v>3.0708672337278042E-3</v>
      </c>
      <c r="O53" s="28">
        <f t="shared" si="16"/>
        <v>4.8389423076923084</v>
      </c>
      <c r="P53" s="28">
        <f t="shared" si="25"/>
        <v>7.6983173076923084</v>
      </c>
      <c r="Q53" s="28">
        <f t="shared" si="26"/>
        <v>3.2992788461538463</v>
      </c>
    </row>
    <row r="54" spans="1:17" x14ac:dyDescent="0.2">
      <c r="A54" s="28">
        <f t="shared" si="18"/>
        <v>33</v>
      </c>
      <c r="B54" s="31">
        <f t="shared" si="19"/>
        <v>13.961538461538462</v>
      </c>
      <c r="C54" s="29">
        <f t="shared" si="20"/>
        <v>0</v>
      </c>
      <c r="D54" s="27">
        <f t="shared" si="21"/>
        <v>108.69565217391303</v>
      </c>
      <c r="E54" s="27">
        <f t="shared" si="8"/>
        <v>5.7092665788317953</v>
      </c>
      <c r="F54" s="29">
        <f t="shared" si="22"/>
        <v>0.25</v>
      </c>
      <c r="G54" s="27">
        <f t="shared" si="10"/>
        <v>0.25</v>
      </c>
      <c r="H54" s="29">
        <f t="shared" si="23"/>
        <v>0.25</v>
      </c>
      <c r="I54" s="30">
        <f t="shared" si="27"/>
        <v>6.3461538461538679E-4</v>
      </c>
      <c r="J54" s="37">
        <f t="shared" si="15"/>
        <v>2.7923076923076912E-2</v>
      </c>
      <c r="K54" s="91">
        <f t="shared" si="12"/>
        <v>27.923076923076913</v>
      </c>
      <c r="L54" s="68">
        <f t="shared" si="13"/>
        <v>1</v>
      </c>
      <c r="M54" s="28">
        <f t="shared" si="24"/>
        <v>5.7092665788317953</v>
      </c>
      <c r="N54" s="28">
        <f t="shared" si="17"/>
        <v>3.0205251479290046E-3</v>
      </c>
      <c r="O54" s="28">
        <f t="shared" si="16"/>
        <v>4.759615384615385</v>
      </c>
      <c r="P54" s="28">
        <f t="shared" si="25"/>
        <v>7.572115384615385</v>
      </c>
      <c r="Q54" s="28">
        <f t="shared" si="26"/>
        <v>3.2451923076923079</v>
      </c>
    </row>
    <row r="55" spans="1:17" x14ac:dyDescent="0.2">
      <c r="A55" s="28">
        <f t="shared" si="18"/>
        <v>33</v>
      </c>
      <c r="B55" s="31">
        <f t="shared" si="19"/>
        <v>14.278846153846155</v>
      </c>
      <c r="C55" s="29">
        <f t="shared" si="20"/>
        <v>0</v>
      </c>
      <c r="D55" s="27">
        <f t="shared" si="21"/>
        <v>108.69565217391303</v>
      </c>
      <c r="E55" s="27">
        <f t="shared" si="8"/>
        <v>5.8060338089814874</v>
      </c>
      <c r="F55" s="29">
        <f t="shared" si="22"/>
        <v>0.25</v>
      </c>
      <c r="G55" s="27">
        <f t="shared" si="10"/>
        <v>0.25</v>
      </c>
      <c r="H55" s="29">
        <f t="shared" si="23"/>
        <v>0.25</v>
      </c>
      <c r="I55" s="30">
        <f t="shared" si="27"/>
        <v>6.3461538461538679E-4</v>
      </c>
      <c r="J55" s="37">
        <f t="shared" si="15"/>
        <v>2.8557692307692298E-2</v>
      </c>
      <c r="K55" s="91">
        <f t="shared" si="12"/>
        <v>28.557692307692299</v>
      </c>
      <c r="L55" s="68">
        <f t="shared" si="13"/>
        <v>1</v>
      </c>
      <c r="M55" s="28">
        <f t="shared" si="24"/>
        <v>5.8060338089814874</v>
      </c>
      <c r="N55" s="28">
        <f t="shared" si="17"/>
        <v>2.9701830621301877E-3</v>
      </c>
      <c r="O55" s="28">
        <f t="shared" si="16"/>
        <v>4.6802884615384617</v>
      </c>
      <c r="P55" s="28">
        <f t="shared" si="25"/>
        <v>7.4459134615384617</v>
      </c>
      <c r="Q55" s="28">
        <f t="shared" si="26"/>
        <v>3.1911057692307692</v>
      </c>
    </row>
    <row r="56" spans="1:17" x14ac:dyDescent="0.2">
      <c r="A56" s="28">
        <f t="shared" si="18"/>
        <v>33</v>
      </c>
      <c r="B56" s="31">
        <f t="shared" si="19"/>
        <v>14.596153846153845</v>
      </c>
      <c r="C56" s="29">
        <f t="shared" si="20"/>
        <v>0</v>
      </c>
      <c r="D56" s="27">
        <f t="shared" si="21"/>
        <v>108.69565217391303</v>
      </c>
      <c r="E56" s="27">
        <f t="shared" si="8"/>
        <v>5.9061378401708229</v>
      </c>
      <c r="F56" s="29">
        <f t="shared" si="22"/>
        <v>0.25</v>
      </c>
      <c r="G56" s="27">
        <f t="shared" si="10"/>
        <v>0.25</v>
      </c>
      <c r="H56" s="29">
        <f t="shared" si="23"/>
        <v>0.25</v>
      </c>
      <c r="I56" s="30">
        <f t="shared" si="27"/>
        <v>6.3461538461537974E-4</v>
      </c>
      <c r="J56" s="37">
        <f t="shared" si="15"/>
        <v>2.9192307692307677E-2</v>
      </c>
      <c r="K56" s="91">
        <f t="shared" si="12"/>
        <v>29.192307692307676</v>
      </c>
      <c r="L56" s="68">
        <f t="shared" si="13"/>
        <v>1</v>
      </c>
      <c r="M56" s="28">
        <f t="shared" si="24"/>
        <v>5.9061378401708229</v>
      </c>
      <c r="N56" s="28">
        <f t="shared" si="17"/>
        <v>2.9198409763313386E-3</v>
      </c>
      <c r="O56" s="28">
        <f t="shared" si="16"/>
        <v>4.6009615384615383</v>
      </c>
      <c r="P56" s="28">
        <f t="shared" si="25"/>
        <v>7.3197115384615374</v>
      </c>
      <c r="Q56" s="28">
        <f t="shared" si="26"/>
        <v>3.1370192307692304</v>
      </c>
    </row>
    <row r="57" spans="1:17" x14ac:dyDescent="0.2">
      <c r="A57" s="28">
        <f t="shared" si="18"/>
        <v>33</v>
      </c>
      <c r="B57" s="31">
        <f t="shared" si="19"/>
        <v>14.913461538461538</v>
      </c>
      <c r="C57" s="29">
        <f t="shared" si="20"/>
        <v>0</v>
      </c>
      <c r="D57" s="27">
        <f t="shared" si="21"/>
        <v>108.69565217391303</v>
      </c>
      <c r="E57" s="27">
        <f t="shared" si="8"/>
        <v>6.0097542935071537</v>
      </c>
      <c r="F57" s="29">
        <f t="shared" si="22"/>
        <v>0.25</v>
      </c>
      <c r="G57" s="27">
        <f t="shared" si="10"/>
        <v>0.25</v>
      </c>
      <c r="H57" s="29">
        <f t="shared" si="23"/>
        <v>0.25</v>
      </c>
      <c r="I57" s="30">
        <f t="shared" si="27"/>
        <v>6.3461538461538679E-4</v>
      </c>
      <c r="J57" s="37">
        <f t="shared" si="15"/>
        <v>2.9826923076923063E-2</v>
      </c>
      <c r="K57" s="91">
        <f t="shared" si="12"/>
        <v>29.826923076923062</v>
      </c>
      <c r="L57" s="68">
        <f t="shared" si="13"/>
        <v>1</v>
      </c>
      <c r="M57" s="28">
        <f t="shared" si="24"/>
        <v>6.0097542935071537</v>
      </c>
      <c r="N57" s="28">
        <f t="shared" si="17"/>
        <v>2.8694988905325538E-3</v>
      </c>
      <c r="O57" s="28">
        <f t="shared" si="16"/>
        <v>4.521634615384615</v>
      </c>
      <c r="P57" s="28">
        <f t="shared" si="25"/>
        <v>7.1935096153846141</v>
      </c>
      <c r="Q57" s="28">
        <f t="shared" si="26"/>
        <v>3.0829326923076916</v>
      </c>
    </row>
    <row r="58" spans="1:17" x14ac:dyDescent="0.2">
      <c r="A58" s="28">
        <f t="shared" si="18"/>
        <v>33</v>
      </c>
      <c r="B58" s="31">
        <f t="shared" si="19"/>
        <v>15.230769230769232</v>
      </c>
      <c r="C58" s="29">
        <f t="shared" si="20"/>
        <v>0</v>
      </c>
      <c r="D58" s="27">
        <f t="shared" si="21"/>
        <v>108.69565217391303</v>
      </c>
      <c r="E58" s="27">
        <f t="shared" si="8"/>
        <v>6.1170713344626391</v>
      </c>
      <c r="F58" s="29">
        <f t="shared" si="22"/>
        <v>0.25</v>
      </c>
      <c r="G58" s="27">
        <f t="shared" si="10"/>
        <v>0.25</v>
      </c>
      <c r="H58" s="29">
        <f t="shared" si="23"/>
        <v>0.25</v>
      </c>
      <c r="I58" s="30">
        <f t="shared" si="27"/>
        <v>6.3461538461538679E-4</v>
      </c>
      <c r="J58" s="37">
        <f t="shared" si="15"/>
        <v>3.046153846153845E-2</v>
      </c>
      <c r="K58" s="91">
        <f t="shared" si="12"/>
        <v>30.461538461538449</v>
      </c>
      <c r="L58" s="68">
        <f t="shared" si="13"/>
        <v>1</v>
      </c>
      <c r="M58" s="28">
        <f t="shared" si="24"/>
        <v>6.1170713344626391</v>
      </c>
      <c r="N58" s="28">
        <f t="shared" si="17"/>
        <v>2.8191568047337369E-3</v>
      </c>
      <c r="O58" s="28">
        <f t="shared" si="16"/>
        <v>4.4423076923076916</v>
      </c>
      <c r="P58" s="28">
        <f t="shared" si="25"/>
        <v>7.0673076923076907</v>
      </c>
      <c r="Q58" s="28">
        <f t="shared" si="26"/>
        <v>3.0288461538461533</v>
      </c>
    </row>
    <row r="59" spans="1:17" x14ac:dyDescent="0.2">
      <c r="A59" s="28">
        <f t="shared" si="18"/>
        <v>33</v>
      </c>
      <c r="B59" s="31">
        <f t="shared" si="19"/>
        <v>15.548076923076923</v>
      </c>
      <c r="C59" s="29">
        <f t="shared" si="20"/>
        <v>0</v>
      </c>
      <c r="D59" s="27">
        <f t="shared" si="21"/>
        <v>108.69565217391303</v>
      </c>
      <c r="E59" s="27">
        <f t="shared" si="8"/>
        <v>6.2282908132710499</v>
      </c>
      <c r="F59" s="29">
        <f t="shared" si="22"/>
        <v>0.25</v>
      </c>
      <c r="G59" s="27">
        <f t="shared" si="10"/>
        <v>0.25</v>
      </c>
      <c r="H59" s="29">
        <f t="shared" si="23"/>
        <v>0.25</v>
      </c>
      <c r="I59" s="30">
        <f t="shared" si="27"/>
        <v>6.3461538461538321E-4</v>
      </c>
      <c r="J59" s="37">
        <f t="shared" si="15"/>
        <v>3.1096153846153832E-2</v>
      </c>
      <c r="K59" s="91">
        <f t="shared" si="12"/>
        <v>31.096153846153832</v>
      </c>
      <c r="L59" s="68">
        <f t="shared" si="13"/>
        <v>1</v>
      </c>
      <c r="M59" s="28">
        <f t="shared" si="24"/>
        <v>6.2282908132710499</v>
      </c>
      <c r="N59" s="28">
        <f t="shared" si="17"/>
        <v>2.7688147189349052E-3</v>
      </c>
      <c r="O59" s="28">
        <f t="shared" si="16"/>
        <v>4.3629807692307692</v>
      </c>
      <c r="P59" s="28">
        <f t="shared" si="25"/>
        <v>6.9411057692307692</v>
      </c>
      <c r="Q59" s="28">
        <f t="shared" si="26"/>
        <v>2.974759615384615</v>
      </c>
    </row>
    <row r="60" spans="1:17" x14ac:dyDescent="0.2">
      <c r="A60" s="28">
        <f t="shared" si="18"/>
        <v>33</v>
      </c>
      <c r="B60" s="31">
        <f t="shared" si="19"/>
        <v>15.865384615384615</v>
      </c>
      <c r="C60" s="29">
        <f t="shared" si="20"/>
        <v>0</v>
      </c>
      <c r="D60" s="27">
        <f t="shared" si="21"/>
        <v>108.69565217391303</v>
      </c>
      <c r="E60" s="27">
        <f t="shared" si="8"/>
        <v>6.3436295320353278</v>
      </c>
      <c r="F60" s="29">
        <f t="shared" si="22"/>
        <v>0.25</v>
      </c>
      <c r="G60" s="27">
        <f t="shared" si="10"/>
        <v>0.25</v>
      </c>
      <c r="H60" s="29">
        <f t="shared" si="23"/>
        <v>0.25</v>
      </c>
      <c r="I60" s="30">
        <f t="shared" si="27"/>
        <v>6.3461538461538321E-4</v>
      </c>
      <c r="J60" s="37">
        <f t="shared" si="15"/>
        <v>3.1730769230769215E-2</v>
      </c>
      <c r="K60" s="91">
        <f t="shared" si="12"/>
        <v>31.730769230769216</v>
      </c>
      <c r="L60" s="68">
        <f t="shared" si="13"/>
        <v>1</v>
      </c>
      <c r="M60" s="28">
        <f t="shared" si="24"/>
        <v>6.3436295320353278</v>
      </c>
      <c r="N60" s="28">
        <f t="shared" si="17"/>
        <v>2.7184726331360891E-3</v>
      </c>
      <c r="O60" s="28">
        <f t="shared" si="16"/>
        <v>4.2836538461538467</v>
      </c>
      <c r="P60" s="28">
        <f t="shared" si="25"/>
        <v>6.8149038461538467</v>
      </c>
      <c r="Q60" s="28">
        <f t="shared" si="26"/>
        <v>2.9206730769230771</v>
      </c>
    </row>
    <row r="61" spans="1:17" x14ac:dyDescent="0.2">
      <c r="A61" s="28">
        <f t="shared" si="18"/>
        <v>33</v>
      </c>
      <c r="B61" s="31">
        <f t="shared" si="19"/>
        <v>16.182692307692307</v>
      </c>
      <c r="C61" s="29">
        <f t="shared" si="20"/>
        <v>0</v>
      </c>
      <c r="D61" s="27">
        <f t="shared" si="21"/>
        <v>108.69565217391303</v>
      </c>
      <c r="E61" s="27">
        <f t="shared" si="8"/>
        <v>6.4633206552812776</v>
      </c>
      <c r="F61" s="29">
        <f t="shared" si="22"/>
        <v>0.25</v>
      </c>
      <c r="G61" s="27">
        <f t="shared" si="10"/>
        <v>0.25</v>
      </c>
      <c r="H61" s="29">
        <f t="shared" si="23"/>
        <v>0.25</v>
      </c>
      <c r="I61" s="30">
        <f t="shared" si="27"/>
        <v>6.3461538461538321E-4</v>
      </c>
      <c r="J61" s="37">
        <f t="shared" si="15"/>
        <v>3.2365384615384601E-2</v>
      </c>
      <c r="K61" s="91">
        <f t="shared" si="12"/>
        <v>32.365384615384599</v>
      </c>
      <c r="L61" s="68">
        <f t="shared" si="13"/>
        <v>1</v>
      </c>
      <c r="M61" s="28">
        <f t="shared" si="24"/>
        <v>6.4633206552812776</v>
      </c>
      <c r="N61" s="28">
        <f>I61*G61*(A61-B61)</f>
        <v>2.6681305473372722E-3</v>
      </c>
      <c r="O61" s="28">
        <f t="shared" si="16"/>
        <v>4.2043269230769234</v>
      </c>
      <c r="P61" s="28">
        <f t="shared" si="25"/>
        <v>6.6887019230769234</v>
      </c>
      <c r="Q61" s="28">
        <f t="shared" si="26"/>
        <v>2.8665865384615383</v>
      </c>
    </row>
    <row r="62" spans="1:17" x14ac:dyDescent="0.2">
      <c r="A62" s="28">
        <f t="shared" si="18"/>
        <v>33</v>
      </c>
      <c r="B62" s="31">
        <f t="shared" si="19"/>
        <v>16.5</v>
      </c>
      <c r="C62" s="29">
        <f t="shared" si="20"/>
        <v>0</v>
      </c>
      <c r="D62" s="27">
        <f t="shared" si="21"/>
        <v>108.69565217391303</v>
      </c>
      <c r="E62" s="27">
        <f t="shared" si="8"/>
        <v>6.5876152832674562</v>
      </c>
      <c r="F62" s="29">
        <f t="shared" si="22"/>
        <v>0.25</v>
      </c>
      <c r="G62" s="27">
        <f t="shared" si="10"/>
        <v>0.25</v>
      </c>
      <c r="H62" s="29">
        <f t="shared" si="23"/>
        <v>0.25</v>
      </c>
      <c r="I62" s="30">
        <f t="shared" si="27"/>
        <v>6.3461538461538679E-4</v>
      </c>
      <c r="J62" s="37">
        <f t="shared" si="15"/>
        <v>3.2999999999999988E-2</v>
      </c>
      <c r="K62" s="91">
        <f t="shared" si="12"/>
        <v>32.999999999999986</v>
      </c>
      <c r="L62" s="68">
        <f t="shared" si="13"/>
        <v>1</v>
      </c>
      <c r="M62" s="28">
        <f t="shared" si="24"/>
        <v>6.5876152832674562</v>
      </c>
      <c r="N62" s="28">
        <f t="shared" si="17"/>
        <v>2.6177884615384704E-3</v>
      </c>
      <c r="O62" s="28">
        <f t="shared" si="16"/>
        <v>4.125</v>
      </c>
      <c r="P62" s="28">
        <f t="shared" si="25"/>
        <v>6.5625</v>
      </c>
      <c r="Q62" s="28">
        <f t="shared" si="26"/>
        <v>2.8125</v>
      </c>
    </row>
    <row r="63" spans="1:17" x14ac:dyDescent="0.2">
      <c r="A63" s="28">
        <f t="shared" si="18"/>
        <v>33</v>
      </c>
      <c r="B63" s="31">
        <f t="shared" si="19"/>
        <v>16.81730769230769</v>
      </c>
      <c r="C63" s="29">
        <f t="shared" si="20"/>
        <v>0</v>
      </c>
      <c r="D63" s="27">
        <f t="shared" si="21"/>
        <v>108.69565217391303</v>
      </c>
      <c r="E63" s="27">
        <f t="shared" si="8"/>
        <v>6.7167842103903466</v>
      </c>
      <c r="F63" s="29">
        <f t="shared" si="22"/>
        <v>0.25</v>
      </c>
      <c r="G63" s="27">
        <f t="shared" si="10"/>
        <v>0.25</v>
      </c>
      <c r="H63" s="29">
        <f t="shared" si="23"/>
        <v>0.25</v>
      </c>
      <c r="I63" s="30">
        <f t="shared" si="27"/>
        <v>6.3461538461537974E-4</v>
      </c>
      <c r="J63" s="37">
        <f t="shared" si="15"/>
        <v>3.3634615384615367E-2</v>
      </c>
      <c r="K63" s="91">
        <f t="shared" si="12"/>
        <v>33.634615384615365</v>
      </c>
      <c r="L63" s="68">
        <f t="shared" si="13"/>
        <v>1</v>
      </c>
      <c r="M63" s="28">
        <f t="shared" si="24"/>
        <v>6.7167842103903466</v>
      </c>
      <c r="N63" s="28">
        <f t="shared" si="17"/>
        <v>2.5674463757396257E-3</v>
      </c>
      <c r="O63" s="28">
        <f t="shared" si="16"/>
        <v>4.0456730769230775</v>
      </c>
      <c r="P63" s="28">
        <f t="shared" si="25"/>
        <v>6.4362980769230775</v>
      </c>
      <c r="Q63" s="28">
        <f t="shared" si="26"/>
        <v>2.7584134615384617</v>
      </c>
    </row>
    <row r="64" spans="1:17" x14ac:dyDescent="0.2">
      <c r="A64" s="28">
        <f t="shared" si="18"/>
        <v>33</v>
      </c>
      <c r="B64" s="31">
        <f t="shared" si="19"/>
        <v>17.134615384615387</v>
      </c>
      <c r="C64" s="29">
        <f t="shared" si="20"/>
        <v>0</v>
      </c>
      <c r="D64" s="27">
        <f t="shared" si="21"/>
        <v>108.69565217391303</v>
      </c>
      <c r="E64" s="27">
        <f t="shared" si="8"/>
        <v>6.8511198945981553</v>
      </c>
      <c r="F64" s="29">
        <f t="shared" si="22"/>
        <v>0.25</v>
      </c>
      <c r="G64" s="27">
        <f t="shared" si="10"/>
        <v>0.25</v>
      </c>
      <c r="H64" s="29">
        <f t="shared" si="23"/>
        <v>0.25</v>
      </c>
      <c r="I64" s="30">
        <f t="shared" si="27"/>
        <v>6.3461538461539394E-4</v>
      </c>
      <c r="J64" s="37">
        <f t="shared" si="15"/>
        <v>3.426923076923076E-2</v>
      </c>
      <c r="K64" s="91">
        <f t="shared" si="12"/>
        <v>34.269230769230759</v>
      </c>
      <c r="L64" s="68">
        <f t="shared" si="13"/>
        <v>1</v>
      </c>
      <c r="M64" s="28">
        <f t="shared" si="24"/>
        <v>6.8511198945981553</v>
      </c>
      <c r="N64" s="28">
        <f t="shared" si="17"/>
        <v>2.5171042899408652E-3</v>
      </c>
      <c r="O64" s="28">
        <f t="shared" si="16"/>
        <v>3.9663461538461533</v>
      </c>
      <c r="P64" s="28">
        <f t="shared" si="25"/>
        <v>6.3100961538461524</v>
      </c>
      <c r="Q64" s="28">
        <f t="shared" si="26"/>
        <v>2.7043269230769225</v>
      </c>
    </row>
    <row r="65" spans="1:17" x14ac:dyDescent="0.2">
      <c r="A65" s="28">
        <f t="shared" si="18"/>
        <v>33</v>
      </c>
      <c r="B65" s="31">
        <f t="shared" si="19"/>
        <v>17.451923076923077</v>
      </c>
      <c r="C65" s="29">
        <f t="shared" si="20"/>
        <v>0</v>
      </c>
      <c r="D65" s="27">
        <f t="shared" si="21"/>
        <v>108.69565217391303</v>
      </c>
      <c r="E65" s="27">
        <f t="shared" si="8"/>
        <v>6.9909386679573009</v>
      </c>
      <c r="F65" s="29">
        <f t="shared" si="22"/>
        <v>0.25</v>
      </c>
      <c r="G65" s="27">
        <f t="shared" si="10"/>
        <v>0.25</v>
      </c>
      <c r="H65" s="29">
        <f t="shared" si="23"/>
        <v>0.25</v>
      </c>
      <c r="I65" s="30">
        <f t="shared" si="27"/>
        <v>6.3461538461537974E-4</v>
      </c>
      <c r="J65" s="37">
        <f t="shared" si="15"/>
        <v>3.4903846153846139E-2</v>
      </c>
      <c r="K65" s="91">
        <f t="shared" si="12"/>
        <v>34.903846153846139</v>
      </c>
      <c r="L65" s="68">
        <f t="shared" si="13"/>
        <v>1</v>
      </c>
      <c r="M65" s="28">
        <f t="shared" si="24"/>
        <v>6.9909386679573009</v>
      </c>
      <c r="N65" s="28">
        <f t="shared" si="17"/>
        <v>2.4667622041419928E-3</v>
      </c>
      <c r="O65" s="28">
        <f t="shared" si="16"/>
        <v>3.8870192307692308</v>
      </c>
      <c r="P65" s="28">
        <f t="shared" si="25"/>
        <v>6.1838942307692308</v>
      </c>
      <c r="Q65" s="28">
        <f t="shared" si="26"/>
        <v>2.6502403846153846</v>
      </c>
    </row>
    <row r="66" spans="1:17" x14ac:dyDescent="0.2">
      <c r="A66" s="28">
        <f t="shared" si="18"/>
        <v>33</v>
      </c>
      <c r="B66" s="31">
        <f t="shared" si="19"/>
        <v>17.76923076923077</v>
      </c>
      <c r="C66" s="29">
        <f t="shared" si="20"/>
        <v>0</v>
      </c>
      <c r="D66" s="27">
        <f t="shared" si="21"/>
        <v>108.69565217391303</v>
      </c>
      <c r="E66" s="27">
        <f t="shared" si="8"/>
        <v>7.1365832235397448</v>
      </c>
      <c r="F66" s="29">
        <f t="shared" si="22"/>
        <v>0.25</v>
      </c>
      <c r="G66" s="27">
        <f t="shared" si="10"/>
        <v>0.25</v>
      </c>
      <c r="H66" s="29">
        <f t="shared" si="23"/>
        <v>0.25</v>
      </c>
      <c r="I66" s="30">
        <f t="shared" si="27"/>
        <v>6.3461538461538679E-4</v>
      </c>
      <c r="J66" s="37">
        <f t="shared" si="15"/>
        <v>3.5538461538461526E-2</v>
      </c>
      <c r="K66" s="91">
        <f t="shared" si="12"/>
        <v>35.538461538461526</v>
      </c>
      <c r="L66" s="68">
        <f t="shared" si="13"/>
        <v>1</v>
      </c>
      <c r="M66" s="28">
        <f t="shared" si="24"/>
        <v>7.1365832235397448</v>
      </c>
      <c r="N66" s="28">
        <f t="shared" si="17"/>
        <v>2.4164201183432036E-3</v>
      </c>
      <c r="O66" s="28">
        <f t="shared" si="16"/>
        <v>3.8076923076923075</v>
      </c>
      <c r="P66" s="28">
        <f t="shared" si="25"/>
        <v>6.0576923076923075</v>
      </c>
      <c r="Q66" s="28">
        <f t="shared" si="26"/>
        <v>2.5961538461538458</v>
      </c>
    </row>
    <row r="67" spans="1:17" x14ac:dyDescent="0.2">
      <c r="A67" s="28">
        <f t="shared" si="18"/>
        <v>33</v>
      </c>
      <c r="B67" s="31">
        <f t="shared" si="19"/>
        <v>18.086538461538463</v>
      </c>
      <c r="C67" s="29">
        <f t="shared" si="20"/>
        <v>0</v>
      </c>
      <c r="D67" s="27">
        <f t="shared" si="21"/>
        <v>108.69565217391303</v>
      </c>
      <c r="E67" s="27">
        <f t="shared" si="8"/>
        <v>7.2884254197852716</v>
      </c>
      <c r="F67" s="29">
        <f t="shared" si="22"/>
        <v>0.25</v>
      </c>
      <c r="G67" s="27">
        <f t="shared" si="10"/>
        <v>0.25</v>
      </c>
      <c r="H67" s="29">
        <f t="shared" si="23"/>
        <v>0.25</v>
      </c>
      <c r="I67" s="30">
        <f t="shared" si="27"/>
        <v>6.3461538461538679E-4</v>
      </c>
      <c r="J67" s="37">
        <f t="shared" si="15"/>
        <v>3.6173076923076912E-2</v>
      </c>
      <c r="K67" s="91">
        <f t="shared" si="12"/>
        <v>36.173076923076913</v>
      </c>
      <c r="L67" s="68">
        <f t="shared" si="13"/>
        <v>1</v>
      </c>
      <c r="M67" s="28">
        <f t="shared" si="24"/>
        <v>7.2884254197852716</v>
      </c>
      <c r="N67" s="28">
        <f t="shared" si="17"/>
        <v>2.3660780325443866E-3</v>
      </c>
      <c r="O67" s="28">
        <f t="shared" si="16"/>
        <v>3.7283653846153841</v>
      </c>
      <c r="P67" s="28">
        <f t="shared" si="25"/>
        <v>5.9314903846153832</v>
      </c>
      <c r="Q67" s="28">
        <f t="shared" si="26"/>
        <v>2.542067307692307</v>
      </c>
    </row>
    <row r="68" spans="1:17" x14ac:dyDescent="0.2">
      <c r="A68" s="28">
        <f t="shared" si="18"/>
        <v>33</v>
      </c>
      <c r="B68" s="31">
        <f t="shared" si="19"/>
        <v>18.403846153846153</v>
      </c>
      <c r="C68" s="29">
        <f t="shared" si="20"/>
        <v>0</v>
      </c>
      <c r="D68" s="27">
        <f t="shared" si="21"/>
        <v>108.69565217391303</v>
      </c>
      <c r="E68" s="27">
        <f t="shared" si="8"/>
        <v>7.4468694506501683</v>
      </c>
      <c r="F68" s="29">
        <f t="shared" si="22"/>
        <v>0.25</v>
      </c>
      <c r="G68" s="27">
        <f t="shared" si="10"/>
        <v>0.25</v>
      </c>
      <c r="H68" s="29">
        <f t="shared" si="23"/>
        <v>0.25</v>
      </c>
      <c r="I68" s="30">
        <f t="shared" si="27"/>
        <v>6.3461538461537974E-4</v>
      </c>
      <c r="J68" s="37">
        <f t="shared" si="15"/>
        <v>3.6807692307692291E-2</v>
      </c>
      <c r="K68" s="91">
        <f t="shared" si="12"/>
        <v>36.807692307692292</v>
      </c>
      <c r="L68" s="68">
        <f t="shared" si="13"/>
        <v>1</v>
      </c>
      <c r="M68" s="28">
        <f t="shared" si="24"/>
        <v>7.4468694506501683</v>
      </c>
      <c r="N68" s="28">
        <f t="shared" si="17"/>
        <v>2.3157359467455446E-3</v>
      </c>
      <c r="O68" s="28">
        <f t="shared" si="16"/>
        <v>3.6490384615384617</v>
      </c>
      <c r="P68" s="28">
        <f t="shared" si="25"/>
        <v>5.8052884615384617</v>
      </c>
      <c r="Q68" s="28">
        <f t="shared" si="26"/>
        <v>2.4879807692307692</v>
      </c>
    </row>
    <row r="69" spans="1:17" x14ac:dyDescent="0.2">
      <c r="A69" s="28">
        <f t="shared" si="18"/>
        <v>33</v>
      </c>
      <c r="B69" s="31">
        <f t="shared" si="19"/>
        <v>18.721153846153847</v>
      </c>
      <c r="C69" s="29">
        <f t="shared" si="20"/>
        <v>0</v>
      </c>
      <c r="D69" s="27">
        <f t="shared" si="21"/>
        <v>108.69565217391303</v>
      </c>
      <c r="E69" s="27">
        <f t="shared" si="8"/>
        <v>7.6123554384423944</v>
      </c>
      <c r="F69" s="29">
        <f t="shared" si="22"/>
        <v>0.25</v>
      </c>
      <c r="G69" s="27">
        <f t="shared" si="10"/>
        <v>0.25</v>
      </c>
      <c r="H69" s="29">
        <f t="shared" si="23"/>
        <v>0.25</v>
      </c>
      <c r="I69" s="30">
        <f t="shared" si="27"/>
        <v>6.3461538461538679E-4</v>
      </c>
      <c r="J69" s="37">
        <f t="shared" si="15"/>
        <v>3.7442307692307678E-2</v>
      </c>
      <c r="K69" s="91">
        <f t="shared" si="12"/>
        <v>37.442307692307679</v>
      </c>
      <c r="L69" s="68">
        <f t="shared" si="13"/>
        <v>1</v>
      </c>
      <c r="M69" s="28">
        <f t="shared" si="24"/>
        <v>7.6123554384423944</v>
      </c>
      <c r="N69" s="28">
        <f t="shared" si="17"/>
        <v>2.2653938609467532E-3</v>
      </c>
      <c r="O69" s="28">
        <f t="shared" si="16"/>
        <v>3.5697115384615383</v>
      </c>
      <c r="P69" s="28">
        <f t="shared" si="25"/>
        <v>5.6790865384615383</v>
      </c>
      <c r="Q69" s="28">
        <f t="shared" si="26"/>
        <v>2.4338942307692304</v>
      </c>
    </row>
    <row r="70" spans="1:17" x14ac:dyDescent="0.2">
      <c r="A70" s="28">
        <f t="shared" si="18"/>
        <v>33</v>
      </c>
      <c r="B70" s="31">
        <f t="shared" si="19"/>
        <v>19.038461538461537</v>
      </c>
      <c r="C70" s="29">
        <f t="shared" si="20"/>
        <v>0</v>
      </c>
      <c r="D70" s="27">
        <f t="shared" si="21"/>
        <v>108.69565217391303</v>
      </c>
      <c r="E70" s="27">
        <f t="shared" si="8"/>
        <v>7.7853635165888111</v>
      </c>
      <c r="F70" s="29">
        <f t="shared" si="22"/>
        <v>0.25</v>
      </c>
      <c r="G70" s="27">
        <f t="shared" si="10"/>
        <v>0.25</v>
      </c>
      <c r="H70" s="29">
        <f t="shared" si="23"/>
        <v>0.25</v>
      </c>
      <c r="I70" s="30">
        <f t="shared" si="27"/>
        <v>6.3461538461537974E-4</v>
      </c>
      <c r="J70" s="37">
        <f t="shared" si="15"/>
        <v>3.8076923076923057E-2</v>
      </c>
      <c r="K70" s="91">
        <f t="shared" si="12"/>
        <v>38.076923076923059</v>
      </c>
      <c r="L70" s="68">
        <f t="shared" si="13"/>
        <v>1</v>
      </c>
      <c r="M70" s="28">
        <f t="shared" si="24"/>
        <v>7.785363516588812</v>
      </c>
      <c r="N70" s="28">
        <f t="shared" si="17"/>
        <v>2.2150517751479124E-3</v>
      </c>
      <c r="O70" s="28">
        <f t="shared" si="16"/>
        <v>3.4903846153846159</v>
      </c>
      <c r="P70" s="28">
        <f t="shared" si="25"/>
        <v>5.5528846153846159</v>
      </c>
      <c r="Q70" s="28">
        <f t="shared" si="26"/>
        <v>2.3798076923076925</v>
      </c>
    </row>
    <row r="71" spans="1:17" x14ac:dyDescent="0.2">
      <c r="A71" s="28">
        <f t="shared" si="18"/>
        <v>33</v>
      </c>
      <c r="B71" s="31">
        <f t="shared" si="19"/>
        <v>19.35576923076923</v>
      </c>
      <c r="C71" s="29">
        <f t="shared" si="20"/>
        <v>0</v>
      </c>
      <c r="D71" s="27">
        <f t="shared" si="21"/>
        <v>108.69565217391303</v>
      </c>
      <c r="E71" s="27">
        <f t="shared" si="8"/>
        <v>7.9664184820908774</v>
      </c>
      <c r="F71" s="29">
        <f t="shared" si="22"/>
        <v>0.25</v>
      </c>
      <c r="G71" s="27">
        <f t="shared" si="10"/>
        <v>0.25</v>
      </c>
      <c r="H71" s="29">
        <f t="shared" si="23"/>
        <v>0.25</v>
      </c>
      <c r="I71" s="30">
        <f t="shared" si="27"/>
        <v>6.3461538461538679E-4</v>
      </c>
      <c r="J71" s="37">
        <f t="shared" si="15"/>
        <v>3.8711538461538443E-2</v>
      </c>
      <c r="K71" s="91">
        <f t="shared" si="12"/>
        <v>38.711538461538446</v>
      </c>
      <c r="L71" s="68">
        <f t="shared" si="13"/>
        <v>1</v>
      </c>
      <c r="M71" s="28">
        <f t="shared" si="24"/>
        <v>7.9664184820908774</v>
      </c>
      <c r="N71" s="28">
        <f t="shared" si="17"/>
        <v>2.1647096893491198E-3</v>
      </c>
      <c r="O71" s="28">
        <f t="shared" si="16"/>
        <v>3.4110576923076925</v>
      </c>
      <c r="P71" s="28">
        <f t="shared" si="25"/>
        <v>5.4266826923076925</v>
      </c>
      <c r="Q71" s="28">
        <f t="shared" si="26"/>
        <v>2.3257211538461537</v>
      </c>
    </row>
    <row r="72" spans="1:17" x14ac:dyDescent="0.2">
      <c r="A72" s="28">
        <f t="shared" si="18"/>
        <v>33</v>
      </c>
      <c r="B72" s="31">
        <f t="shared" si="19"/>
        <v>19.673076923076923</v>
      </c>
      <c r="C72" s="29">
        <f t="shared" si="20"/>
        <v>0</v>
      </c>
      <c r="D72" s="27">
        <f t="shared" si="21"/>
        <v>108.69565217391303</v>
      </c>
      <c r="E72" s="27">
        <f t="shared" si="8"/>
        <v>8.1560951126168515</v>
      </c>
      <c r="F72" s="29">
        <f t="shared" si="22"/>
        <v>0.25</v>
      </c>
      <c r="G72" s="27">
        <f t="shared" si="10"/>
        <v>0.25</v>
      </c>
      <c r="H72" s="29">
        <f t="shared" si="23"/>
        <v>0.25</v>
      </c>
      <c r="I72" s="30">
        <f t="shared" si="27"/>
        <v>6.3461538461538679E-4</v>
      </c>
      <c r="J72" s="37">
        <f t="shared" si="15"/>
        <v>3.9346153846153829E-2</v>
      </c>
      <c r="K72" s="91">
        <f t="shared" si="12"/>
        <v>39.346153846153832</v>
      </c>
      <c r="L72" s="68">
        <f t="shared" si="13"/>
        <v>1</v>
      </c>
      <c r="M72" s="28">
        <f t="shared" si="24"/>
        <v>8.1560951126168515</v>
      </c>
      <c r="N72" s="28">
        <f t="shared" si="17"/>
        <v>2.1143676035503029E-3</v>
      </c>
      <c r="O72" s="28">
        <f t="shared" si="16"/>
        <v>3.3317307692307692</v>
      </c>
      <c r="P72" s="28">
        <f t="shared" si="25"/>
        <v>5.3004807692307692</v>
      </c>
      <c r="Q72" s="28">
        <f t="shared" si="26"/>
        <v>2.271634615384615</v>
      </c>
    </row>
    <row r="73" spans="1:17" x14ac:dyDescent="0.2">
      <c r="A73" s="28">
        <f t="shared" si="18"/>
        <v>33</v>
      </c>
      <c r="B73" s="31">
        <f t="shared" si="19"/>
        <v>19.990384615384613</v>
      </c>
      <c r="C73" s="29">
        <f t="shared" si="20"/>
        <v>0</v>
      </c>
      <c r="D73" s="27">
        <f t="shared" si="21"/>
        <v>108.69565217391303</v>
      </c>
      <c r="E73" s="27">
        <f t="shared" si="8"/>
        <v>8.355024261705065</v>
      </c>
      <c r="F73" s="29">
        <f t="shared" si="22"/>
        <v>0.25</v>
      </c>
      <c r="G73" s="27">
        <f t="shared" si="10"/>
        <v>0.25</v>
      </c>
      <c r="H73" s="29">
        <f t="shared" si="23"/>
        <v>0.25</v>
      </c>
      <c r="I73" s="30">
        <f t="shared" si="27"/>
        <v>6.3461538461537974E-4</v>
      </c>
      <c r="J73" s="37">
        <f t="shared" si="15"/>
        <v>3.9980769230769209E-2</v>
      </c>
      <c r="K73" s="91">
        <f t="shared" si="12"/>
        <v>39.980769230769212</v>
      </c>
      <c r="L73" s="68">
        <f t="shared" si="13"/>
        <v>1</v>
      </c>
      <c r="M73" s="28">
        <f t="shared" si="24"/>
        <v>8.355024261705065</v>
      </c>
      <c r="N73" s="28">
        <f t="shared" si="17"/>
        <v>2.0640255177514638E-3</v>
      </c>
      <c r="O73" s="28">
        <f t="shared" si="16"/>
        <v>3.2524038461538467</v>
      </c>
      <c r="P73" s="28">
        <f t="shared" si="25"/>
        <v>5.1742788461538467</v>
      </c>
      <c r="Q73" s="28">
        <f t="shared" si="26"/>
        <v>2.2175480769230771</v>
      </c>
    </row>
    <row r="74" spans="1:17" x14ac:dyDescent="0.2">
      <c r="A74" s="28">
        <f t="shared" ref="A74:A105" si="28">VINMAX</f>
        <v>33</v>
      </c>
      <c r="B74" s="31">
        <f t="shared" ref="B74:B105" si="29">VINMAX*((ROW()-10)/104)</f>
        <v>20.30769230769231</v>
      </c>
      <c r="C74" s="29">
        <f t="shared" ref="C74:C105" si="30">IF(B74&gt;=$H$2,IF($D$2="CC", $G$2, B74/$G$2), 0)</f>
        <v>0</v>
      </c>
      <c r="D74" s="27">
        <f t="shared" ref="D74:D105" si="31">$B$2-B74*$J$2/($I$2*0.001)</f>
        <v>108.69565217391303</v>
      </c>
      <c r="E74" s="27">
        <f t="shared" si="8"/>
        <v>8.5638998682476952</v>
      </c>
      <c r="F74" s="29">
        <f t="shared" ref="F74:F105" si="32">I_Cout_ss+C74</f>
        <v>0.25</v>
      </c>
      <c r="G74" s="27">
        <f t="shared" si="10"/>
        <v>0.25</v>
      </c>
      <c r="H74" s="29">
        <f t="shared" ref="H74:H105" si="33">G74-C74</f>
        <v>0.25</v>
      </c>
      <c r="I74" s="30">
        <f t="shared" si="27"/>
        <v>6.3461538461539394E-4</v>
      </c>
      <c r="J74" s="37">
        <f t="shared" si="15"/>
        <v>4.0615384615384602E-2</v>
      </c>
      <c r="K74" s="91">
        <f t="shared" si="12"/>
        <v>40.615384615384599</v>
      </c>
      <c r="L74" s="68">
        <f t="shared" si="13"/>
        <v>1</v>
      </c>
      <c r="M74" s="28">
        <f t="shared" ref="M74:M105" si="34">1/COUTMAX*(E74/2-C74)*1000</f>
        <v>8.5638998682476952</v>
      </c>
      <c r="N74" s="28">
        <f t="shared" si="17"/>
        <v>2.013683431952692E-3</v>
      </c>
      <c r="O74" s="28">
        <f t="shared" si="16"/>
        <v>3.1730769230769225</v>
      </c>
      <c r="P74" s="28">
        <f t="shared" ref="P74:P105" si="35">(A74-B74)*(I_Cout_ss*$Q$2+C74)</f>
        <v>5.0480769230769216</v>
      </c>
      <c r="Q74" s="28">
        <f t="shared" ref="Q74:Q105" si="36">(A74-B74)*(I_Cout_ss*$R$2+C74)</f>
        <v>2.1634615384615379</v>
      </c>
    </row>
    <row r="75" spans="1:17" x14ac:dyDescent="0.2">
      <c r="A75" s="28">
        <f t="shared" si="28"/>
        <v>33</v>
      </c>
      <c r="B75" s="31">
        <f t="shared" si="29"/>
        <v>20.625</v>
      </c>
      <c r="C75" s="29">
        <f t="shared" si="30"/>
        <v>0</v>
      </c>
      <c r="D75" s="27">
        <f t="shared" si="31"/>
        <v>108.69565217391303</v>
      </c>
      <c r="E75" s="27">
        <f t="shared" ref="E75:E110" si="37">MIN(D75/(A75-B75),$C$2)</f>
        <v>8.7834870443566082</v>
      </c>
      <c r="F75" s="29">
        <f t="shared" si="32"/>
        <v>0.25</v>
      </c>
      <c r="G75" s="27">
        <f t="shared" ref="G75:G110" si="38">IF($F$2="YES", F75, E75)</f>
        <v>0.25</v>
      </c>
      <c r="H75" s="29">
        <f t="shared" si="33"/>
        <v>0.25</v>
      </c>
      <c r="I75" s="30">
        <f t="shared" ref="I75:I106" si="39">(COUTMAX/1000000)*(B75-B74)/H75</f>
        <v>6.3461538461537974E-4</v>
      </c>
      <c r="J75" s="37">
        <f t="shared" si="15"/>
        <v>4.1249999999999981E-2</v>
      </c>
      <c r="K75" s="91">
        <f t="shared" ref="K75:K114" si="40">J75*1000</f>
        <v>41.249999999999979</v>
      </c>
      <c r="L75" s="68">
        <f t="shared" ref="L75:L110" si="41">H75/G75</f>
        <v>1</v>
      </c>
      <c r="M75" s="28">
        <f t="shared" si="34"/>
        <v>8.7834870443566082</v>
      </c>
      <c r="N75" s="28">
        <f t="shared" ref="N75:N110" si="42">I75*G75*(A75-B75)</f>
        <v>1.9633413461538313E-3</v>
      </c>
      <c r="O75" s="28">
        <f t="shared" ref="O75:O114" si="43">G75*(A75-B75)</f>
        <v>3.09375</v>
      </c>
      <c r="P75" s="28">
        <f t="shared" si="35"/>
        <v>4.921875</v>
      </c>
      <c r="Q75" s="28">
        <f t="shared" si="36"/>
        <v>2.109375</v>
      </c>
    </row>
    <row r="76" spans="1:17" x14ac:dyDescent="0.2">
      <c r="A76" s="28">
        <f t="shared" si="28"/>
        <v>33</v>
      </c>
      <c r="B76" s="31">
        <f t="shared" si="29"/>
        <v>20.94230769230769</v>
      </c>
      <c r="C76" s="29">
        <f t="shared" si="30"/>
        <v>0</v>
      </c>
      <c r="D76" s="27">
        <f t="shared" si="31"/>
        <v>108.69565217391303</v>
      </c>
      <c r="E76" s="27">
        <f t="shared" si="37"/>
        <v>9.0146314402607288</v>
      </c>
      <c r="F76" s="29">
        <f t="shared" si="32"/>
        <v>0.25</v>
      </c>
      <c r="G76" s="27">
        <f t="shared" si="38"/>
        <v>0.25</v>
      </c>
      <c r="H76" s="29">
        <f t="shared" si="33"/>
        <v>0.25</v>
      </c>
      <c r="I76" s="30">
        <f t="shared" si="39"/>
        <v>6.3461538461537974E-4</v>
      </c>
      <c r="J76" s="37">
        <f t="shared" ref="J76:J110" si="44">J75+I76</f>
        <v>4.188461538461536E-2</v>
      </c>
      <c r="K76" s="91">
        <f t="shared" si="40"/>
        <v>41.884615384615358</v>
      </c>
      <c r="L76" s="68">
        <f t="shared" si="41"/>
        <v>1</v>
      </c>
      <c r="M76" s="28">
        <f t="shared" si="34"/>
        <v>9.0146314402607288</v>
      </c>
      <c r="N76" s="28">
        <f t="shared" si="42"/>
        <v>1.9129992603550152E-3</v>
      </c>
      <c r="O76" s="28">
        <f t="shared" si="43"/>
        <v>3.0144230769230775</v>
      </c>
      <c r="P76" s="28">
        <f t="shared" si="35"/>
        <v>4.7956730769230775</v>
      </c>
      <c r="Q76" s="28">
        <f t="shared" si="36"/>
        <v>2.0552884615384617</v>
      </c>
    </row>
    <row r="77" spans="1:17" x14ac:dyDescent="0.2">
      <c r="A77" s="28">
        <f t="shared" si="28"/>
        <v>33</v>
      </c>
      <c r="B77" s="31">
        <f t="shared" si="29"/>
        <v>21.259615384615387</v>
      </c>
      <c r="C77" s="29">
        <f t="shared" si="30"/>
        <v>0</v>
      </c>
      <c r="D77" s="27">
        <f t="shared" si="31"/>
        <v>108.69565217391303</v>
      </c>
      <c r="E77" s="27">
        <f t="shared" si="37"/>
        <v>9.2582701278353454</v>
      </c>
      <c r="F77" s="29">
        <f t="shared" si="32"/>
        <v>0.25</v>
      </c>
      <c r="G77" s="27">
        <f t="shared" si="38"/>
        <v>0.25</v>
      </c>
      <c r="H77" s="29">
        <f t="shared" si="33"/>
        <v>0.25</v>
      </c>
      <c r="I77" s="30">
        <f t="shared" si="39"/>
        <v>6.3461538461539394E-4</v>
      </c>
      <c r="J77" s="37">
        <f t="shared" si="44"/>
        <v>4.2519230769230754E-2</v>
      </c>
      <c r="K77" s="91">
        <f t="shared" si="40"/>
        <v>42.519230769230752</v>
      </c>
      <c r="L77" s="68">
        <f t="shared" si="41"/>
        <v>1</v>
      </c>
      <c r="M77" s="28">
        <f t="shared" si="34"/>
        <v>9.2582701278353454</v>
      </c>
      <c r="N77" s="28">
        <f t="shared" si="42"/>
        <v>1.8626571745562401E-3</v>
      </c>
      <c r="O77" s="28">
        <f t="shared" si="43"/>
        <v>2.9350961538461533</v>
      </c>
      <c r="P77" s="28">
        <f t="shared" si="35"/>
        <v>4.6694711538461524</v>
      </c>
      <c r="Q77" s="28">
        <f t="shared" si="36"/>
        <v>2.0012019230769225</v>
      </c>
    </row>
    <row r="78" spans="1:17" x14ac:dyDescent="0.2">
      <c r="A78" s="28">
        <f t="shared" si="28"/>
        <v>33</v>
      </c>
      <c r="B78" s="31">
        <f t="shared" si="29"/>
        <v>21.576923076923077</v>
      </c>
      <c r="C78" s="29">
        <f t="shared" si="30"/>
        <v>0</v>
      </c>
      <c r="D78" s="27">
        <f t="shared" si="31"/>
        <v>108.69565217391303</v>
      </c>
      <c r="E78" s="27">
        <f t="shared" si="37"/>
        <v>9.5154442980529925</v>
      </c>
      <c r="F78" s="29">
        <f t="shared" si="32"/>
        <v>0.25</v>
      </c>
      <c r="G78" s="27">
        <f t="shared" si="38"/>
        <v>0.25</v>
      </c>
      <c r="H78" s="29">
        <f t="shared" si="33"/>
        <v>0.25</v>
      </c>
      <c r="I78" s="30">
        <f t="shared" si="39"/>
        <v>6.3461538461537974E-4</v>
      </c>
      <c r="J78" s="37">
        <f t="shared" si="44"/>
        <v>4.3153846153846133E-2</v>
      </c>
      <c r="K78" s="91">
        <f t="shared" si="40"/>
        <v>43.153846153846132</v>
      </c>
      <c r="L78" s="68">
        <f t="shared" si="41"/>
        <v>1</v>
      </c>
      <c r="M78" s="28">
        <f t="shared" si="34"/>
        <v>9.5154442980529925</v>
      </c>
      <c r="N78" s="28">
        <f t="shared" si="42"/>
        <v>1.8123150887573826E-3</v>
      </c>
      <c r="O78" s="28">
        <f t="shared" si="43"/>
        <v>2.8557692307692308</v>
      </c>
      <c r="P78" s="28">
        <f t="shared" si="35"/>
        <v>4.5432692307692308</v>
      </c>
      <c r="Q78" s="28">
        <f t="shared" si="36"/>
        <v>1.9471153846153846</v>
      </c>
    </row>
    <row r="79" spans="1:17" x14ac:dyDescent="0.2">
      <c r="A79" s="28">
        <f t="shared" si="28"/>
        <v>33</v>
      </c>
      <c r="B79" s="31">
        <f t="shared" si="29"/>
        <v>21.89423076923077</v>
      </c>
      <c r="C79" s="29">
        <f t="shared" si="30"/>
        <v>0</v>
      </c>
      <c r="D79" s="27">
        <f t="shared" si="31"/>
        <v>108.69565217391303</v>
      </c>
      <c r="E79" s="27">
        <f t="shared" si="37"/>
        <v>9.7873141351402211</v>
      </c>
      <c r="F79" s="29">
        <f t="shared" si="32"/>
        <v>0.25</v>
      </c>
      <c r="G79" s="27">
        <f t="shared" si="38"/>
        <v>0.25</v>
      </c>
      <c r="H79" s="29">
        <f t="shared" si="33"/>
        <v>0.25</v>
      </c>
      <c r="I79" s="30">
        <f t="shared" si="39"/>
        <v>6.3461538461538679E-4</v>
      </c>
      <c r="J79" s="37">
        <f t="shared" si="44"/>
        <v>4.3788461538461519E-2</v>
      </c>
      <c r="K79" s="91">
        <f t="shared" si="40"/>
        <v>43.788461538461519</v>
      </c>
      <c r="L79" s="68">
        <f t="shared" si="41"/>
        <v>1</v>
      </c>
      <c r="M79" s="28">
        <f t="shared" si="34"/>
        <v>9.7873141351402229</v>
      </c>
      <c r="N79" s="28">
        <f t="shared" si="42"/>
        <v>1.7619730029585859E-3</v>
      </c>
      <c r="O79" s="28">
        <f t="shared" si="43"/>
        <v>2.7764423076923075</v>
      </c>
      <c r="P79" s="28">
        <f t="shared" si="35"/>
        <v>4.4170673076923075</v>
      </c>
      <c r="Q79" s="28">
        <f t="shared" si="36"/>
        <v>1.8930288461538458</v>
      </c>
    </row>
    <row r="80" spans="1:17" x14ac:dyDescent="0.2">
      <c r="A80" s="28">
        <f t="shared" si="28"/>
        <v>33</v>
      </c>
      <c r="B80" s="31">
        <f t="shared" si="29"/>
        <v>22.211538461538463</v>
      </c>
      <c r="C80" s="29">
        <f t="shared" si="30"/>
        <v>0</v>
      </c>
      <c r="D80" s="27">
        <f t="shared" si="31"/>
        <v>108.69565217391303</v>
      </c>
      <c r="E80" s="27">
        <f t="shared" si="37"/>
        <v>10.075176315585523</v>
      </c>
      <c r="F80" s="29">
        <f t="shared" si="32"/>
        <v>0.25</v>
      </c>
      <c r="G80" s="27">
        <f t="shared" si="38"/>
        <v>0.25</v>
      </c>
      <c r="H80" s="29">
        <f t="shared" si="33"/>
        <v>0.25</v>
      </c>
      <c r="I80" s="30">
        <f t="shared" si="39"/>
        <v>6.3461538461538679E-4</v>
      </c>
      <c r="J80" s="37">
        <f t="shared" si="44"/>
        <v>4.4423076923076905E-2</v>
      </c>
      <c r="K80" s="91">
        <f t="shared" si="40"/>
        <v>44.423076923076906</v>
      </c>
      <c r="L80" s="68">
        <f t="shared" si="41"/>
        <v>1</v>
      </c>
      <c r="M80" s="28">
        <f t="shared" si="34"/>
        <v>10.075176315585523</v>
      </c>
      <c r="N80" s="28">
        <f t="shared" si="42"/>
        <v>1.7116309171597689E-3</v>
      </c>
      <c r="O80" s="28">
        <f t="shared" si="43"/>
        <v>2.6971153846153841</v>
      </c>
      <c r="P80" s="28">
        <f t="shared" si="35"/>
        <v>4.2908653846153832</v>
      </c>
      <c r="Q80" s="28">
        <f t="shared" si="36"/>
        <v>1.8389423076923073</v>
      </c>
    </row>
    <row r="81" spans="1:17" x14ac:dyDescent="0.2">
      <c r="A81" s="28">
        <f t="shared" si="28"/>
        <v>33</v>
      </c>
      <c r="B81" s="31">
        <f t="shared" si="29"/>
        <v>22.528846153846153</v>
      </c>
      <c r="C81" s="29">
        <f t="shared" si="30"/>
        <v>0</v>
      </c>
      <c r="D81" s="27">
        <f t="shared" si="31"/>
        <v>108.69565217391303</v>
      </c>
      <c r="E81" s="27">
        <f t="shared" si="37"/>
        <v>10.380484688785083</v>
      </c>
      <c r="F81" s="29">
        <f t="shared" si="32"/>
        <v>0.25</v>
      </c>
      <c r="G81" s="27">
        <f t="shared" si="38"/>
        <v>0.25</v>
      </c>
      <c r="H81" s="29">
        <f t="shared" si="33"/>
        <v>0.25</v>
      </c>
      <c r="I81" s="30">
        <f t="shared" si="39"/>
        <v>6.3461538461537974E-4</v>
      </c>
      <c r="J81" s="37">
        <f t="shared" si="44"/>
        <v>4.5057692307692285E-2</v>
      </c>
      <c r="K81" s="91">
        <f t="shared" si="40"/>
        <v>45.057692307692285</v>
      </c>
      <c r="L81" s="68">
        <f t="shared" si="41"/>
        <v>1</v>
      </c>
      <c r="M81" s="28">
        <f t="shared" si="34"/>
        <v>10.380484688785083</v>
      </c>
      <c r="N81" s="28">
        <f t="shared" si="42"/>
        <v>1.661288831360934E-3</v>
      </c>
      <c r="O81" s="28">
        <f t="shared" si="43"/>
        <v>2.6177884615384617</v>
      </c>
      <c r="P81" s="28">
        <f t="shared" si="35"/>
        <v>4.1646634615384617</v>
      </c>
      <c r="Q81" s="28">
        <f t="shared" si="36"/>
        <v>1.7848557692307692</v>
      </c>
    </row>
    <row r="82" spans="1:17" x14ac:dyDescent="0.2">
      <c r="A82" s="28">
        <f t="shared" si="28"/>
        <v>33</v>
      </c>
      <c r="B82" s="31">
        <f t="shared" si="29"/>
        <v>22.846153846153847</v>
      </c>
      <c r="C82" s="29">
        <f t="shared" si="30"/>
        <v>0</v>
      </c>
      <c r="D82" s="27">
        <f t="shared" si="31"/>
        <v>108.69565217391303</v>
      </c>
      <c r="E82" s="27">
        <f t="shared" si="37"/>
        <v>10.704874835309617</v>
      </c>
      <c r="F82" s="29">
        <f t="shared" si="32"/>
        <v>0.25</v>
      </c>
      <c r="G82" s="27">
        <f t="shared" si="38"/>
        <v>0.25</v>
      </c>
      <c r="H82" s="29">
        <f t="shared" si="33"/>
        <v>0.25</v>
      </c>
      <c r="I82" s="30">
        <f t="shared" si="39"/>
        <v>6.3461538461538679E-4</v>
      </c>
      <c r="J82" s="37">
        <f t="shared" si="44"/>
        <v>4.5692307692307671E-2</v>
      </c>
      <c r="K82" s="91">
        <f t="shared" si="40"/>
        <v>45.692307692307672</v>
      </c>
      <c r="L82" s="68">
        <f t="shared" si="41"/>
        <v>1</v>
      </c>
      <c r="M82" s="28">
        <f t="shared" si="34"/>
        <v>10.704874835309617</v>
      </c>
      <c r="N82" s="28">
        <f t="shared" si="42"/>
        <v>1.6109467455621355E-3</v>
      </c>
      <c r="O82" s="28">
        <f t="shared" si="43"/>
        <v>2.5384615384615383</v>
      </c>
      <c r="P82" s="28">
        <f t="shared" si="35"/>
        <v>4.0384615384615383</v>
      </c>
      <c r="Q82" s="28">
        <f t="shared" si="36"/>
        <v>1.7307692307692306</v>
      </c>
    </row>
    <row r="83" spans="1:17" x14ac:dyDescent="0.2">
      <c r="A83" s="28">
        <f t="shared" si="28"/>
        <v>33</v>
      </c>
      <c r="B83" s="31">
        <f t="shared" si="29"/>
        <v>23.163461538461537</v>
      </c>
      <c r="C83" s="29">
        <f t="shared" si="30"/>
        <v>0</v>
      </c>
      <c r="D83" s="27">
        <f t="shared" si="31"/>
        <v>108.69565217391303</v>
      </c>
      <c r="E83" s="27">
        <f t="shared" si="37"/>
        <v>11.050193378384119</v>
      </c>
      <c r="F83" s="29">
        <f t="shared" si="32"/>
        <v>0.25</v>
      </c>
      <c r="G83" s="27">
        <f t="shared" si="38"/>
        <v>0.25</v>
      </c>
      <c r="H83" s="29">
        <f t="shared" si="33"/>
        <v>0.25</v>
      </c>
      <c r="I83" s="30">
        <f t="shared" si="39"/>
        <v>6.3461538461537974E-4</v>
      </c>
      <c r="J83" s="37">
        <f t="shared" si="44"/>
        <v>4.632692307692305E-2</v>
      </c>
      <c r="K83" s="91">
        <f t="shared" si="40"/>
        <v>46.326923076923052</v>
      </c>
      <c r="L83" s="68">
        <f t="shared" si="41"/>
        <v>1</v>
      </c>
      <c r="M83" s="28">
        <f t="shared" si="34"/>
        <v>11.050193378384119</v>
      </c>
      <c r="N83" s="28">
        <f t="shared" si="42"/>
        <v>1.5606046597633019E-3</v>
      </c>
      <c r="O83" s="28">
        <f t="shared" si="43"/>
        <v>2.4591346153846159</v>
      </c>
      <c r="P83" s="28">
        <f t="shared" si="35"/>
        <v>3.9122596153846159</v>
      </c>
      <c r="Q83" s="28">
        <f t="shared" si="36"/>
        <v>1.6766826923076925</v>
      </c>
    </row>
    <row r="84" spans="1:17" x14ac:dyDescent="0.2">
      <c r="A84" s="28">
        <f t="shared" si="28"/>
        <v>33</v>
      </c>
      <c r="B84" s="31">
        <f t="shared" si="29"/>
        <v>23.48076923076923</v>
      </c>
      <c r="C84" s="29">
        <f t="shared" si="30"/>
        <v>0</v>
      </c>
      <c r="D84" s="27">
        <f t="shared" si="31"/>
        <v>108.69565217391303</v>
      </c>
      <c r="E84" s="27">
        <f t="shared" si="37"/>
        <v>11.418533157663591</v>
      </c>
      <c r="F84" s="29">
        <f t="shared" si="32"/>
        <v>0.25</v>
      </c>
      <c r="G84" s="27">
        <f t="shared" si="38"/>
        <v>0.25</v>
      </c>
      <c r="H84" s="29">
        <f t="shared" si="33"/>
        <v>0.25</v>
      </c>
      <c r="I84" s="30">
        <f t="shared" si="39"/>
        <v>6.3461538461538679E-4</v>
      </c>
      <c r="J84" s="37">
        <f t="shared" si="44"/>
        <v>4.6961538461538437E-2</v>
      </c>
      <c r="K84" s="91">
        <f t="shared" si="40"/>
        <v>46.961538461538439</v>
      </c>
      <c r="L84" s="68">
        <f t="shared" si="41"/>
        <v>1</v>
      </c>
      <c r="M84" s="28">
        <f t="shared" si="34"/>
        <v>11.418533157663591</v>
      </c>
      <c r="N84" s="28">
        <f t="shared" si="42"/>
        <v>1.5102625739645023E-3</v>
      </c>
      <c r="O84" s="28">
        <f t="shared" si="43"/>
        <v>2.3798076923076925</v>
      </c>
      <c r="P84" s="28">
        <f t="shared" si="35"/>
        <v>3.7860576923076925</v>
      </c>
      <c r="Q84" s="28">
        <f t="shared" si="36"/>
        <v>1.622596153846154</v>
      </c>
    </row>
    <row r="85" spans="1:17" x14ac:dyDescent="0.2">
      <c r="A85" s="28">
        <f t="shared" si="28"/>
        <v>33</v>
      </c>
      <c r="B85" s="31">
        <f t="shared" si="29"/>
        <v>23.798076923076923</v>
      </c>
      <c r="C85" s="29">
        <f t="shared" si="30"/>
        <v>0</v>
      </c>
      <c r="D85" s="27">
        <f t="shared" si="31"/>
        <v>108.69565217391303</v>
      </c>
      <c r="E85" s="27">
        <f t="shared" si="37"/>
        <v>11.812275680341646</v>
      </c>
      <c r="F85" s="29">
        <f t="shared" si="32"/>
        <v>0.25</v>
      </c>
      <c r="G85" s="27">
        <f t="shared" si="38"/>
        <v>0.25</v>
      </c>
      <c r="H85" s="29">
        <f t="shared" si="33"/>
        <v>0.25</v>
      </c>
      <c r="I85" s="30">
        <f t="shared" si="39"/>
        <v>6.3461538461538679E-4</v>
      </c>
      <c r="J85" s="37">
        <f t="shared" si="44"/>
        <v>4.7596153846153823E-2</v>
      </c>
      <c r="K85" s="91">
        <f t="shared" si="40"/>
        <v>47.596153846153825</v>
      </c>
      <c r="L85" s="68">
        <f t="shared" si="41"/>
        <v>1</v>
      </c>
      <c r="M85" s="28">
        <f t="shared" si="34"/>
        <v>11.812275680341646</v>
      </c>
      <c r="N85" s="28">
        <f t="shared" si="42"/>
        <v>1.4599204881656854E-3</v>
      </c>
      <c r="O85" s="28">
        <f t="shared" si="43"/>
        <v>2.3004807692307692</v>
      </c>
      <c r="P85" s="28">
        <f t="shared" si="35"/>
        <v>3.6598557692307687</v>
      </c>
      <c r="Q85" s="28">
        <f t="shared" si="36"/>
        <v>1.5685096153846152</v>
      </c>
    </row>
    <row r="86" spans="1:17" x14ac:dyDescent="0.2">
      <c r="A86" s="28">
        <f t="shared" si="28"/>
        <v>33</v>
      </c>
      <c r="B86" s="31">
        <f t="shared" si="29"/>
        <v>24.115384615384613</v>
      </c>
      <c r="C86" s="29">
        <f t="shared" si="30"/>
        <v>0</v>
      </c>
      <c r="D86" s="27">
        <f t="shared" si="31"/>
        <v>108.69565217391303</v>
      </c>
      <c r="E86" s="27">
        <f t="shared" si="37"/>
        <v>12.234142668925273</v>
      </c>
      <c r="F86" s="29">
        <f t="shared" si="32"/>
        <v>0.25</v>
      </c>
      <c r="G86" s="27">
        <f t="shared" si="38"/>
        <v>0.25</v>
      </c>
      <c r="H86" s="29">
        <f t="shared" si="33"/>
        <v>0.25</v>
      </c>
      <c r="I86" s="30">
        <f t="shared" si="39"/>
        <v>6.3461538461537974E-4</v>
      </c>
      <c r="J86" s="37">
        <f t="shared" si="44"/>
        <v>4.8230769230769202E-2</v>
      </c>
      <c r="K86" s="91">
        <f t="shared" si="40"/>
        <v>48.230769230769205</v>
      </c>
      <c r="L86" s="68">
        <f t="shared" si="41"/>
        <v>1</v>
      </c>
      <c r="M86" s="28">
        <f t="shared" si="34"/>
        <v>12.234142668925273</v>
      </c>
      <c r="N86" s="28">
        <f t="shared" si="42"/>
        <v>1.4095784023668535E-3</v>
      </c>
      <c r="O86" s="28">
        <f t="shared" si="43"/>
        <v>2.2211538461538467</v>
      </c>
      <c r="P86" s="28">
        <f t="shared" si="35"/>
        <v>3.5336538461538467</v>
      </c>
      <c r="Q86" s="28">
        <f t="shared" si="36"/>
        <v>1.5144230769230771</v>
      </c>
    </row>
    <row r="87" spans="1:17" x14ac:dyDescent="0.2">
      <c r="A87" s="28">
        <f t="shared" si="28"/>
        <v>33</v>
      </c>
      <c r="B87" s="31">
        <f t="shared" si="29"/>
        <v>24.43269230769231</v>
      </c>
      <c r="C87" s="29">
        <f t="shared" si="30"/>
        <v>0</v>
      </c>
      <c r="D87" s="27">
        <f t="shared" si="31"/>
        <v>108.69565217391303</v>
      </c>
      <c r="E87" s="27">
        <f t="shared" si="37"/>
        <v>12.687259064070661</v>
      </c>
      <c r="F87" s="29">
        <f t="shared" si="32"/>
        <v>0.25</v>
      </c>
      <c r="G87" s="27">
        <f t="shared" si="38"/>
        <v>0.25</v>
      </c>
      <c r="H87" s="29">
        <f t="shared" si="33"/>
        <v>0.25</v>
      </c>
      <c r="I87" s="30">
        <f t="shared" si="39"/>
        <v>6.3461538461539394E-4</v>
      </c>
      <c r="J87" s="37">
        <f t="shared" si="44"/>
        <v>4.8865384615384595E-2</v>
      </c>
      <c r="K87" s="91">
        <f t="shared" si="40"/>
        <v>48.865384615384592</v>
      </c>
      <c r="L87" s="68">
        <f t="shared" si="41"/>
        <v>1</v>
      </c>
      <c r="M87" s="28">
        <f t="shared" si="34"/>
        <v>12.687259064070661</v>
      </c>
      <c r="N87" s="28">
        <f t="shared" si="42"/>
        <v>1.3592363165680669E-3</v>
      </c>
      <c r="O87" s="28">
        <f t="shared" si="43"/>
        <v>2.1418269230769225</v>
      </c>
      <c r="P87" s="28">
        <f t="shared" si="35"/>
        <v>3.407451923076922</v>
      </c>
      <c r="Q87" s="28">
        <f t="shared" si="36"/>
        <v>1.4603365384615379</v>
      </c>
    </row>
    <row r="88" spans="1:17" x14ac:dyDescent="0.2">
      <c r="A88" s="28">
        <f t="shared" si="28"/>
        <v>33</v>
      </c>
      <c r="B88" s="31">
        <f t="shared" si="29"/>
        <v>24.75</v>
      </c>
      <c r="C88" s="29">
        <f t="shared" si="30"/>
        <v>0</v>
      </c>
      <c r="D88" s="27">
        <f t="shared" si="31"/>
        <v>108.69565217391303</v>
      </c>
      <c r="E88" s="27">
        <f t="shared" si="37"/>
        <v>13.175230566534912</v>
      </c>
      <c r="F88" s="29">
        <f t="shared" si="32"/>
        <v>0.25</v>
      </c>
      <c r="G88" s="27">
        <f t="shared" si="38"/>
        <v>0.25</v>
      </c>
      <c r="H88" s="29">
        <f t="shared" si="33"/>
        <v>0.25</v>
      </c>
      <c r="I88" s="30">
        <f t="shared" si="39"/>
        <v>6.3461538461537974E-4</v>
      </c>
      <c r="J88" s="37">
        <f t="shared" si="44"/>
        <v>4.9499999999999975E-2</v>
      </c>
      <c r="K88" s="91">
        <f t="shared" si="40"/>
        <v>49.499999999999972</v>
      </c>
      <c r="L88" s="68">
        <f t="shared" si="41"/>
        <v>1</v>
      </c>
      <c r="M88" s="28">
        <f t="shared" si="34"/>
        <v>13.175230566534912</v>
      </c>
      <c r="N88" s="28">
        <f t="shared" si="42"/>
        <v>1.3088942307692207E-3</v>
      </c>
      <c r="O88" s="28">
        <f t="shared" si="43"/>
        <v>2.0625</v>
      </c>
      <c r="P88" s="28">
        <f t="shared" si="35"/>
        <v>3.28125</v>
      </c>
      <c r="Q88" s="28">
        <f t="shared" si="36"/>
        <v>1.40625</v>
      </c>
    </row>
    <row r="89" spans="1:17" x14ac:dyDescent="0.2">
      <c r="A89" s="28">
        <f t="shared" si="28"/>
        <v>33</v>
      </c>
      <c r="B89" s="31">
        <f t="shared" si="29"/>
        <v>25.06730769230769</v>
      </c>
      <c r="C89" s="29">
        <f t="shared" si="30"/>
        <v>0</v>
      </c>
      <c r="D89" s="27">
        <f t="shared" si="31"/>
        <v>108.69565217391303</v>
      </c>
      <c r="E89" s="27">
        <f t="shared" si="37"/>
        <v>13.702239789196305</v>
      </c>
      <c r="F89" s="29">
        <f t="shared" si="32"/>
        <v>0.25</v>
      </c>
      <c r="G89" s="27">
        <f t="shared" si="38"/>
        <v>0.25</v>
      </c>
      <c r="H89" s="29">
        <f t="shared" si="33"/>
        <v>0.25</v>
      </c>
      <c r="I89" s="30">
        <f t="shared" si="39"/>
        <v>6.3461538461537974E-4</v>
      </c>
      <c r="J89" s="37">
        <f t="shared" si="44"/>
        <v>5.0134615384615354E-2</v>
      </c>
      <c r="K89" s="91">
        <f t="shared" si="40"/>
        <v>50.134615384615351</v>
      </c>
      <c r="L89" s="68">
        <f t="shared" si="41"/>
        <v>1</v>
      </c>
      <c r="M89" s="28">
        <f t="shared" si="34"/>
        <v>13.702239789196305</v>
      </c>
      <c r="N89" s="28">
        <f t="shared" si="42"/>
        <v>1.2585521449704048E-3</v>
      </c>
      <c r="O89" s="28">
        <f t="shared" si="43"/>
        <v>1.9831730769230775</v>
      </c>
      <c r="P89" s="28">
        <f t="shared" si="35"/>
        <v>3.1550480769230775</v>
      </c>
      <c r="Q89" s="28">
        <f t="shared" si="36"/>
        <v>1.3521634615384619</v>
      </c>
    </row>
    <row r="90" spans="1:17" x14ac:dyDescent="0.2">
      <c r="A90" s="28">
        <f t="shared" si="28"/>
        <v>33</v>
      </c>
      <c r="B90" s="31">
        <f t="shared" si="29"/>
        <v>25.384615384615387</v>
      </c>
      <c r="C90" s="29">
        <f t="shared" si="30"/>
        <v>0</v>
      </c>
      <c r="D90" s="27">
        <f t="shared" si="31"/>
        <v>108.69565217391303</v>
      </c>
      <c r="E90" s="27">
        <f t="shared" si="37"/>
        <v>14.273166447079493</v>
      </c>
      <c r="F90" s="29">
        <f t="shared" si="32"/>
        <v>0.25</v>
      </c>
      <c r="G90" s="27">
        <f t="shared" si="38"/>
        <v>0.25</v>
      </c>
      <c r="H90" s="29">
        <f t="shared" si="33"/>
        <v>0.25</v>
      </c>
      <c r="I90" s="30">
        <f t="shared" si="39"/>
        <v>6.3461538461539394E-4</v>
      </c>
      <c r="J90" s="37">
        <f t="shared" si="44"/>
        <v>5.0769230769230747E-2</v>
      </c>
      <c r="K90" s="91">
        <f t="shared" si="40"/>
        <v>50.769230769230745</v>
      </c>
      <c r="L90" s="68">
        <f t="shared" si="41"/>
        <v>1</v>
      </c>
      <c r="M90" s="28">
        <f t="shared" si="34"/>
        <v>14.273166447079493</v>
      </c>
      <c r="N90" s="28">
        <f t="shared" si="42"/>
        <v>1.208210059171615E-3</v>
      </c>
      <c r="O90" s="28">
        <f t="shared" si="43"/>
        <v>1.9038461538461533</v>
      </c>
      <c r="P90" s="28">
        <f t="shared" si="35"/>
        <v>3.0288461538461529</v>
      </c>
      <c r="Q90" s="28">
        <f t="shared" si="36"/>
        <v>1.2980769230769227</v>
      </c>
    </row>
    <row r="91" spans="1:17" x14ac:dyDescent="0.2">
      <c r="A91" s="28">
        <f t="shared" si="28"/>
        <v>33</v>
      </c>
      <c r="B91" s="31">
        <f t="shared" si="29"/>
        <v>25.701923076923077</v>
      </c>
      <c r="C91" s="29">
        <f t="shared" si="30"/>
        <v>0</v>
      </c>
      <c r="D91" s="27">
        <f t="shared" si="31"/>
        <v>108.69565217391303</v>
      </c>
      <c r="E91" s="27">
        <f t="shared" si="37"/>
        <v>14.893738901300337</v>
      </c>
      <c r="F91" s="29">
        <f t="shared" si="32"/>
        <v>0.25</v>
      </c>
      <c r="G91" s="27">
        <f t="shared" si="38"/>
        <v>0.25</v>
      </c>
      <c r="H91" s="29">
        <f t="shared" si="33"/>
        <v>0.25</v>
      </c>
      <c r="I91" s="30">
        <f t="shared" si="39"/>
        <v>6.3461538461537974E-4</v>
      </c>
      <c r="J91" s="37">
        <f t="shared" si="44"/>
        <v>5.1403846153846126E-2</v>
      </c>
      <c r="K91" s="91">
        <f t="shared" si="40"/>
        <v>51.403846153846125</v>
      </c>
      <c r="L91" s="68">
        <f t="shared" si="41"/>
        <v>1</v>
      </c>
      <c r="M91" s="28">
        <f t="shared" si="34"/>
        <v>14.893738901300337</v>
      </c>
      <c r="N91" s="28">
        <f t="shared" si="42"/>
        <v>1.1578679733727723E-3</v>
      </c>
      <c r="O91" s="28">
        <f t="shared" si="43"/>
        <v>1.8245192307692308</v>
      </c>
      <c r="P91" s="28">
        <f t="shared" si="35"/>
        <v>2.9026442307692308</v>
      </c>
      <c r="Q91" s="28">
        <f t="shared" si="36"/>
        <v>1.2439903846153846</v>
      </c>
    </row>
    <row r="92" spans="1:17" x14ac:dyDescent="0.2">
      <c r="A92" s="28">
        <f t="shared" si="28"/>
        <v>33</v>
      </c>
      <c r="B92" s="31">
        <f t="shared" si="29"/>
        <v>26.01923076923077</v>
      </c>
      <c r="C92" s="29">
        <f t="shared" si="30"/>
        <v>0</v>
      </c>
      <c r="D92" s="27">
        <f t="shared" si="31"/>
        <v>108.69565217391303</v>
      </c>
      <c r="E92" s="27">
        <f t="shared" si="37"/>
        <v>15.570727033177626</v>
      </c>
      <c r="F92" s="29">
        <f t="shared" si="32"/>
        <v>0.25</v>
      </c>
      <c r="G92" s="27">
        <f t="shared" si="38"/>
        <v>0.25</v>
      </c>
      <c r="H92" s="29">
        <f t="shared" si="33"/>
        <v>0.25</v>
      </c>
      <c r="I92" s="30">
        <f t="shared" si="39"/>
        <v>6.3461538461538679E-4</v>
      </c>
      <c r="J92" s="37">
        <f t="shared" si="44"/>
        <v>5.2038461538461513E-2</v>
      </c>
      <c r="K92" s="91">
        <f t="shared" si="40"/>
        <v>52.038461538461512</v>
      </c>
      <c r="L92" s="68">
        <f t="shared" si="41"/>
        <v>1</v>
      </c>
      <c r="M92" s="28">
        <f t="shared" si="34"/>
        <v>15.570727033177628</v>
      </c>
      <c r="N92" s="28">
        <f t="shared" si="42"/>
        <v>1.1075258875739681E-3</v>
      </c>
      <c r="O92" s="28">
        <f t="shared" si="43"/>
        <v>1.7451923076923075</v>
      </c>
      <c r="P92" s="28">
        <f t="shared" si="35"/>
        <v>2.776442307692307</v>
      </c>
      <c r="Q92" s="28">
        <f t="shared" si="36"/>
        <v>1.189903846153846</v>
      </c>
    </row>
    <row r="93" spans="1:17" x14ac:dyDescent="0.2">
      <c r="A93" s="28">
        <f t="shared" si="28"/>
        <v>33</v>
      </c>
      <c r="B93" s="31">
        <f t="shared" si="29"/>
        <v>26.336538461538463</v>
      </c>
      <c r="C93" s="29">
        <f t="shared" si="30"/>
        <v>0</v>
      </c>
      <c r="D93" s="27">
        <f t="shared" si="31"/>
        <v>108.69565217391303</v>
      </c>
      <c r="E93" s="27">
        <f t="shared" si="37"/>
        <v>16.312190225233707</v>
      </c>
      <c r="F93" s="29">
        <f t="shared" si="32"/>
        <v>0.25</v>
      </c>
      <c r="G93" s="27">
        <f t="shared" si="38"/>
        <v>0.25</v>
      </c>
      <c r="H93" s="29">
        <f t="shared" si="33"/>
        <v>0.25</v>
      </c>
      <c r="I93" s="30">
        <f t="shared" si="39"/>
        <v>6.3461538461538679E-4</v>
      </c>
      <c r="J93" s="37">
        <f t="shared" si="44"/>
        <v>5.2673076923076899E-2</v>
      </c>
      <c r="K93" s="91">
        <f t="shared" si="40"/>
        <v>52.673076923076898</v>
      </c>
      <c r="L93" s="68">
        <f t="shared" si="41"/>
        <v>1</v>
      </c>
      <c r="M93" s="28">
        <f t="shared" si="34"/>
        <v>16.312190225233707</v>
      </c>
      <c r="N93" s="28">
        <f t="shared" si="42"/>
        <v>1.0571838017751512E-3</v>
      </c>
      <c r="O93" s="28">
        <f t="shared" si="43"/>
        <v>1.6658653846153841</v>
      </c>
      <c r="P93" s="28">
        <f t="shared" si="35"/>
        <v>2.6502403846153837</v>
      </c>
      <c r="Q93" s="28">
        <f t="shared" si="36"/>
        <v>1.1358173076923073</v>
      </c>
    </row>
    <row r="94" spans="1:17" x14ac:dyDescent="0.2">
      <c r="A94" s="28">
        <f t="shared" si="28"/>
        <v>33</v>
      </c>
      <c r="B94" s="31">
        <f t="shared" si="29"/>
        <v>26.653846153846153</v>
      </c>
      <c r="C94" s="29">
        <f t="shared" si="30"/>
        <v>0</v>
      </c>
      <c r="D94" s="27">
        <f t="shared" si="31"/>
        <v>108.69565217391303</v>
      </c>
      <c r="E94" s="27">
        <f t="shared" si="37"/>
        <v>17.127799736495387</v>
      </c>
      <c r="F94" s="29">
        <f t="shared" si="32"/>
        <v>0.25</v>
      </c>
      <c r="G94" s="27">
        <f t="shared" si="38"/>
        <v>0.25</v>
      </c>
      <c r="H94" s="29">
        <f t="shared" si="33"/>
        <v>0.25</v>
      </c>
      <c r="I94" s="30">
        <f t="shared" si="39"/>
        <v>6.3461538461537974E-4</v>
      </c>
      <c r="J94" s="37">
        <f t="shared" si="44"/>
        <v>5.3307692307692278E-2</v>
      </c>
      <c r="K94" s="91">
        <f t="shared" si="40"/>
        <v>53.307692307692278</v>
      </c>
      <c r="L94" s="68">
        <f t="shared" si="41"/>
        <v>1</v>
      </c>
      <c r="M94" s="28">
        <f t="shared" si="34"/>
        <v>17.127799736495387</v>
      </c>
      <c r="N94" s="28">
        <f t="shared" si="42"/>
        <v>1.0068417159763237E-3</v>
      </c>
      <c r="O94" s="28">
        <f t="shared" si="43"/>
        <v>1.5865384615384617</v>
      </c>
      <c r="P94" s="28">
        <f t="shared" si="35"/>
        <v>2.5240384615384617</v>
      </c>
      <c r="Q94" s="28">
        <f t="shared" si="36"/>
        <v>1.0817307692307692</v>
      </c>
    </row>
    <row r="95" spans="1:17" x14ac:dyDescent="0.2">
      <c r="A95" s="28">
        <f t="shared" si="28"/>
        <v>33</v>
      </c>
      <c r="B95" s="31">
        <f t="shared" si="29"/>
        <v>26.971153846153847</v>
      </c>
      <c r="C95" s="29">
        <f t="shared" si="30"/>
        <v>0</v>
      </c>
      <c r="D95" s="27">
        <f t="shared" si="31"/>
        <v>108.69565217391303</v>
      </c>
      <c r="E95" s="27">
        <f t="shared" si="37"/>
        <v>18.029262880521461</v>
      </c>
      <c r="F95" s="29">
        <f t="shared" si="32"/>
        <v>0.25</v>
      </c>
      <c r="G95" s="27">
        <f t="shared" si="38"/>
        <v>0.25</v>
      </c>
      <c r="H95" s="29">
        <f t="shared" si="33"/>
        <v>0.25</v>
      </c>
      <c r="I95" s="30">
        <f t="shared" si="39"/>
        <v>6.3461538461538679E-4</v>
      </c>
      <c r="J95" s="37">
        <f t="shared" si="44"/>
        <v>5.3942307692307664E-2</v>
      </c>
      <c r="K95" s="91">
        <f t="shared" si="40"/>
        <v>53.942307692307665</v>
      </c>
      <c r="L95" s="68">
        <f t="shared" si="41"/>
        <v>1</v>
      </c>
      <c r="M95" s="28">
        <f t="shared" si="34"/>
        <v>18.029262880521461</v>
      </c>
      <c r="N95" s="28">
        <f t="shared" si="42"/>
        <v>9.56499630177518E-4</v>
      </c>
      <c r="O95" s="28">
        <f t="shared" si="43"/>
        <v>1.5072115384615383</v>
      </c>
      <c r="P95" s="28">
        <f t="shared" si="35"/>
        <v>2.3978365384615383</v>
      </c>
      <c r="Q95" s="28">
        <f t="shared" si="36"/>
        <v>1.0276442307692306</v>
      </c>
    </row>
    <row r="96" spans="1:17" x14ac:dyDescent="0.2">
      <c r="A96" s="28">
        <f t="shared" si="28"/>
        <v>33</v>
      </c>
      <c r="B96" s="31">
        <f t="shared" si="29"/>
        <v>27.288461538461537</v>
      </c>
      <c r="C96" s="29">
        <f t="shared" si="30"/>
        <v>0</v>
      </c>
      <c r="D96" s="27">
        <f t="shared" si="31"/>
        <v>108.69565217391303</v>
      </c>
      <c r="E96" s="27">
        <f t="shared" si="37"/>
        <v>19.030888596105978</v>
      </c>
      <c r="F96" s="29">
        <f t="shared" si="32"/>
        <v>0.25</v>
      </c>
      <c r="G96" s="27">
        <f t="shared" si="38"/>
        <v>0.25</v>
      </c>
      <c r="H96" s="29">
        <f t="shared" si="33"/>
        <v>0.25</v>
      </c>
      <c r="I96" s="30">
        <f t="shared" si="39"/>
        <v>6.3461538461537974E-4</v>
      </c>
      <c r="J96" s="37">
        <f t="shared" si="44"/>
        <v>5.4576923076923044E-2</v>
      </c>
      <c r="K96" s="91">
        <f t="shared" si="40"/>
        <v>54.576923076923045</v>
      </c>
      <c r="L96" s="68">
        <f t="shared" si="41"/>
        <v>1</v>
      </c>
      <c r="M96" s="28">
        <f t="shared" si="34"/>
        <v>19.030888596105981</v>
      </c>
      <c r="N96" s="28">
        <f t="shared" si="42"/>
        <v>9.0615754437869153E-4</v>
      </c>
      <c r="O96" s="28">
        <f t="shared" si="43"/>
        <v>1.4278846153846159</v>
      </c>
      <c r="P96" s="28">
        <f t="shared" si="35"/>
        <v>2.2716346153846159</v>
      </c>
      <c r="Q96" s="28">
        <f t="shared" si="36"/>
        <v>0.97355769230769251</v>
      </c>
    </row>
    <row r="97" spans="1:17" x14ac:dyDescent="0.2">
      <c r="A97" s="28">
        <f t="shared" si="28"/>
        <v>33</v>
      </c>
      <c r="B97" s="31">
        <f t="shared" si="29"/>
        <v>27.60576923076923</v>
      </c>
      <c r="C97" s="29">
        <f t="shared" si="30"/>
        <v>0</v>
      </c>
      <c r="D97" s="27">
        <f t="shared" si="31"/>
        <v>108.69565217391303</v>
      </c>
      <c r="E97" s="27">
        <f t="shared" si="37"/>
        <v>20.150352631171039</v>
      </c>
      <c r="F97" s="29">
        <f t="shared" si="32"/>
        <v>0.25</v>
      </c>
      <c r="G97" s="27">
        <f t="shared" si="38"/>
        <v>0.25</v>
      </c>
      <c r="H97" s="29">
        <f t="shared" si="33"/>
        <v>0.25</v>
      </c>
      <c r="I97" s="30">
        <f t="shared" si="39"/>
        <v>6.3461538461538679E-4</v>
      </c>
      <c r="J97" s="37">
        <f t="shared" si="44"/>
        <v>5.521153846153843E-2</v>
      </c>
      <c r="K97" s="91">
        <f t="shared" si="40"/>
        <v>55.211538461538431</v>
      </c>
      <c r="L97" s="68">
        <f t="shared" si="41"/>
        <v>1</v>
      </c>
      <c r="M97" s="28">
        <f t="shared" si="34"/>
        <v>20.150352631171039</v>
      </c>
      <c r="N97" s="28">
        <f t="shared" si="42"/>
        <v>8.5581545857988468E-4</v>
      </c>
      <c r="O97" s="28">
        <f t="shared" si="43"/>
        <v>1.3485576923076925</v>
      </c>
      <c r="P97" s="28">
        <f t="shared" si="35"/>
        <v>2.1454326923076925</v>
      </c>
      <c r="Q97" s="28">
        <f t="shared" si="36"/>
        <v>0.91947115384615397</v>
      </c>
    </row>
    <row r="98" spans="1:17" x14ac:dyDescent="0.2">
      <c r="A98" s="28">
        <f t="shared" si="28"/>
        <v>33</v>
      </c>
      <c r="B98" s="31">
        <f t="shared" si="29"/>
        <v>27.923076923076923</v>
      </c>
      <c r="C98" s="29">
        <f t="shared" si="30"/>
        <v>0</v>
      </c>
      <c r="D98" s="27">
        <f t="shared" si="31"/>
        <v>108.69565217391303</v>
      </c>
      <c r="E98" s="27">
        <f t="shared" si="37"/>
        <v>21.409749670619235</v>
      </c>
      <c r="F98" s="29">
        <f t="shared" si="32"/>
        <v>0.25</v>
      </c>
      <c r="G98" s="27">
        <f t="shared" si="38"/>
        <v>0.25</v>
      </c>
      <c r="H98" s="29">
        <f t="shared" si="33"/>
        <v>0.25</v>
      </c>
      <c r="I98" s="30">
        <f t="shared" si="39"/>
        <v>6.3461538461538679E-4</v>
      </c>
      <c r="J98" s="37">
        <f t="shared" si="44"/>
        <v>5.5846153846153816E-2</v>
      </c>
      <c r="K98" s="91">
        <f t="shared" si="40"/>
        <v>55.846153846153818</v>
      </c>
      <c r="L98" s="68">
        <f t="shared" si="41"/>
        <v>1</v>
      </c>
      <c r="M98" s="28">
        <f t="shared" si="34"/>
        <v>21.409749670619235</v>
      </c>
      <c r="N98" s="28">
        <f t="shared" si="42"/>
        <v>8.0547337278106775E-4</v>
      </c>
      <c r="O98" s="28">
        <f t="shared" si="43"/>
        <v>1.2692307692307692</v>
      </c>
      <c r="P98" s="28">
        <f t="shared" si="35"/>
        <v>2.0192307692307692</v>
      </c>
      <c r="Q98" s="28">
        <f t="shared" si="36"/>
        <v>0.86538461538461531</v>
      </c>
    </row>
    <row r="99" spans="1:17" x14ac:dyDescent="0.2">
      <c r="A99" s="28">
        <f t="shared" si="28"/>
        <v>33</v>
      </c>
      <c r="B99" s="31">
        <f t="shared" si="29"/>
        <v>28.240384615384613</v>
      </c>
      <c r="C99" s="29">
        <f t="shared" si="30"/>
        <v>0</v>
      </c>
      <c r="D99" s="27">
        <f t="shared" si="31"/>
        <v>108.69565217391303</v>
      </c>
      <c r="E99" s="27">
        <f t="shared" si="37"/>
        <v>22.837066315327171</v>
      </c>
      <c r="F99" s="29">
        <f t="shared" si="32"/>
        <v>0.25</v>
      </c>
      <c r="G99" s="27">
        <f t="shared" si="38"/>
        <v>0.25</v>
      </c>
      <c r="H99" s="29">
        <f t="shared" si="33"/>
        <v>0.25</v>
      </c>
      <c r="I99" s="30">
        <f t="shared" si="39"/>
        <v>6.3461538461537974E-4</v>
      </c>
      <c r="J99" s="37">
        <f t="shared" si="44"/>
        <v>5.6480769230769196E-2</v>
      </c>
      <c r="K99" s="91">
        <f t="shared" si="40"/>
        <v>56.480769230769198</v>
      </c>
      <c r="L99" s="68">
        <f t="shared" si="41"/>
        <v>1</v>
      </c>
      <c r="M99" s="28">
        <f t="shared" si="34"/>
        <v>22.837066315327171</v>
      </c>
      <c r="N99" s="28">
        <f t="shared" si="42"/>
        <v>7.5513128698224301E-4</v>
      </c>
      <c r="O99" s="28">
        <f t="shared" si="43"/>
        <v>1.1899038461538467</v>
      </c>
      <c r="P99" s="28">
        <f t="shared" si="35"/>
        <v>1.8930288461538469</v>
      </c>
      <c r="Q99" s="28">
        <f t="shared" si="36"/>
        <v>0.8112980769230772</v>
      </c>
    </row>
    <row r="100" spans="1:17" x14ac:dyDescent="0.2">
      <c r="A100" s="28">
        <f t="shared" si="28"/>
        <v>33</v>
      </c>
      <c r="B100" s="31">
        <f t="shared" si="29"/>
        <v>28.55769230769231</v>
      </c>
      <c r="C100" s="29">
        <f t="shared" si="30"/>
        <v>0</v>
      </c>
      <c r="D100" s="27">
        <f t="shared" si="31"/>
        <v>108.69565217391303</v>
      </c>
      <c r="E100" s="27">
        <f t="shared" si="37"/>
        <v>24.468285337850567</v>
      </c>
      <c r="F100" s="29">
        <f t="shared" si="32"/>
        <v>0.25</v>
      </c>
      <c r="G100" s="27">
        <f t="shared" si="38"/>
        <v>0.25</v>
      </c>
      <c r="H100" s="29">
        <f t="shared" si="33"/>
        <v>0.25</v>
      </c>
      <c r="I100" s="30">
        <f t="shared" si="39"/>
        <v>6.3461538461539394E-4</v>
      </c>
      <c r="J100" s="37">
        <f t="shared" si="44"/>
        <v>5.7115384615384589E-2</v>
      </c>
      <c r="K100" s="91">
        <f t="shared" si="40"/>
        <v>57.115384615384592</v>
      </c>
      <c r="L100" s="68">
        <f t="shared" si="41"/>
        <v>1</v>
      </c>
      <c r="M100" s="28">
        <f t="shared" si="34"/>
        <v>24.468285337850567</v>
      </c>
      <c r="N100" s="28">
        <f t="shared" si="42"/>
        <v>7.0478920118344191E-4</v>
      </c>
      <c r="O100" s="28">
        <f t="shared" si="43"/>
        <v>1.1105769230769225</v>
      </c>
      <c r="P100" s="28">
        <f t="shared" si="35"/>
        <v>1.766826923076922</v>
      </c>
      <c r="Q100" s="28">
        <f t="shared" si="36"/>
        <v>0.75721153846153799</v>
      </c>
    </row>
    <row r="101" spans="1:17" x14ac:dyDescent="0.2">
      <c r="A101" s="28">
        <f t="shared" si="28"/>
        <v>33</v>
      </c>
      <c r="B101" s="31">
        <f t="shared" si="29"/>
        <v>28.875</v>
      </c>
      <c r="C101" s="29">
        <f t="shared" si="30"/>
        <v>0</v>
      </c>
      <c r="D101" s="27">
        <f t="shared" si="31"/>
        <v>108.69565217391303</v>
      </c>
      <c r="E101" s="27">
        <f t="shared" si="37"/>
        <v>25</v>
      </c>
      <c r="F101" s="29">
        <f t="shared" si="32"/>
        <v>0.25</v>
      </c>
      <c r="G101" s="27">
        <f t="shared" si="38"/>
        <v>0.25</v>
      </c>
      <c r="H101" s="29">
        <f t="shared" si="33"/>
        <v>0.25</v>
      </c>
      <c r="I101" s="30">
        <f t="shared" si="39"/>
        <v>6.3461538461537974E-4</v>
      </c>
      <c r="J101" s="37">
        <f t="shared" si="44"/>
        <v>5.7749999999999968E-2</v>
      </c>
      <c r="K101" s="91">
        <f t="shared" si="40"/>
        <v>57.749999999999972</v>
      </c>
      <c r="L101" s="68">
        <f t="shared" si="41"/>
        <v>1</v>
      </c>
      <c r="M101" s="28">
        <f t="shared" si="34"/>
        <v>25</v>
      </c>
      <c r="N101" s="28">
        <f t="shared" si="42"/>
        <v>6.5444711538461034E-4</v>
      </c>
      <c r="O101" s="28">
        <f t="shared" si="43"/>
        <v>1.03125</v>
      </c>
      <c r="P101" s="28">
        <f t="shared" si="35"/>
        <v>1.640625</v>
      </c>
      <c r="Q101" s="28">
        <f t="shared" si="36"/>
        <v>0.703125</v>
      </c>
    </row>
    <row r="102" spans="1:17" x14ac:dyDescent="0.2">
      <c r="A102" s="28">
        <f t="shared" si="28"/>
        <v>33</v>
      </c>
      <c r="B102" s="31">
        <f t="shared" si="29"/>
        <v>29.19230769230769</v>
      </c>
      <c r="C102" s="29">
        <f t="shared" si="30"/>
        <v>0</v>
      </c>
      <c r="D102" s="27">
        <f t="shared" si="31"/>
        <v>108.69565217391303</v>
      </c>
      <c r="E102" s="27">
        <f t="shared" si="37"/>
        <v>25</v>
      </c>
      <c r="F102" s="29">
        <f t="shared" si="32"/>
        <v>0.25</v>
      </c>
      <c r="G102" s="27">
        <f t="shared" si="38"/>
        <v>0.25</v>
      </c>
      <c r="H102" s="29">
        <f t="shared" si="33"/>
        <v>0.25</v>
      </c>
      <c r="I102" s="30">
        <f t="shared" si="39"/>
        <v>6.3461538461537974E-4</v>
      </c>
      <c r="J102" s="37">
        <f t="shared" si="44"/>
        <v>5.8384615384615347E-2</v>
      </c>
      <c r="K102" s="91">
        <f t="shared" si="40"/>
        <v>58.384615384615344</v>
      </c>
      <c r="L102" s="68">
        <f t="shared" si="41"/>
        <v>1</v>
      </c>
      <c r="M102" s="28">
        <f t="shared" si="34"/>
        <v>25</v>
      </c>
      <c r="N102" s="28">
        <f t="shared" si="42"/>
        <v>6.0410502958579461E-4</v>
      </c>
      <c r="O102" s="28">
        <f t="shared" si="43"/>
        <v>0.95192307692307754</v>
      </c>
      <c r="P102" s="28">
        <f t="shared" si="35"/>
        <v>1.5144230769230778</v>
      </c>
      <c r="Q102" s="28">
        <f t="shared" si="36"/>
        <v>0.6490384615384619</v>
      </c>
    </row>
    <row r="103" spans="1:17" x14ac:dyDescent="0.2">
      <c r="A103" s="28">
        <f t="shared" si="28"/>
        <v>33</v>
      </c>
      <c r="B103" s="31">
        <f t="shared" si="29"/>
        <v>29.509615384615387</v>
      </c>
      <c r="C103" s="29">
        <f t="shared" si="30"/>
        <v>0</v>
      </c>
      <c r="D103" s="27">
        <f t="shared" si="31"/>
        <v>108.69565217391303</v>
      </c>
      <c r="E103" s="27">
        <f t="shared" si="37"/>
        <v>25</v>
      </c>
      <c r="F103" s="29">
        <f t="shared" si="32"/>
        <v>0.25</v>
      </c>
      <c r="G103" s="27">
        <f t="shared" si="38"/>
        <v>0.25</v>
      </c>
      <c r="H103" s="29">
        <f t="shared" si="33"/>
        <v>0.25</v>
      </c>
      <c r="I103" s="30">
        <f t="shared" si="39"/>
        <v>6.3461538461539394E-4</v>
      </c>
      <c r="J103" s="37">
        <f t="shared" si="44"/>
        <v>5.9019230769230741E-2</v>
      </c>
      <c r="K103" s="91">
        <f t="shared" si="40"/>
        <v>59.019230769230738</v>
      </c>
      <c r="L103" s="68">
        <f t="shared" si="41"/>
        <v>1</v>
      </c>
      <c r="M103" s="28">
        <f t="shared" si="34"/>
        <v>25</v>
      </c>
      <c r="N103" s="28">
        <f t="shared" si="42"/>
        <v>5.5376294378699004E-4</v>
      </c>
      <c r="O103" s="28">
        <f t="shared" si="43"/>
        <v>0.8725961538461533</v>
      </c>
      <c r="P103" s="28">
        <f t="shared" si="35"/>
        <v>1.3882211538461529</v>
      </c>
      <c r="Q103" s="28">
        <f t="shared" si="36"/>
        <v>0.59495192307692268</v>
      </c>
    </row>
    <row r="104" spans="1:17" x14ac:dyDescent="0.2">
      <c r="A104" s="28">
        <f t="shared" si="28"/>
        <v>33</v>
      </c>
      <c r="B104" s="31">
        <f t="shared" si="29"/>
        <v>29.826923076923077</v>
      </c>
      <c r="C104" s="29">
        <f t="shared" si="30"/>
        <v>0</v>
      </c>
      <c r="D104" s="27">
        <f t="shared" si="31"/>
        <v>108.69565217391303</v>
      </c>
      <c r="E104" s="27">
        <f t="shared" si="37"/>
        <v>25</v>
      </c>
      <c r="F104" s="29">
        <f t="shared" si="32"/>
        <v>0.25</v>
      </c>
      <c r="G104" s="27">
        <f t="shared" si="38"/>
        <v>0.25</v>
      </c>
      <c r="H104" s="29">
        <f t="shared" si="33"/>
        <v>0.25</v>
      </c>
      <c r="I104" s="30">
        <f t="shared" si="39"/>
        <v>6.3461538461537974E-4</v>
      </c>
      <c r="J104" s="37">
        <f t="shared" si="44"/>
        <v>5.965384615384612E-2</v>
      </c>
      <c r="K104" s="91">
        <f t="shared" si="40"/>
        <v>59.653846153846118</v>
      </c>
      <c r="L104" s="68">
        <f t="shared" si="41"/>
        <v>1</v>
      </c>
      <c r="M104" s="28">
        <f t="shared" si="34"/>
        <v>25</v>
      </c>
      <c r="N104" s="28">
        <f t="shared" si="42"/>
        <v>5.0342085798816183E-4</v>
      </c>
      <c r="O104" s="28">
        <f t="shared" si="43"/>
        <v>0.79326923076923084</v>
      </c>
      <c r="P104" s="28">
        <f t="shared" si="35"/>
        <v>1.2620192307692308</v>
      </c>
      <c r="Q104" s="28">
        <f t="shared" si="36"/>
        <v>0.54086538461538458</v>
      </c>
    </row>
    <row r="105" spans="1:17" x14ac:dyDescent="0.2">
      <c r="A105" s="28">
        <f t="shared" si="28"/>
        <v>33</v>
      </c>
      <c r="B105" s="31">
        <f t="shared" si="29"/>
        <v>30.14423076923077</v>
      </c>
      <c r="C105" s="29">
        <f t="shared" si="30"/>
        <v>0</v>
      </c>
      <c r="D105" s="27">
        <f t="shared" si="31"/>
        <v>108.69565217391303</v>
      </c>
      <c r="E105" s="27">
        <f t="shared" si="37"/>
        <v>25</v>
      </c>
      <c r="F105" s="29">
        <f t="shared" si="32"/>
        <v>0.25</v>
      </c>
      <c r="G105" s="27">
        <f t="shared" si="38"/>
        <v>0.25</v>
      </c>
      <c r="H105" s="29">
        <f t="shared" si="33"/>
        <v>0.25</v>
      </c>
      <c r="I105" s="30">
        <f t="shared" si="39"/>
        <v>6.3461538461538679E-4</v>
      </c>
      <c r="J105" s="37">
        <f t="shared" si="44"/>
        <v>6.0288461538461506E-2</v>
      </c>
      <c r="K105" s="91">
        <f t="shared" si="40"/>
        <v>60.288461538461505</v>
      </c>
      <c r="L105" s="68">
        <f t="shared" si="41"/>
        <v>1</v>
      </c>
      <c r="M105" s="28">
        <f t="shared" si="34"/>
        <v>25</v>
      </c>
      <c r="N105" s="28">
        <f t="shared" si="42"/>
        <v>4.5307877218935054E-4</v>
      </c>
      <c r="O105" s="28">
        <f t="shared" si="43"/>
        <v>0.71394230769230749</v>
      </c>
      <c r="P105" s="28">
        <f t="shared" si="35"/>
        <v>1.1358173076923073</v>
      </c>
      <c r="Q105" s="28">
        <f t="shared" si="36"/>
        <v>0.48677884615384598</v>
      </c>
    </row>
    <row r="106" spans="1:17" x14ac:dyDescent="0.2">
      <c r="A106" s="28">
        <f t="shared" ref="A106:A114" si="45">VINMAX</f>
        <v>33</v>
      </c>
      <c r="B106" s="31">
        <f t="shared" ref="B106:B114" si="46">VINMAX*((ROW()-10)/104)</f>
        <v>30.461538461538463</v>
      </c>
      <c r="C106" s="29">
        <f t="shared" ref="C106:C110" si="47">IF(B106&gt;=$H$2,IF($D$2="CC", $G$2, B106/$G$2), 0)</f>
        <v>0</v>
      </c>
      <c r="D106" s="27">
        <f t="shared" ref="D106:D110" si="48">$B$2-B106*$J$2/($I$2*0.001)</f>
        <v>108.69565217391303</v>
      </c>
      <c r="E106" s="27">
        <f t="shared" si="37"/>
        <v>25</v>
      </c>
      <c r="F106" s="29">
        <f t="shared" ref="F106:F110" si="49">I_Cout_ss+C106</f>
        <v>0.25</v>
      </c>
      <c r="G106" s="27">
        <f t="shared" si="38"/>
        <v>0.25</v>
      </c>
      <c r="H106" s="29">
        <f t="shared" ref="H106:H110" si="50">G106-C106</f>
        <v>0.25</v>
      </c>
      <c r="I106" s="30">
        <f t="shared" si="39"/>
        <v>6.3461538461538679E-4</v>
      </c>
      <c r="J106" s="37">
        <f t="shared" si="44"/>
        <v>6.0923076923076892E-2</v>
      </c>
      <c r="K106" s="91">
        <f t="shared" si="40"/>
        <v>60.923076923076891</v>
      </c>
      <c r="L106" s="68">
        <f t="shared" si="41"/>
        <v>1</v>
      </c>
      <c r="M106" s="28">
        <f t="shared" ref="M106:M114" si="51">1/COUTMAX*(E106/2-C106)*1000</f>
        <v>25</v>
      </c>
      <c r="N106" s="28">
        <f t="shared" si="42"/>
        <v>4.027366863905336E-4</v>
      </c>
      <c r="O106" s="28">
        <f t="shared" si="43"/>
        <v>0.63461538461538414</v>
      </c>
      <c r="P106" s="28">
        <f t="shared" ref="P106:P114" si="52">(A106-B106)*(I_Cout_ss*$Q$2+C106)</f>
        <v>1.0096153846153837</v>
      </c>
      <c r="Q106" s="28">
        <f t="shared" ref="Q106:Q114" si="53">(A106-B106)*(I_Cout_ss*$R$2+C106)</f>
        <v>0.43269230769230732</v>
      </c>
    </row>
    <row r="107" spans="1:17" x14ac:dyDescent="0.2">
      <c r="A107" s="28">
        <f t="shared" si="45"/>
        <v>33</v>
      </c>
      <c r="B107" s="31">
        <f t="shared" si="46"/>
        <v>30.778846153846153</v>
      </c>
      <c r="C107" s="29">
        <f t="shared" si="47"/>
        <v>0</v>
      </c>
      <c r="D107" s="27">
        <f t="shared" si="48"/>
        <v>108.69565217391303</v>
      </c>
      <c r="E107" s="27">
        <f t="shared" si="37"/>
        <v>25</v>
      </c>
      <c r="F107" s="29">
        <f t="shared" si="49"/>
        <v>0.25</v>
      </c>
      <c r="G107" s="27">
        <f t="shared" si="38"/>
        <v>0.25</v>
      </c>
      <c r="H107" s="29">
        <f t="shared" si="50"/>
        <v>0.25</v>
      </c>
      <c r="I107" s="30">
        <f t="shared" ref="I107:I110" si="54">(COUTMAX/1000000)*(B107-B106)/H107</f>
        <v>6.3461538461537974E-4</v>
      </c>
      <c r="J107" s="37">
        <f t="shared" si="44"/>
        <v>6.1557692307692272E-2</v>
      </c>
      <c r="K107" s="91">
        <f t="shared" si="40"/>
        <v>61.557692307692271</v>
      </c>
      <c r="L107" s="68">
        <f t="shared" si="41"/>
        <v>1</v>
      </c>
      <c r="M107" s="28">
        <f t="shared" si="51"/>
        <v>25</v>
      </c>
      <c r="N107" s="28">
        <f t="shared" si="42"/>
        <v>3.5239460059171337E-4</v>
      </c>
      <c r="O107" s="28">
        <f t="shared" si="43"/>
        <v>0.55528846153846168</v>
      </c>
      <c r="P107" s="28">
        <f t="shared" si="52"/>
        <v>0.88341346153846168</v>
      </c>
      <c r="Q107" s="28">
        <f t="shared" si="53"/>
        <v>0.37860576923076927</v>
      </c>
    </row>
    <row r="108" spans="1:17" x14ac:dyDescent="0.2">
      <c r="A108" s="28">
        <f t="shared" si="45"/>
        <v>33</v>
      </c>
      <c r="B108" s="31">
        <f t="shared" si="46"/>
        <v>31.096153846153847</v>
      </c>
      <c r="C108" s="29">
        <f t="shared" si="47"/>
        <v>0</v>
      </c>
      <c r="D108" s="27">
        <f t="shared" si="48"/>
        <v>108.69565217391303</v>
      </c>
      <c r="E108" s="27">
        <f t="shared" si="37"/>
        <v>25</v>
      </c>
      <c r="F108" s="29">
        <f t="shared" si="49"/>
        <v>0.25</v>
      </c>
      <c r="G108" s="27">
        <f t="shared" si="38"/>
        <v>0.25</v>
      </c>
      <c r="H108" s="29">
        <f t="shared" si="50"/>
        <v>0.25</v>
      </c>
      <c r="I108" s="30">
        <f t="shared" si="54"/>
        <v>6.3461538461538679E-4</v>
      </c>
      <c r="J108" s="37">
        <f t="shared" si="44"/>
        <v>6.2192307692307658E-2</v>
      </c>
      <c r="K108" s="91">
        <f t="shared" si="40"/>
        <v>62.192307692307658</v>
      </c>
      <c r="L108" s="68">
        <f t="shared" si="41"/>
        <v>1</v>
      </c>
      <c r="M108" s="28">
        <f t="shared" si="51"/>
        <v>25</v>
      </c>
      <c r="N108" s="28">
        <f t="shared" si="42"/>
        <v>3.0205251479290034E-4</v>
      </c>
      <c r="O108" s="28">
        <f t="shared" si="43"/>
        <v>0.47596153846153832</v>
      </c>
      <c r="P108" s="28">
        <f t="shared" si="52"/>
        <v>0.75721153846153821</v>
      </c>
      <c r="Q108" s="28">
        <f t="shared" si="53"/>
        <v>0.32451923076923067</v>
      </c>
    </row>
    <row r="109" spans="1:17" x14ac:dyDescent="0.2">
      <c r="A109" s="28">
        <f t="shared" si="45"/>
        <v>33</v>
      </c>
      <c r="B109" s="31">
        <f t="shared" si="46"/>
        <v>31.413461538461537</v>
      </c>
      <c r="C109" s="29">
        <f t="shared" si="47"/>
        <v>0</v>
      </c>
      <c r="D109" s="27">
        <f t="shared" si="48"/>
        <v>108.69565217391303</v>
      </c>
      <c r="E109" s="27">
        <f t="shared" si="37"/>
        <v>25</v>
      </c>
      <c r="F109" s="29">
        <f t="shared" si="49"/>
        <v>0.25</v>
      </c>
      <c r="G109" s="27">
        <f t="shared" si="38"/>
        <v>0.25</v>
      </c>
      <c r="H109" s="29">
        <f t="shared" si="50"/>
        <v>0.25</v>
      </c>
      <c r="I109" s="30">
        <f t="shared" si="54"/>
        <v>6.3461538461537974E-4</v>
      </c>
      <c r="J109" s="37">
        <f t="shared" si="44"/>
        <v>6.2826923076923044E-2</v>
      </c>
      <c r="K109" s="91">
        <f t="shared" si="40"/>
        <v>62.826923076923045</v>
      </c>
      <c r="L109" s="68">
        <f t="shared" si="41"/>
        <v>1</v>
      </c>
      <c r="M109" s="28">
        <f t="shared" si="51"/>
        <v>25</v>
      </c>
      <c r="N109" s="28">
        <f t="shared" si="42"/>
        <v>2.5171042899408119E-4</v>
      </c>
      <c r="O109" s="28">
        <f t="shared" si="43"/>
        <v>0.39663461538461586</v>
      </c>
      <c r="P109" s="28">
        <f t="shared" si="52"/>
        <v>0.63100961538461608</v>
      </c>
      <c r="Q109" s="28">
        <f t="shared" si="53"/>
        <v>0.27043269230769262</v>
      </c>
    </row>
    <row r="110" spans="1:17" x14ac:dyDescent="0.2">
      <c r="A110" s="28">
        <f t="shared" si="45"/>
        <v>33</v>
      </c>
      <c r="B110" s="31">
        <f t="shared" si="46"/>
        <v>31.73076923076923</v>
      </c>
      <c r="C110" s="29">
        <f t="shared" si="47"/>
        <v>0</v>
      </c>
      <c r="D110" s="27">
        <f t="shared" si="48"/>
        <v>108.69565217391303</v>
      </c>
      <c r="E110" s="27">
        <f t="shared" si="37"/>
        <v>25</v>
      </c>
      <c r="F110" s="29">
        <f t="shared" si="49"/>
        <v>0.25</v>
      </c>
      <c r="G110" s="27">
        <f t="shared" si="38"/>
        <v>0.25</v>
      </c>
      <c r="H110" s="29">
        <f t="shared" si="50"/>
        <v>0.25</v>
      </c>
      <c r="I110" s="30">
        <f t="shared" si="54"/>
        <v>6.3461538461538679E-4</v>
      </c>
      <c r="J110" s="37">
        <f t="shared" si="44"/>
        <v>6.346153846153843E-2</v>
      </c>
      <c r="K110" s="91">
        <f t="shared" si="40"/>
        <v>63.461538461538431</v>
      </c>
      <c r="L110" s="68">
        <f t="shared" si="41"/>
        <v>1</v>
      </c>
      <c r="M110" s="28">
        <f t="shared" si="51"/>
        <v>25</v>
      </c>
      <c r="N110" s="28">
        <f t="shared" si="42"/>
        <v>2.013683431952671E-4</v>
      </c>
      <c r="O110" s="28">
        <f t="shared" si="43"/>
        <v>0.31730769230769251</v>
      </c>
      <c r="P110" s="28">
        <f t="shared" si="52"/>
        <v>0.50480769230769262</v>
      </c>
      <c r="Q110" s="28">
        <f t="shared" si="53"/>
        <v>0.21634615384615397</v>
      </c>
    </row>
    <row r="111" spans="1:17" x14ac:dyDescent="0.2">
      <c r="A111" s="28">
        <f t="shared" si="45"/>
        <v>33</v>
      </c>
      <c r="B111" s="31">
        <f t="shared" si="46"/>
        <v>32.04807692307692</v>
      </c>
      <c r="C111" s="29">
        <f>IF(B111&gt;=$H$2,IF($D$2="CC", $G$2, B111/$G$2), 0)</f>
        <v>0</v>
      </c>
      <c r="D111" s="27">
        <f>$B$2-B111*$J$2/($I$2*0.001)</f>
        <v>108.69565217391303</v>
      </c>
      <c r="E111" s="27">
        <f>$C$2</f>
        <v>25</v>
      </c>
      <c r="F111" s="29">
        <f>I_Cout_ss+C111</f>
        <v>0.25</v>
      </c>
      <c r="G111" s="27">
        <f>IF($F$2="YES", F111, E111)</f>
        <v>0.25</v>
      </c>
      <c r="H111" s="29">
        <f>G111-C111</f>
        <v>0.25</v>
      </c>
      <c r="I111" s="30">
        <f>(COUTMAX/1000000)*(B111-B110)/H111</f>
        <v>6.3461538461537974E-4</v>
      </c>
      <c r="J111" s="37">
        <f>J110+I111</f>
        <v>6.4096153846153817E-2</v>
      </c>
      <c r="K111" s="91">
        <f t="shared" si="40"/>
        <v>64.096153846153811</v>
      </c>
      <c r="L111" s="68">
        <f>H111/G111</f>
        <v>1</v>
      </c>
      <c r="M111" s="28">
        <f t="shared" si="51"/>
        <v>25</v>
      </c>
      <c r="N111" s="28">
        <f>I111*G111*(A111-B111)</f>
        <v>1.5102625739644906E-4</v>
      </c>
      <c r="O111" s="28">
        <f t="shared" si="43"/>
        <v>0.23798076923077005</v>
      </c>
      <c r="P111" s="28">
        <f t="shared" si="52"/>
        <v>0.37860576923077049</v>
      </c>
      <c r="Q111" s="28">
        <f t="shared" si="53"/>
        <v>0.16225961538461592</v>
      </c>
    </row>
    <row r="112" spans="1:17" x14ac:dyDescent="0.2">
      <c r="A112" s="28">
        <f t="shared" si="45"/>
        <v>33</v>
      </c>
      <c r="B112" s="31">
        <f t="shared" si="46"/>
        <v>32.365384615384613</v>
      </c>
      <c r="C112" s="29">
        <f>IF(B112&gt;=$H$2,IF($D$2="CC", $G$2, B112/$G$2), 0)</f>
        <v>0</v>
      </c>
      <c r="D112" s="27">
        <f t="shared" ref="D112:D113" si="55">$B$2-B112*$J$2/($I$2*0.001)</f>
        <v>108.69565217391303</v>
      </c>
      <c r="E112" s="27">
        <f>$C$2</f>
        <v>25</v>
      </c>
      <c r="F112" s="29">
        <f t="shared" ref="F112:F113" si="56">I_Cout_ss+C112</f>
        <v>0.25</v>
      </c>
      <c r="G112" s="27">
        <f t="shared" ref="G112:G113" si="57">IF($F$2="YES", F112, E112)</f>
        <v>0.25</v>
      </c>
      <c r="H112" s="29">
        <f t="shared" ref="H112:H113" si="58">G112-C112</f>
        <v>0.25</v>
      </c>
      <c r="I112" s="30">
        <f t="shared" ref="I112:I113" si="59">(COUTMAX/1000000)*(B112-B111)/H112</f>
        <v>6.3461538461538679E-4</v>
      </c>
      <c r="J112" s="37">
        <f t="shared" ref="J112:J113" si="60">J111+I112</f>
        <v>6.4730769230769203E-2</v>
      </c>
      <c r="K112" s="91">
        <f t="shared" si="40"/>
        <v>64.730769230769198</v>
      </c>
      <c r="L112" s="68">
        <f t="shared" ref="L112:L113" si="61">H112/G112</f>
        <v>1</v>
      </c>
      <c r="M112" s="28">
        <f t="shared" si="51"/>
        <v>25</v>
      </c>
      <c r="N112" s="28">
        <f t="shared" ref="N112:N113" si="62">I112*G112*(A112-B112)</f>
        <v>1.0068417159763382E-4</v>
      </c>
      <c r="O112" s="28">
        <f t="shared" si="43"/>
        <v>0.1586538461538467</v>
      </c>
      <c r="P112" s="28">
        <f t="shared" si="52"/>
        <v>0.25240384615384703</v>
      </c>
      <c r="Q112" s="28">
        <f t="shared" si="53"/>
        <v>0.10817307692307729</v>
      </c>
    </row>
    <row r="113" spans="1:17" x14ac:dyDescent="0.2">
      <c r="A113" s="28">
        <f t="shared" si="45"/>
        <v>33</v>
      </c>
      <c r="B113" s="31">
        <f t="shared" si="46"/>
        <v>32.682692307692307</v>
      </c>
      <c r="C113" s="29">
        <f>IF(B113&gt;=$H$2,IF($D$2="CC", $G$2, B113/$G$2), 0)</f>
        <v>0</v>
      </c>
      <c r="D113" s="27">
        <f t="shared" si="55"/>
        <v>108.69565217391303</v>
      </c>
      <c r="E113" s="27">
        <f>$C$2</f>
        <v>25</v>
      </c>
      <c r="F113" s="29">
        <f t="shared" si="56"/>
        <v>0.25</v>
      </c>
      <c r="G113" s="27">
        <f t="shared" si="57"/>
        <v>0.25</v>
      </c>
      <c r="H113" s="29">
        <f t="shared" si="58"/>
        <v>0.25</v>
      </c>
      <c r="I113" s="30">
        <f t="shared" si="59"/>
        <v>6.3461538461538679E-4</v>
      </c>
      <c r="J113" s="37">
        <f t="shared" si="60"/>
        <v>6.5365384615384589E-2</v>
      </c>
      <c r="K113" s="91">
        <f t="shared" si="40"/>
        <v>65.365384615384585</v>
      </c>
      <c r="L113" s="68">
        <f t="shared" si="61"/>
        <v>1</v>
      </c>
      <c r="M113" s="28">
        <f t="shared" si="51"/>
        <v>25</v>
      </c>
      <c r="N113" s="28">
        <f t="shared" si="62"/>
        <v>5.0342085798816911E-5</v>
      </c>
      <c r="O113" s="28">
        <f t="shared" si="43"/>
        <v>7.932692307692335E-2</v>
      </c>
      <c r="P113" s="28">
        <f t="shared" si="52"/>
        <v>0.12620192307692352</v>
      </c>
      <c r="Q113" s="28">
        <f t="shared" si="53"/>
        <v>5.4086538461538644E-2</v>
      </c>
    </row>
    <row r="114" spans="1:17" x14ac:dyDescent="0.2">
      <c r="A114" s="28">
        <f t="shared" si="45"/>
        <v>33</v>
      </c>
      <c r="B114" s="31">
        <f t="shared" si="46"/>
        <v>33</v>
      </c>
      <c r="C114" s="29">
        <f>IF(B114&gt;=$H$2,IF($D$2="CC", $G$2, B114/$G$2), 0)</f>
        <v>0</v>
      </c>
      <c r="D114" s="27">
        <f>$B$2-B114*$J$2/($I$2*0.001)</f>
        <v>108.69565217391303</v>
      </c>
      <c r="E114" s="27">
        <f>$C$2</f>
        <v>25</v>
      </c>
      <c r="F114" s="29">
        <f t="shared" ref="F114" si="63">I_Cout_ss+C114</f>
        <v>0.25</v>
      </c>
      <c r="G114" s="27">
        <f t="shared" ref="G114" si="64">IF($F$2="YES", F114, E114)</f>
        <v>0.25</v>
      </c>
      <c r="H114" s="29">
        <f t="shared" ref="H114" si="65">G114-C114</f>
        <v>0.25</v>
      </c>
      <c r="I114" s="30">
        <f t="shared" ref="I114" si="66">(COUTMAX/1000000)*(B114-B113)/H114</f>
        <v>6.3461538461538679E-4</v>
      </c>
      <c r="J114" s="37">
        <f t="shared" ref="J114" si="67">J113+I114</f>
        <v>6.5999999999999975E-2</v>
      </c>
      <c r="K114" s="91">
        <f t="shared" si="40"/>
        <v>65.999999999999972</v>
      </c>
      <c r="L114" s="68">
        <f t="shared" ref="L114" si="68">H114/G114</f>
        <v>1</v>
      </c>
      <c r="M114" s="28">
        <f t="shared" si="51"/>
        <v>25</v>
      </c>
      <c r="N114" s="28">
        <f t="shared" ref="N114" si="69">I114*G114*(A114-B114)</f>
        <v>0</v>
      </c>
      <c r="O114" s="28">
        <f t="shared" si="43"/>
        <v>0</v>
      </c>
      <c r="P114" s="28">
        <f t="shared" si="52"/>
        <v>0</v>
      </c>
      <c r="Q114" s="28">
        <f t="shared" si="53"/>
        <v>0</v>
      </c>
    </row>
    <row r="115" spans="1:17" x14ac:dyDescent="0.2">
      <c r="K115" s="92">
        <f>K114+0.5</f>
        <v>66.499999999999972</v>
      </c>
      <c r="N115" s="28">
        <v>0</v>
      </c>
      <c r="O115" s="28">
        <v>0</v>
      </c>
    </row>
  </sheetData>
  <mergeCells count="1">
    <mergeCell ref="X12:Y1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V70"/>
  <sheetViews>
    <sheetView topLeftCell="A14" zoomScale="85" zoomScaleNormal="85" workbookViewId="0">
      <selection activeCell="F39" sqref="F39"/>
    </sheetView>
  </sheetViews>
  <sheetFormatPr defaultRowHeight="12.75" x14ac:dyDescent="0.2"/>
  <cols>
    <col min="1" max="2" width="19.7109375" customWidth="1"/>
    <col min="3" max="3" width="13.140625" customWidth="1"/>
    <col min="4" max="4" width="16" customWidth="1"/>
    <col min="5" max="6" width="17.7109375" customWidth="1"/>
    <col min="7" max="7" width="31.5703125" customWidth="1"/>
    <col min="8" max="8" width="20" customWidth="1"/>
    <col min="13" max="13" width="12.85546875" customWidth="1"/>
    <col min="15" max="15" width="17.28515625" customWidth="1"/>
    <col min="17" max="17" width="13.28515625" customWidth="1"/>
    <col min="18" max="18" width="16.85546875" customWidth="1"/>
    <col min="20" max="20" width="13" customWidth="1"/>
    <col min="21" max="21" width="10.140625" customWidth="1"/>
  </cols>
  <sheetData>
    <row r="1" spans="1:22" x14ac:dyDescent="0.2">
      <c r="A1" s="127"/>
      <c r="B1" s="127"/>
      <c r="C1" s="129"/>
      <c r="D1" s="129"/>
      <c r="E1" s="129"/>
      <c r="F1" s="129"/>
      <c r="G1" s="129"/>
      <c r="H1" s="127"/>
      <c r="I1" s="127"/>
      <c r="J1" s="127"/>
      <c r="K1" s="127"/>
      <c r="L1" s="127"/>
      <c r="M1" s="127"/>
      <c r="N1" s="127"/>
      <c r="O1" s="127"/>
      <c r="P1" s="127"/>
      <c r="Q1" s="127"/>
      <c r="R1" s="127"/>
      <c r="S1" s="127"/>
      <c r="T1" s="127"/>
      <c r="U1" s="127"/>
      <c r="V1" s="127"/>
    </row>
    <row r="2" spans="1:22" x14ac:dyDescent="0.2">
      <c r="A2" s="134"/>
      <c r="B2" s="149"/>
      <c r="C2" s="299" t="s">
        <v>121</v>
      </c>
      <c r="D2" s="300"/>
      <c r="E2" s="300"/>
      <c r="F2" s="137"/>
      <c r="G2" s="137"/>
      <c r="H2" s="131" t="s">
        <v>142</v>
      </c>
      <c r="I2" s="129"/>
      <c r="J2" s="129"/>
      <c r="K2" s="129"/>
      <c r="L2" s="129"/>
      <c r="M2" s="129"/>
      <c r="N2" s="129"/>
      <c r="O2" s="135"/>
      <c r="P2" s="135"/>
      <c r="Q2" s="135"/>
      <c r="R2" s="135"/>
      <c r="S2" s="135"/>
      <c r="T2" s="135"/>
      <c r="U2" s="129"/>
      <c r="V2" s="129"/>
    </row>
    <row r="3" spans="1:22" x14ac:dyDescent="0.2">
      <c r="A3" s="134"/>
      <c r="B3" s="136" t="s">
        <v>168</v>
      </c>
      <c r="C3" s="136" t="s">
        <v>122</v>
      </c>
      <c r="D3" s="136" t="s">
        <v>123</v>
      </c>
      <c r="E3" s="136" t="s">
        <v>124</v>
      </c>
      <c r="F3" s="150" t="s">
        <v>266</v>
      </c>
      <c r="G3" s="140"/>
      <c r="H3" s="131" t="s">
        <v>140</v>
      </c>
      <c r="I3" s="137"/>
      <c r="J3" s="137"/>
      <c r="K3" s="137"/>
      <c r="L3" s="137"/>
      <c r="M3" s="137"/>
      <c r="N3" s="129"/>
      <c r="O3" s="137"/>
      <c r="P3" s="137"/>
      <c r="Q3" s="138"/>
      <c r="R3" s="138"/>
      <c r="S3" s="138"/>
      <c r="T3" s="138"/>
      <c r="U3" s="129"/>
      <c r="V3" s="129"/>
    </row>
    <row r="4" spans="1:22" ht="21.6" customHeight="1" x14ac:dyDescent="0.2">
      <c r="A4" s="136" t="s">
        <v>125</v>
      </c>
      <c r="B4" s="134">
        <f>'Design Calculator'!AN37</f>
        <v>170</v>
      </c>
      <c r="C4" s="139">
        <f>'Design Calculator'!$AN$38</f>
        <v>17</v>
      </c>
      <c r="D4" s="139">
        <f>'Design Calculator'!$AN$39</f>
        <v>3.5</v>
      </c>
      <c r="E4" s="139">
        <f>IF('Design Calculator'!$AN$40 = "NA", F4, 'Design Calculator'!$AN$40)</f>
        <v>2</v>
      </c>
      <c r="F4" s="139">
        <f>'Design Calculator'!AN41</f>
        <v>1.5</v>
      </c>
      <c r="G4" s="143"/>
      <c r="H4" s="131" t="s">
        <v>141</v>
      </c>
      <c r="I4" s="137"/>
      <c r="J4" s="137"/>
      <c r="K4" s="137"/>
      <c r="L4" s="138"/>
      <c r="M4" s="138"/>
      <c r="N4" s="129"/>
      <c r="O4" s="137"/>
      <c r="P4" s="137"/>
      <c r="Q4" s="138"/>
      <c r="R4" s="138"/>
      <c r="S4" s="138"/>
      <c r="T4" s="138"/>
      <c r="U4" s="129"/>
      <c r="V4" s="129"/>
    </row>
    <row r="5" spans="1:22" x14ac:dyDescent="0.2">
      <c r="A5" s="129"/>
      <c r="B5" s="127"/>
      <c r="C5" s="137"/>
      <c r="D5" s="138"/>
      <c r="E5" s="138"/>
      <c r="F5" s="138"/>
      <c r="G5" s="138"/>
      <c r="H5" s="129"/>
      <c r="I5" s="137"/>
      <c r="J5" s="137"/>
      <c r="K5" s="137"/>
      <c r="L5" s="138"/>
      <c r="M5" s="138"/>
      <c r="N5" s="301"/>
      <c r="O5" s="301"/>
      <c r="P5" s="301"/>
      <c r="Q5" s="138"/>
      <c r="R5" s="302"/>
      <c r="S5" s="303"/>
      <c r="T5" s="303"/>
      <c r="U5" s="129"/>
      <c r="V5" s="129"/>
    </row>
    <row r="6" spans="1:22" x14ac:dyDescent="0.2">
      <c r="A6" s="129"/>
      <c r="B6" s="127"/>
      <c r="C6" s="137"/>
      <c r="D6" s="138"/>
      <c r="E6" s="138"/>
      <c r="F6" s="138"/>
      <c r="G6" s="138"/>
      <c r="H6" s="129"/>
      <c r="I6" s="137"/>
      <c r="J6" s="137"/>
      <c r="K6" s="137"/>
      <c r="L6" s="138"/>
      <c r="M6" s="138"/>
      <c r="N6" s="129"/>
      <c r="O6" s="140"/>
      <c r="P6" s="129"/>
      <c r="Q6" s="129"/>
      <c r="R6" s="129"/>
      <c r="S6" s="129"/>
      <c r="T6" s="129"/>
      <c r="U6" s="129"/>
      <c r="V6" s="129"/>
    </row>
    <row r="7" spans="1:22" ht="15" x14ac:dyDescent="0.25">
      <c r="A7" s="129"/>
      <c r="B7" s="141" t="s">
        <v>261</v>
      </c>
      <c r="C7" s="127"/>
      <c r="D7" s="127"/>
      <c r="E7" s="127"/>
      <c r="F7" s="127"/>
      <c r="G7" s="148" t="s">
        <v>248</v>
      </c>
      <c r="H7" s="129"/>
      <c r="I7" s="127"/>
      <c r="J7" s="147"/>
      <c r="K7" s="138"/>
      <c r="L7" s="129"/>
      <c r="M7" s="129"/>
      <c r="N7" s="140"/>
      <c r="O7" s="140"/>
      <c r="P7" s="140"/>
      <c r="Q7" s="129"/>
      <c r="R7" s="129"/>
      <c r="S7" s="129"/>
      <c r="T7" s="142"/>
      <c r="U7" s="137"/>
      <c r="V7" s="129"/>
    </row>
    <row r="8" spans="1:22" ht="15" x14ac:dyDescent="0.25">
      <c r="A8" s="129"/>
      <c r="B8" s="131" t="s">
        <v>126</v>
      </c>
      <c r="C8" s="127">
        <f>IF('Design Calculator'!F53="No", 'Design Calculator'!$F$59,'Design Calculator'!F72)</f>
        <v>3.52</v>
      </c>
      <c r="D8" s="131" t="s">
        <v>5</v>
      </c>
      <c r="E8" s="127"/>
      <c r="F8" s="127"/>
      <c r="G8" s="131" t="s">
        <v>126</v>
      </c>
      <c r="H8" s="127">
        <f>Equations!F70</f>
        <v>32.682692307692299</v>
      </c>
      <c r="I8" s="127"/>
      <c r="J8" s="146"/>
      <c r="K8" s="138"/>
      <c r="L8" s="129"/>
      <c r="M8" s="129"/>
      <c r="N8" s="140"/>
      <c r="O8" s="129"/>
      <c r="P8" s="142"/>
      <c r="Q8" s="129"/>
      <c r="R8" s="129"/>
      <c r="S8" s="129"/>
      <c r="T8" s="142"/>
      <c r="U8" s="137"/>
      <c r="V8" s="129"/>
    </row>
    <row r="9" spans="1:22" ht="15" x14ac:dyDescent="0.25">
      <c r="A9" s="129"/>
      <c r="B9" s="131" t="s">
        <v>127</v>
      </c>
      <c r="C9" s="127">
        <f>VINMAX</f>
        <v>33</v>
      </c>
      <c r="D9" s="127" t="s">
        <v>50</v>
      </c>
      <c r="E9" s="127"/>
      <c r="F9" s="127"/>
      <c r="G9" s="131" t="s">
        <v>127</v>
      </c>
      <c r="H9" s="127">
        <f>VINMAX</f>
        <v>33</v>
      </c>
      <c r="I9" s="127"/>
      <c r="J9" s="127"/>
      <c r="K9" s="138"/>
      <c r="L9" s="129"/>
      <c r="M9" s="129"/>
      <c r="N9" s="140"/>
      <c r="O9" s="129"/>
      <c r="P9" s="142"/>
      <c r="Q9" s="129"/>
      <c r="R9" s="129"/>
      <c r="S9" s="129"/>
      <c r="T9" s="142"/>
      <c r="U9" s="129"/>
      <c r="V9" s="129"/>
    </row>
    <row r="10" spans="1:22" ht="15" x14ac:dyDescent="0.25">
      <c r="A10" s="129"/>
      <c r="B10" s="131" t="s">
        <v>128</v>
      </c>
      <c r="C10" s="127">
        <f>IF(C8&lt;10, IF(C8&lt;1, 0.1, 1), IF(C8&lt;100, 10, 100))</f>
        <v>1</v>
      </c>
      <c r="D10" s="131" t="s">
        <v>5</v>
      </c>
      <c r="E10" s="127"/>
      <c r="F10" s="127"/>
      <c r="G10" s="131" t="s">
        <v>128</v>
      </c>
      <c r="H10" s="127">
        <f>IF(H8&lt;10, IF(H8&lt;1, 0.1, 1), IF(H8&lt;100, 10, 100))</f>
        <v>10</v>
      </c>
      <c r="I10" s="127"/>
      <c r="J10" s="127"/>
      <c r="K10" s="138"/>
      <c r="L10" s="129"/>
      <c r="M10" s="129"/>
      <c r="N10" s="140"/>
      <c r="O10" s="129"/>
      <c r="P10" s="142"/>
      <c r="Q10" s="129"/>
      <c r="R10" s="129"/>
      <c r="S10" s="129"/>
      <c r="T10" s="142"/>
      <c r="U10" s="129"/>
      <c r="V10" s="129"/>
    </row>
    <row r="11" spans="1:22" ht="15" x14ac:dyDescent="0.25">
      <c r="A11" s="129"/>
      <c r="B11" s="131" t="s">
        <v>343</v>
      </c>
      <c r="C11" s="127">
        <f>IF('Design Calculator'!F40="NA", MIN(SOA!C10,1),SOA!C10)</f>
        <v>1</v>
      </c>
      <c r="D11" s="131"/>
      <c r="E11" s="127"/>
      <c r="F11" s="127"/>
      <c r="G11" s="131" t="s">
        <v>343</v>
      </c>
      <c r="H11" s="127">
        <f>IF('Design Calculator'!F40="NA", MIN(SOA!H10,1),SOA!H10)</f>
        <v>10</v>
      </c>
      <c r="I11" s="127"/>
      <c r="J11" s="127"/>
      <c r="K11" s="138"/>
      <c r="L11" s="129"/>
      <c r="M11" s="129"/>
      <c r="N11" s="129"/>
      <c r="O11" s="129"/>
      <c r="P11" s="142"/>
      <c r="Q11" s="129"/>
      <c r="R11" s="129"/>
      <c r="S11" s="129"/>
      <c r="T11" s="129"/>
      <c r="U11" s="129"/>
      <c r="V11" s="129"/>
    </row>
    <row r="12" spans="1:22" x14ac:dyDescent="0.2">
      <c r="A12" s="129"/>
      <c r="B12" s="131" t="s">
        <v>129</v>
      </c>
      <c r="C12" s="127">
        <f>C10*10</f>
        <v>10</v>
      </c>
      <c r="D12" s="131" t="s">
        <v>5</v>
      </c>
      <c r="E12" s="127"/>
      <c r="F12" s="127"/>
      <c r="G12" s="131" t="s">
        <v>344</v>
      </c>
      <c r="H12" s="127">
        <f>H10*10</f>
        <v>100</v>
      </c>
      <c r="I12" s="127"/>
      <c r="J12" s="127"/>
      <c r="K12" s="138"/>
      <c r="L12" s="129"/>
      <c r="M12" s="129"/>
      <c r="N12" s="129"/>
      <c r="O12" s="129"/>
      <c r="P12" s="129"/>
      <c r="Q12" s="129"/>
      <c r="R12" s="129"/>
      <c r="S12" s="129"/>
      <c r="T12" s="129"/>
      <c r="U12" s="129"/>
      <c r="V12" s="129"/>
    </row>
    <row r="13" spans="1:22" x14ac:dyDescent="0.2">
      <c r="A13" s="129"/>
      <c r="B13" s="131" t="s">
        <v>345</v>
      </c>
      <c r="C13" s="127">
        <f>IF('Design Calculator'!F41="NA", MIN(SOA!C12,10),SOA!C12)</f>
        <v>10</v>
      </c>
      <c r="D13" s="131"/>
      <c r="E13" s="127"/>
      <c r="F13" s="127"/>
      <c r="G13" s="131" t="s">
        <v>345</v>
      </c>
      <c r="H13" s="127">
        <f>IF('Design Calculator'!F41="NA", MIN(SOA!H12,10),SOA!H12)</f>
        <v>100</v>
      </c>
      <c r="I13" s="127"/>
      <c r="J13" s="127"/>
      <c r="K13" s="138"/>
      <c r="L13" s="129"/>
      <c r="M13" s="129"/>
      <c r="N13" s="129"/>
      <c r="O13" s="129"/>
      <c r="P13" s="129"/>
      <c r="Q13" s="129"/>
      <c r="R13" s="129"/>
      <c r="S13" s="129"/>
      <c r="T13" s="129"/>
      <c r="U13" s="129"/>
      <c r="V13" s="129"/>
    </row>
    <row r="14" spans="1:22" x14ac:dyDescent="0.2">
      <c r="A14" s="129"/>
      <c r="B14" s="131" t="s">
        <v>130</v>
      </c>
      <c r="C14" s="127">
        <f>IF(C11=0.1, B4, IF(C11=1, C4, IF(C11=10, D4, E4)))</f>
        <v>17</v>
      </c>
      <c r="D14" s="131" t="s">
        <v>17</v>
      </c>
      <c r="E14" s="127"/>
      <c r="F14" s="127"/>
      <c r="G14" s="131" t="s">
        <v>130</v>
      </c>
      <c r="H14" s="127">
        <f>IF(H11=0.1, B4, IF(H11=1, C4, IF(H11=10, D4, E4)))</f>
        <v>3.5</v>
      </c>
      <c r="I14" s="127"/>
      <c r="J14" s="127"/>
      <c r="K14" s="138"/>
      <c r="L14" s="129"/>
      <c r="M14" s="129"/>
      <c r="N14" s="129"/>
      <c r="O14" s="129"/>
      <c r="P14" s="129"/>
      <c r="Q14" s="129"/>
      <c r="R14" s="129"/>
      <c r="S14" s="129"/>
      <c r="T14" s="129"/>
      <c r="U14" s="129"/>
      <c r="V14" s="129"/>
    </row>
    <row r="15" spans="1:22" x14ac:dyDescent="0.2">
      <c r="A15" s="129"/>
      <c r="B15" s="131" t="s">
        <v>131</v>
      </c>
      <c r="C15" s="127">
        <f>IF(C13=1000, F4, IF(C13=1, C4, IF(C13=10, D4, E4)))</f>
        <v>3.5</v>
      </c>
      <c r="D15" s="131" t="s">
        <v>17</v>
      </c>
      <c r="E15" s="127"/>
      <c r="F15" s="127"/>
      <c r="G15" s="131" t="s">
        <v>131</v>
      </c>
      <c r="H15" s="127">
        <f>IF(H13=1000, F4, IF(H13=1, C4, IF(H13=10, D4, E4)))</f>
        <v>2</v>
      </c>
      <c r="I15" s="127"/>
      <c r="J15" s="127"/>
      <c r="K15" s="138"/>
      <c r="L15" s="129"/>
      <c r="M15" s="129"/>
      <c r="N15" s="129"/>
      <c r="O15" s="129"/>
      <c r="P15" s="129"/>
      <c r="Q15" s="129"/>
      <c r="R15" s="129"/>
      <c r="S15" s="129"/>
      <c r="T15" s="129"/>
      <c r="U15" s="129"/>
      <c r="V15" s="129"/>
    </row>
    <row r="16" spans="1:22" x14ac:dyDescent="0.2">
      <c r="A16" s="129"/>
      <c r="B16" s="127"/>
      <c r="C16" s="127"/>
      <c r="D16" s="127"/>
      <c r="E16" s="127"/>
      <c r="F16" s="127"/>
      <c r="G16" s="127"/>
      <c r="H16" s="127"/>
      <c r="I16" s="127"/>
      <c r="J16" s="127"/>
      <c r="K16" s="138"/>
      <c r="L16" s="129"/>
      <c r="M16" s="129"/>
      <c r="N16" s="129"/>
      <c r="O16" s="129"/>
      <c r="P16" s="129"/>
      <c r="Q16" s="129"/>
      <c r="R16" s="129"/>
      <c r="S16" s="129"/>
      <c r="T16" s="129"/>
      <c r="U16" s="129"/>
      <c r="V16" s="129"/>
    </row>
    <row r="17" spans="1:22" x14ac:dyDescent="0.2">
      <c r="A17" s="129"/>
      <c r="B17" s="131" t="s">
        <v>135</v>
      </c>
      <c r="C17" s="127"/>
      <c r="D17" s="127"/>
      <c r="E17" s="127"/>
      <c r="F17" s="127"/>
      <c r="G17" s="131" t="s">
        <v>135</v>
      </c>
      <c r="H17" s="127"/>
      <c r="I17" s="127"/>
      <c r="J17" s="127"/>
      <c r="K17" s="138"/>
      <c r="L17" s="129"/>
      <c r="M17" s="129"/>
      <c r="N17" s="129"/>
      <c r="O17" s="129"/>
      <c r="P17" s="129"/>
      <c r="Q17" s="129"/>
      <c r="R17" s="129"/>
      <c r="S17" s="129"/>
      <c r="T17" s="129"/>
      <c r="U17" s="129"/>
      <c r="V17" s="129"/>
    </row>
    <row r="18" spans="1:22" x14ac:dyDescent="0.2">
      <c r="A18" s="129"/>
      <c r="B18" s="131" t="s">
        <v>132</v>
      </c>
      <c r="C18" s="127">
        <f>C14/C11^C19</f>
        <v>17</v>
      </c>
      <c r="D18" s="127"/>
      <c r="E18" s="127"/>
      <c r="F18" s="131"/>
      <c r="G18" s="131" t="s">
        <v>132</v>
      </c>
      <c r="H18" s="127">
        <f>H14/H11^H19</f>
        <v>6.125</v>
      </c>
      <c r="I18" s="127"/>
      <c r="J18" s="127"/>
      <c r="K18" s="127"/>
      <c r="L18" s="127"/>
      <c r="M18" s="127"/>
      <c r="N18" s="127"/>
      <c r="O18" s="152"/>
      <c r="P18" s="152"/>
      <c r="Q18" s="129"/>
      <c r="R18" s="129"/>
      <c r="S18" s="129"/>
      <c r="T18" s="129"/>
      <c r="U18" s="129"/>
      <c r="V18" s="129"/>
    </row>
    <row r="19" spans="1:22" x14ac:dyDescent="0.2">
      <c r="A19" s="129"/>
      <c r="B19" s="131" t="s">
        <v>133</v>
      </c>
      <c r="C19" s="127">
        <f>LOG(C14/C15)/LOG(C11/C13)</f>
        <v>-0.68638087702799822</v>
      </c>
      <c r="D19" s="127"/>
      <c r="E19" s="127"/>
      <c r="F19" s="131"/>
      <c r="G19" s="131" t="s">
        <v>133</v>
      </c>
      <c r="H19" s="127">
        <f>IF(H14=H15,0.000000000001,LOG(H14/H15)/LOG(H11/H13))</f>
        <v>-0.24303804868629444</v>
      </c>
      <c r="I19" s="131" t="s">
        <v>351</v>
      </c>
      <c r="J19" s="127"/>
      <c r="K19" s="138"/>
      <c r="L19" s="129"/>
      <c r="M19" s="152"/>
      <c r="N19" s="152"/>
      <c r="O19" s="129"/>
      <c r="P19" s="129"/>
      <c r="Q19" s="129"/>
      <c r="R19" s="129"/>
      <c r="S19" s="129"/>
      <c r="T19" s="129"/>
      <c r="U19" s="129"/>
      <c r="V19" s="129"/>
    </row>
    <row r="20" spans="1:22" x14ac:dyDescent="0.2">
      <c r="A20" s="129"/>
      <c r="B20" s="131" t="s">
        <v>134</v>
      </c>
      <c r="C20" s="127">
        <f>C18*C8^C19</f>
        <v>7.1665888359187662</v>
      </c>
      <c r="D20" s="131" t="s">
        <v>17</v>
      </c>
      <c r="E20" s="127"/>
      <c r="F20" s="127"/>
      <c r="G20" s="131" t="s">
        <v>134</v>
      </c>
      <c r="H20" s="127">
        <f>H18*H8^H19</f>
        <v>2.6246369807948033</v>
      </c>
      <c r="I20" s="127"/>
      <c r="J20" s="127"/>
      <c r="K20" s="138"/>
      <c r="L20" s="129"/>
      <c r="M20" s="140"/>
      <c r="N20" s="129"/>
      <c r="O20" s="129"/>
      <c r="P20" s="129"/>
      <c r="Q20" s="129"/>
      <c r="R20" s="129"/>
      <c r="S20" s="129"/>
      <c r="T20" s="129"/>
      <c r="U20" s="129"/>
      <c r="V20" s="129"/>
    </row>
    <row r="21" spans="1:22" x14ac:dyDescent="0.2">
      <c r="A21" s="129"/>
      <c r="B21" s="127"/>
      <c r="C21" s="127"/>
      <c r="D21" s="127"/>
      <c r="E21" s="127"/>
      <c r="F21" s="127"/>
      <c r="G21" s="127"/>
      <c r="H21" s="127"/>
      <c r="I21" s="127"/>
      <c r="J21" s="127"/>
      <c r="K21" s="138"/>
      <c r="L21" s="129"/>
      <c r="M21" s="129"/>
      <c r="N21" s="137"/>
      <c r="O21" s="129"/>
      <c r="P21" s="129"/>
      <c r="Q21" s="129"/>
      <c r="R21" s="129"/>
      <c r="S21" s="129"/>
      <c r="T21" s="129"/>
      <c r="U21" s="129"/>
      <c r="V21" s="129"/>
    </row>
    <row r="22" spans="1:22" x14ac:dyDescent="0.2">
      <c r="A22" s="129"/>
      <c r="B22" s="132" t="s">
        <v>137</v>
      </c>
      <c r="C22" s="127">
        <f xml:space="preserve"> C20*C9</f>
        <v>236.49743158531928</v>
      </c>
      <c r="D22" s="131"/>
      <c r="E22" s="127"/>
      <c r="F22" s="127"/>
      <c r="G22" s="132" t="s">
        <v>137</v>
      </c>
      <c r="H22" s="127">
        <f>IF(H8&lt;1, H14, H20)*H9</f>
        <v>86.613020366228511</v>
      </c>
      <c r="I22" s="127"/>
      <c r="J22" s="127"/>
      <c r="K22" s="138"/>
      <c r="L22" s="129"/>
      <c r="M22" s="129"/>
      <c r="N22" s="129"/>
      <c r="O22" s="129"/>
      <c r="P22" s="129"/>
      <c r="Q22" s="129"/>
      <c r="R22" s="129"/>
      <c r="S22" s="129"/>
      <c r="T22" s="129"/>
      <c r="U22" s="129"/>
      <c r="V22" s="129"/>
    </row>
    <row r="23" spans="1:22" x14ac:dyDescent="0.2">
      <c r="A23" s="129"/>
      <c r="B23" s="127"/>
      <c r="C23" s="127"/>
      <c r="D23" s="127"/>
      <c r="E23" s="127"/>
      <c r="F23" s="127"/>
      <c r="G23" s="127"/>
      <c r="H23" s="127"/>
      <c r="I23" s="127"/>
      <c r="J23" s="127"/>
      <c r="K23" s="138"/>
      <c r="L23" s="129"/>
      <c r="M23" s="129"/>
      <c r="N23" s="129"/>
      <c r="O23" s="129"/>
      <c r="P23" s="129"/>
      <c r="Q23" s="129"/>
      <c r="R23" s="129"/>
      <c r="S23" s="129"/>
      <c r="T23" s="129"/>
      <c r="U23" s="129"/>
      <c r="V23" s="129"/>
    </row>
    <row r="24" spans="1:22" x14ac:dyDescent="0.2">
      <c r="A24" s="129"/>
      <c r="B24" s="127"/>
      <c r="C24" s="127"/>
      <c r="D24" s="127"/>
      <c r="E24" s="127"/>
      <c r="F24" s="127"/>
      <c r="G24" s="131" t="s">
        <v>269</v>
      </c>
      <c r="H24" s="127" t="str">
        <f>'Design Calculator'!F61</f>
        <v>No</v>
      </c>
      <c r="I24" s="127"/>
      <c r="J24" s="127"/>
      <c r="K24" s="138"/>
      <c r="L24" s="129"/>
      <c r="M24" s="129"/>
      <c r="N24" s="129"/>
      <c r="O24" s="137"/>
      <c r="P24" s="129"/>
      <c r="Q24" s="129"/>
      <c r="R24" s="129"/>
      <c r="S24" s="129"/>
      <c r="T24" s="129"/>
      <c r="U24" s="129"/>
      <c r="V24" s="129"/>
    </row>
    <row r="25" spans="1:22" x14ac:dyDescent="0.2">
      <c r="A25" s="129"/>
      <c r="B25" s="146" t="s">
        <v>143</v>
      </c>
      <c r="C25" s="127">
        <f>(TJMAX-TJ)/(TJMAX-25)</f>
        <v>0.52086799999999989</v>
      </c>
      <c r="D25" s="138"/>
      <c r="E25" s="138"/>
      <c r="F25" s="138"/>
      <c r="G25" s="131" t="s">
        <v>268</v>
      </c>
      <c r="H25" s="127">
        <f>IF(H24="Yes", TJ,TAMB)</f>
        <v>71</v>
      </c>
      <c r="I25" s="127"/>
      <c r="J25" s="127"/>
      <c r="K25" s="138"/>
      <c r="L25" s="129"/>
      <c r="M25" s="129"/>
      <c r="N25" s="129"/>
      <c r="O25" s="137"/>
      <c r="P25" s="129"/>
      <c r="Q25" s="129"/>
      <c r="R25" s="129"/>
      <c r="S25" s="129"/>
      <c r="T25" s="129"/>
      <c r="U25" s="129"/>
      <c r="V25" s="129"/>
    </row>
    <row r="26" spans="1:22" x14ac:dyDescent="0.2">
      <c r="A26" s="129"/>
      <c r="B26" s="144" t="s">
        <v>138</v>
      </c>
      <c r="C26" s="127">
        <f>IF((C22*C25)&lt;0,0.000000001,C22*C25)</f>
        <v>123.18394419498206</v>
      </c>
      <c r="D26" s="145" t="s">
        <v>51</v>
      </c>
      <c r="E26" s="138"/>
      <c r="F26" s="138"/>
      <c r="G26" s="127"/>
      <c r="H26" s="127"/>
      <c r="I26" s="127"/>
      <c r="J26" s="127"/>
      <c r="K26" s="138"/>
      <c r="L26" s="129"/>
      <c r="M26" s="129"/>
      <c r="N26" s="129"/>
      <c r="O26" s="129"/>
      <c r="P26" s="129"/>
      <c r="Q26" s="129"/>
      <c r="R26" s="129"/>
      <c r="S26" s="129"/>
      <c r="T26" s="129"/>
      <c r="U26" s="129"/>
      <c r="V26" s="129"/>
    </row>
    <row r="27" spans="1:22" x14ac:dyDescent="0.2">
      <c r="A27" s="129"/>
      <c r="B27" s="137"/>
      <c r="C27" s="137"/>
      <c r="D27" s="138"/>
      <c r="E27" s="138"/>
      <c r="F27" s="138"/>
      <c r="G27" s="146" t="s">
        <v>143</v>
      </c>
      <c r="H27" s="127">
        <f>(TJMAX-H25)/(TJMAX-25)</f>
        <v>0.63200000000000001</v>
      </c>
      <c r="I27" s="127"/>
      <c r="J27" s="127"/>
      <c r="K27" s="138"/>
      <c r="L27" s="129"/>
      <c r="M27" s="129"/>
      <c r="N27" s="129"/>
      <c r="O27" s="129"/>
      <c r="P27" s="129"/>
      <c r="Q27" s="129"/>
      <c r="R27" s="129"/>
      <c r="S27" s="129"/>
      <c r="T27" s="129"/>
      <c r="U27" s="129"/>
      <c r="V27" s="129"/>
    </row>
    <row r="28" spans="1:22" x14ac:dyDescent="0.2">
      <c r="A28" s="129"/>
      <c r="B28" s="137"/>
      <c r="C28" s="127"/>
      <c r="D28" s="138"/>
      <c r="E28" s="138"/>
      <c r="F28" s="138"/>
      <c r="G28" s="144" t="s">
        <v>138</v>
      </c>
      <c r="H28" s="127">
        <f>IF((H22*H27)&lt;0,0.000000001,H22*H27)</f>
        <v>54.739428871456418</v>
      </c>
      <c r="I28" s="127"/>
      <c r="J28" s="127"/>
      <c r="K28" s="138"/>
      <c r="L28" s="129"/>
      <c r="M28" s="129"/>
      <c r="N28" s="129"/>
      <c r="O28" s="129"/>
      <c r="P28" s="129"/>
      <c r="Q28" s="129"/>
      <c r="R28" s="129"/>
      <c r="S28" s="129"/>
      <c r="T28" s="129"/>
      <c r="U28" s="129"/>
      <c r="V28" s="129"/>
    </row>
    <row r="29" spans="1:22" x14ac:dyDescent="0.2">
      <c r="A29" s="129"/>
      <c r="B29" s="146" t="s">
        <v>300</v>
      </c>
      <c r="C29" s="127"/>
      <c r="D29" s="138"/>
      <c r="E29" s="138"/>
      <c r="F29" s="138"/>
      <c r="G29" s="127"/>
      <c r="H29" s="129"/>
      <c r="I29" s="143"/>
      <c r="J29" s="143"/>
      <c r="K29" s="143"/>
      <c r="L29" s="129"/>
      <c r="M29" s="129"/>
      <c r="N29" s="129"/>
      <c r="O29" s="129"/>
      <c r="P29" s="129"/>
      <c r="Q29" s="129"/>
      <c r="R29" s="129"/>
      <c r="S29" s="129"/>
      <c r="T29" s="129"/>
      <c r="U29" s="129"/>
      <c r="V29" s="129"/>
    </row>
    <row r="30" spans="1:22" x14ac:dyDescent="0.2">
      <c r="A30" s="129"/>
      <c r="B30" s="127"/>
      <c r="C30" s="141" t="s">
        <v>301</v>
      </c>
      <c r="D30" s="151" t="s">
        <v>302</v>
      </c>
      <c r="E30" s="151" t="s">
        <v>303</v>
      </c>
      <c r="F30" s="151" t="s">
        <v>304</v>
      </c>
      <c r="G30" s="138"/>
      <c r="H30" s="129"/>
      <c r="I30" s="143"/>
      <c r="J30" s="143"/>
      <c r="K30" s="143"/>
      <c r="L30" s="129"/>
      <c r="M30" s="129"/>
      <c r="N30" s="129"/>
      <c r="O30" s="129"/>
      <c r="P30" s="129"/>
      <c r="Q30" s="129"/>
      <c r="R30" s="129"/>
      <c r="S30" s="129"/>
      <c r="T30" s="129"/>
      <c r="U30" s="129"/>
      <c r="V30" s="129"/>
    </row>
    <row r="31" spans="1:22" x14ac:dyDescent="0.2">
      <c r="A31" s="127"/>
      <c r="B31" s="146" t="s">
        <v>305</v>
      </c>
      <c r="C31" s="133">
        <v>0.1</v>
      </c>
      <c r="D31" s="128">
        <v>1</v>
      </c>
      <c r="E31" s="138">
        <v>10</v>
      </c>
      <c r="F31" s="137">
        <v>100</v>
      </c>
      <c r="G31" s="148"/>
      <c r="H31" s="129"/>
      <c r="I31" s="129"/>
      <c r="J31" s="129"/>
      <c r="K31" s="129"/>
      <c r="L31" s="129"/>
      <c r="M31" s="129"/>
      <c r="N31" s="129"/>
      <c r="O31" s="129"/>
      <c r="P31" s="129"/>
      <c r="Q31" s="129"/>
      <c r="R31" s="129"/>
      <c r="S31" s="129"/>
      <c r="T31" s="129"/>
      <c r="U31" s="129"/>
      <c r="V31" s="129"/>
    </row>
    <row r="32" spans="1:22" x14ac:dyDescent="0.2">
      <c r="A32" s="127"/>
      <c r="B32" s="133" t="s">
        <v>306</v>
      </c>
      <c r="C32" s="128">
        <v>1</v>
      </c>
      <c r="D32" s="128">
        <v>10</v>
      </c>
      <c r="E32" s="138">
        <v>100</v>
      </c>
      <c r="F32" s="137">
        <v>1000</v>
      </c>
      <c r="G32" s="144"/>
      <c r="H32" s="129"/>
      <c r="I32" s="129"/>
      <c r="J32" s="129"/>
      <c r="K32" s="129"/>
      <c r="L32" s="129"/>
      <c r="M32" s="129"/>
      <c r="N32" s="129"/>
      <c r="O32" s="129"/>
      <c r="P32" s="129"/>
      <c r="Q32" s="129"/>
      <c r="R32" s="129"/>
      <c r="S32" s="129"/>
      <c r="T32" s="129"/>
      <c r="U32" s="129"/>
      <c r="V32" s="129"/>
    </row>
    <row r="33" spans="2:22" x14ac:dyDescent="0.2">
      <c r="B33" s="133" t="s">
        <v>132</v>
      </c>
      <c r="C33" s="128">
        <f>B4/(C31^C34)</f>
        <v>17</v>
      </c>
      <c r="D33" s="128">
        <f>C4/(D31^D34)</f>
        <v>17</v>
      </c>
      <c r="E33" s="128">
        <f>IF('Design Calculator'!F41="NA",D33,D4/(E31^E34))</f>
        <v>6.125</v>
      </c>
      <c r="F33" s="128">
        <f>IF('Design Calculator'!F41="NA", E33, E4/(F31^F34))</f>
        <v>3.5555555555555554</v>
      </c>
      <c r="G33" s="131"/>
      <c r="H33" s="129"/>
      <c r="I33" s="129"/>
      <c r="J33" s="129"/>
      <c r="K33" s="129"/>
      <c r="L33" s="129"/>
      <c r="M33" s="129"/>
      <c r="N33" s="129"/>
      <c r="O33" s="129"/>
      <c r="P33" s="129"/>
      <c r="Q33" s="129"/>
      <c r="R33" s="129"/>
      <c r="S33" s="129"/>
      <c r="T33" s="129"/>
      <c r="U33" s="129"/>
      <c r="V33" s="129"/>
    </row>
    <row r="34" spans="2:22" x14ac:dyDescent="0.2">
      <c r="B34" s="133" t="s">
        <v>133</v>
      </c>
      <c r="C34" s="130">
        <f>LOG(B4/C4)/LOG(C31/C32)</f>
        <v>-1</v>
      </c>
      <c r="D34" s="130">
        <f>LOG(C4/D4)/LOG(D31/D32)</f>
        <v>-0.68638087702799822</v>
      </c>
      <c r="E34" s="130">
        <f>IF('Design Calculator'!F41="NA", D34, LOG(D4/E4)/LOG(E31/E32))</f>
        <v>-0.24303804868629444</v>
      </c>
      <c r="F34" s="130">
        <f>IF('Design Calculator'!F41="NA",E34,LOG(E4/F4)/LOG(F31/F32))</f>
        <v>-0.12493873660829993</v>
      </c>
      <c r="G34" s="131"/>
      <c r="H34" s="129"/>
      <c r="I34" s="129"/>
      <c r="J34" s="129"/>
      <c r="K34" s="129"/>
      <c r="L34" s="129"/>
      <c r="M34" s="129"/>
      <c r="N34" s="129"/>
      <c r="O34" s="129"/>
      <c r="P34" s="129"/>
      <c r="Q34" s="129"/>
      <c r="R34" s="129"/>
      <c r="S34" s="129"/>
      <c r="T34" s="129"/>
      <c r="U34" s="129"/>
      <c r="V34" s="129"/>
    </row>
    <row r="35" spans="2:22" x14ac:dyDescent="0.2">
      <c r="B35" s="127"/>
      <c r="C35" s="127"/>
      <c r="D35" s="127"/>
      <c r="E35" s="138"/>
      <c r="F35" s="129"/>
      <c r="G35" s="131"/>
      <c r="H35" s="129"/>
      <c r="I35" s="129"/>
      <c r="J35" s="129"/>
      <c r="K35" s="129"/>
      <c r="L35" s="129"/>
      <c r="M35" s="129"/>
      <c r="N35" s="129"/>
      <c r="O35" s="129"/>
      <c r="P35" s="129"/>
      <c r="Q35" s="129"/>
      <c r="R35" s="129"/>
      <c r="S35" s="129"/>
      <c r="T35" s="129"/>
      <c r="U35" s="129"/>
      <c r="V35" s="129"/>
    </row>
    <row r="36" spans="2:22" ht="13.5" thickBot="1" x14ac:dyDescent="0.25">
      <c r="B36" s="48" t="s">
        <v>352</v>
      </c>
      <c r="C36" s="49"/>
      <c r="D36" s="127"/>
      <c r="E36" s="138"/>
      <c r="F36" s="129"/>
      <c r="G36" s="131"/>
      <c r="H36" s="129"/>
      <c r="I36" s="129"/>
      <c r="J36" s="129"/>
      <c r="K36" s="129"/>
      <c r="L36" s="129"/>
      <c r="M36" s="129"/>
      <c r="N36" s="129"/>
      <c r="O36" s="129"/>
      <c r="P36" s="129"/>
      <c r="Q36" s="129"/>
      <c r="R36" s="129"/>
      <c r="S36" s="129"/>
      <c r="T36" s="129"/>
      <c r="U36" s="129"/>
      <c r="V36" s="129"/>
    </row>
    <row r="37" spans="2:22" ht="14.25" x14ac:dyDescent="0.25">
      <c r="B37" s="50" t="s">
        <v>22</v>
      </c>
      <c r="C37" s="51" t="s">
        <v>68</v>
      </c>
      <c r="D37" s="127"/>
      <c r="E37" s="138"/>
      <c r="F37" s="129"/>
      <c r="G37" s="131"/>
      <c r="H37" s="129"/>
      <c r="I37" s="129"/>
      <c r="J37" s="129"/>
      <c r="K37" s="129"/>
      <c r="L37" s="129"/>
      <c r="M37" s="129"/>
      <c r="N37" s="129"/>
      <c r="O37" s="129"/>
      <c r="P37" s="129"/>
      <c r="Q37" s="129"/>
      <c r="R37" s="129"/>
      <c r="S37" s="129"/>
      <c r="T37" s="129"/>
      <c r="U37" s="129"/>
      <c r="V37" s="129"/>
    </row>
    <row r="38" spans="2:22" x14ac:dyDescent="0.2">
      <c r="B38" s="52" t="s">
        <v>6</v>
      </c>
      <c r="C38" s="53" t="s">
        <v>7</v>
      </c>
      <c r="D38" s="127"/>
      <c r="E38" s="138"/>
      <c r="F38" s="129"/>
      <c r="G38" s="131"/>
      <c r="H38" s="129"/>
      <c r="I38" s="129"/>
      <c r="J38" s="129"/>
      <c r="K38" s="129"/>
      <c r="L38" s="129"/>
      <c r="M38" s="129"/>
      <c r="N38" s="129"/>
      <c r="O38" s="129"/>
      <c r="P38" s="129"/>
      <c r="Q38" s="129"/>
      <c r="R38" s="129"/>
      <c r="S38" s="129"/>
      <c r="T38" s="129"/>
      <c r="U38" s="129"/>
      <c r="V38" s="129"/>
    </row>
    <row r="39" spans="2:22" x14ac:dyDescent="0.2">
      <c r="B39" s="54">
        <v>1</v>
      </c>
      <c r="C39" s="55">
        <f>SOA!$C$26/B39</f>
        <v>123.18394419498206</v>
      </c>
      <c r="D39" s="127"/>
      <c r="E39" s="138"/>
      <c r="F39" s="129"/>
      <c r="G39" s="127"/>
      <c r="H39" s="129"/>
      <c r="I39" s="129"/>
      <c r="J39" s="129"/>
      <c r="K39" s="129"/>
      <c r="L39" s="129"/>
      <c r="M39" s="129"/>
      <c r="N39" s="129"/>
      <c r="O39" s="129"/>
      <c r="P39" s="129"/>
      <c r="Q39" s="129"/>
      <c r="R39" s="129"/>
      <c r="S39" s="129"/>
      <c r="T39" s="129"/>
      <c r="U39" s="129"/>
      <c r="V39" s="129"/>
    </row>
    <row r="40" spans="2:22" x14ac:dyDescent="0.2">
      <c r="B40" s="54">
        <v>1.2</v>
      </c>
      <c r="C40" s="55">
        <f>SOA!$C$26/B40</f>
        <v>102.65328682915172</v>
      </c>
      <c r="D40" s="127"/>
      <c r="E40" s="138"/>
      <c r="F40" s="129"/>
      <c r="G40" s="131"/>
      <c r="H40" s="129"/>
      <c r="I40" s="129"/>
      <c r="J40" s="129"/>
      <c r="K40" s="129"/>
      <c r="L40" s="129"/>
      <c r="M40" s="129"/>
      <c r="N40" s="129"/>
      <c r="O40" s="129"/>
      <c r="P40" s="129"/>
      <c r="Q40" s="129"/>
      <c r="R40" s="129"/>
      <c r="S40" s="129"/>
      <c r="T40" s="129"/>
      <c r="U40" s="129"/>
      <c r="V40" s="129"/>
    </row>
    <row r="41" spans="2:22" x14ac:dyDescent="0.2">
      <c r="B41" s="54">
        <v>30</v>
      </c>
      <c r="C41" s="55">
        <f>SOA!$C$26/B41</f>
        <v>4.1061314731660685</v>
      </c>
      <c r="D41" s="127"/>
      <c r="E41" s="138"/>
      <c r="F41" s="129"/>
      <c r="G41" s="127"/>
      <c r="H41" s="129"/>
      <c r="I41" s="129"/>
      <c r="J41" s="129"/>
      <c r="K41" s="129"/>
      <c r="L41" s="129"/>
      <c r="M41" s="129"/>
      <c r="N41" s="129"/>
      <c r="O41" s="129"/>
      <c r="P41" s="129"/>
      <c r="Q41" s="129"/>
      <c r="R41" s="129"/>
      <c r="S41" s="129"/>
      <c r="T41" s="129"/>
      <c r="U41" s="129"/>
      <c r="V41" s="129"/>
    </row>
    <row r="42" spans="2:22" x14ac:dyDescent="0.2">
      <c r="B42" s="54"/>
      <c r="C42" s="55"/>
      <c r="D42" s="127"/>
      <c r="E42" s="138"/>
      <c r="F42" s="129"/>
      <c r="G42" s="131"/>
      <c r="H42" s="129"/>
      <c r="I42" s="129"/>
      <c r="J42" s="129"/>
      <c r="K42" s="129"/>
      <c r="L42" s="129"/>
      <c r="M42" s="129"/>
      <c r="N42" s="129"/>
      <c r="O42" s="129"/>
      <c r="P42" s="129"/>
      <c r="Q42" s="129"/>
      <c r="R42" s="129"/>
      <c r="S42" s="129"/>
      <c r="T42" s="129"/>
      <c r="U42" s="129"/>
      <c r="V42" s="129"/>
    </row>
    <row r="43" spans="2:22" ht="13.5" thickBot="1" x14ac:dyDescent="0.25">
      <c r="B43" s="56"/>
      <c r="C43" s="57"/>
      <c r="D43" s="127"/>
      <c r="E43" s="138"/>
      <c r="F43" s="129"/>
      <c r="G43" s="131"/>
      <c r="H43" s="129"/>
      <c r="I43" s="129"/>
      <c r="J43" s="129"/>
      <c r="K43" s="129"/>
      <c r="L43" s="129"/>
      <c r="M43" s="129"/>
      <c r="N43" s="129"/>
      <c r="O43" s="129"/>
      <c r="P43" s="129"/>
      <c r="Q43" s="129"/>
      <c r="R43" s="129"/>
      <c r="S43" s="129"/>
      <c r="T43" s="129"/>
      <c r="U43" s="129"/>
      <c r="V43" s="129"/>
    </row>
    <row r="44" spans="2:22" x14ac:dyDescent="0.2">
      <c r="B44" s="127"/>
      <c r="C44" s="127"/>
      <c r="D44" s="127"/>
      <c r="E44" s="138"/>
      <c r="F44" s="129"/>
      <c r="G44" s="131"/>
      <c r="H44" s="129"/>
      <c r="I44" s="129"/>
      <c r="J44" s="129"/>
      <c r="K44" s="129"/>
      <c r="L44" s="129"/>
      <c r="M44" s="129"/>
      <c r="N44" s="129"/>
      <c r="O44" s="129"/>
      <c r="P44" s="129"/>
      <c r="Q44" s="129"/>
      <c r="R44" s="129"/>
      <c r="S44" s="129"/>
      <c r="T44" s="129"/>
      <c r="U44" s="129"/>
      <c r="V44" s="129"/>
    </row>
    <row r="45" spans="2:22" x14ac:dyDescent="0.2">
      <c r="B45" s="127"/>
      <c r="C45" s="127"/>
      <c r="D45" s="127"/>
      <c r="E45" s="138"/>
      <c r="F45" s="129"/>
      <c r="G45" s="127"/>
      <c r="H45" s="129"/>
      <c r="I45" s="129"/>
      <c r="J45" s="129"/>
      <c r="K45" s="129"/>
      <c r="L45" s="129"/>
      <c r="M45" s="129"/>
      <c r="N45" s="129"/>
      <c r="O45" s="129"/>
      <c r="P45" s="129"/>
      <c r="Q45" s="129"/>
      <c r="R45" s="129"/>
      <c r="S45" s="129"/>
      <c r="T45" s="129"/>
      <c r="U45" s="129"/>
      <c r="V45" s="129"/>
    </row>
    <row r="46" spans="2:22" x14ac:dyDescent="0.2">
      <c r="B46" s="127"/>
      <c r="C46" s="127"/>
      <c r="D46" s="127"/>
      <c r="E46" s="138"/>
      <c r="F46" s="129"/>
      <c r="G46" s="132"/>
      <c r="H46" s="129"/>
      <c r="I46" s="129"/>
      <c r="J46" s="129"/>
      <c r="K46" s="129"/>
      <c r="L46" s="129"/>
      <c r="M46" s="129"/>
      <c r="N46" s="129"/>
      <c r="O46" s="129"/>
      <c r="P46" s="129"/>
      <c r="Q46" s="129"/>
      <c r="R46" s="129"/>
      <c r="S46" s="129"/>
      <c r="T46" s="129"/>
      <c r="U46" s="129"/>
      <c r="V46" s="129"/>
    </row>
    <row r="47" spans="2:22" x14ac:dyDescent="0.2">
      <c r="B47" s="127"/>
      <c r="C47" s="127"/>
      <c r="D47" s="127"/>
      <c r="E47" s="138"/>
      <c r="F47" s="129"/>
      <c r="G47" s="127"/>
      <c r="H47" s="129"/>
      <c r="I47" s="129"/>
      <c r="J47" s="129"/>
      <c r="K47" s="129"/>
      <c r="L47" s="129"/>
      <c r="M47" s="129"/>
      <c r="N47" s="129"/>
      <c r="O47" s="129"/>
      <c r="P47" s="129"/>
      <c r="Q47" s="129"/>
      <c r="R47" s="129"/>
      <c r="S47" s="129"/>
      <c r="T47" s="129"/>
      <c r="U47" s="129"/>
      <c r="V47" s="129"/>
    </row>
    <row r="48" spans="2:22" x14ac:dyDescent="0.2">
      <c r="B48" s="127"/>
      <c r="C48" s="127"/>
      <c r="D48" s="127"/>
      <c r="E48" s="138"/>
      <c r="F48" s="129"/>
      <c r="G48" s="127"/>
      <c r="H48" s="129"/>
      <c r="I48" s="129"/>
      <c r="J48" s="129"/>
      <c r="K48" s="129"/>
      <c r="L48" s="129"/>
      <c r="M48" s="129"/>
      <c r="N48" s="129"/>
      <c r="O48" s="129"/>
      <c r="P48" s="129"/>
      <c r="Q48" s="129"/>
      <c r="R48" s="129"/>
      <c r="S48" s="129"/>
      <c r="T48" s="129"/>
      <c r="U48" s="129"/>
      <c r="V48" s="129"/>
    </row>
    <row r="49" spans="1:22" x14ac:dyDescent="0.2">
      <c r="A49" s="127"/>
      <c r="B49" s="127"/>
      <c r="C49" s="127"/>
      <c r="D49" s="127"/>
      <c r="E49" s="138"/>
      <c r="F49" s="129"/>
      <c r="G49" s="146"/>
      <c r="H49" s="129"/>
      <c r="I49" s="129"/>
      <c r="J49" s="129"/>
      <c r="K49" s="129"/>
      <c r="L49" s="129"/>
      <c r="M49" s="129"/>
      <c r="N49" s="129"/>
      <c r="O49" s="129"/>
      <c r="P49" s="129"/>
      <c r="Q49" s="129"/>
      <c r="R49" s="129"/>
      <c r="S49" s="129"/>
      <c r="T49" s="129"/>
      <c r="U49" s="129"/>
      <c r="V49" s="129"/>
    </row>
    <row r="50" spans="1:22" x14ac:dyDescent="0.2">
      <c r="A50" s="127"/>
      <c r="B50" s="127"/>
      <c r="C50" s="127"/>
      <c r="D50" s="127"/>
      <c r="E50" s="138"/>
      <c r="F50" s="129"/>
      <c r="G50" s="144"/>
      <c r="H50" s="129"/>
      <c r="I50" s="129"/>
      <c r="J50" s="129"/>
      <c r="K50" s="129"/>
      <c r="L50" s="129"/>
      <c r="M50" s="129"/>
      <c r="N50" s="129"/>
      <c r="O50" s="129"/>
      <c r="P50" s="129"/>
      <c r="Q50" s="129"/>
      <c r="R50" s="129"/>
      <c r="S50" s="129"/>
      <c r="T50" s="129"/>
      <c r="U50" s="129"/>
      <c r="V50" s="129"/>
    </row>
    <row r="51" spans="1:22" x14ac:dyDescent="0.2">
      <c r="A51" s="127"/>
      <c r="B51" s="127"/>
      <c r="C51" s="127"/>
      <c r="D51" s="127"/>
      <c r="E51" s="138"/>
      <c r="F51" s="138"/>
      <c r="G51" s="138"/>
      <c r="H51" s="129"/>
      <c r="I51" s="129"/>
      <c r="J51" s="129"/>
      <c r="K51" s="129"/>
      <c r="L51" s="129"/>
      <c r="M51" s="129"/>
      <c r="N51" s="129"/>
      <c r="O51" s="129"/>
      <c r="P51" s="129"/>
      <c r="Q51" s="129"/>
      <c r="R51" s="129"/>
      <c r="S51" s="129"/>
      <c r="T51" s="129"/>
      <c r="U51" s="129"/>
      <c r="V51" s="129"/>
    </row>
    <row r="52" spans="1:22" x14ac:dyDescent="0.2">
      <c r="A52" s="127"/>
      <c r="B52" s="127"/>
      <c r="C52" s="127"/>
      <c r="D52" s="127"/>
      <c r="E52" s="138"/>
      <c r="F52" s="138"/>
      <c r="G52" s="138"/>
      <c r="H52" s="129"/>
      <c r="I52" s="129"/>
      <c r="J52" s="129"/>
      <c r="K52" s="129"/>
      <c r="L52" s="129"/>
      <c r="M52" s="129"/>
      <c r="N52" s="129"/>
      <c r="O52" s="129"/>
      <c r="P52" s="129"/>
      <c r="Q52" s="129"/>
      <c r="R52" s="129"/>
      <c r="S52" s="129"/>
      <c r="T52" s="129"/>
      <c r="U52" s="129"/>
      <c r="V52" s="129"/>
    </row>
    <row r="53" spans="1:22" x14ac:dyDescent="0.2">
      <c r="A53" s="129"/>
      <c r="B53" s="129"/>
      <c r="C53" s="137"/>
      <c r="D53" s="138"/>
      <c r="E53" s="138"/>
      <c r="F53" s="138"/>
      <c r="G53" s="138"/>
      <c r="H53" s="129"/>
      <c r="I53" s="129"/>
      <c r="J53" s="129"/>
      <c r="K53" s="129"/>
      <c r="L53" s="129"/>
      <c r="M53" s="129"/>
      <c r="N53" s="129"/>
      <c r="O53" s="129"/>
      <c r="P53" s="129"/>
      <c r="Q53" s="129"/>
      <c r="R53" s="129"/>
      <c r="S53" s="129"/>
      <c r="T53" s="129"/>
      <c r="U53" s="129"/>
      <c r="V53" s="129"/>
    </row>
    <row r="54" spans="1:22" x14ac:dyDescent="0.2">
      <c r="A54" s="129"/>
      <c r="B54" s="129"/>
      <c r="C54" s="137"/>
      <c r="D54" s="138"/>
      <c r="E54" s="138"/>
      <c r="F54" s="138"/>
      <c r="G54" s="138"/>
      <c r="H54" s="129"/>
      <c r="I54" s="129"/>
      <c r="J54" s="129"/>
      <c r="K54" s="129"/>
      <c r="L54" s="129"/>
      <c r="M54" s="129"/>
      <c r="N54" s="129"/>
      <c r="O54" s="129"/>
      <c r="P54" s="129"/>
      <c r="Q54" s="129"/>
      <c r="R54" s="129"/>
      <c r="S54" s="129"/>
      <c r="T54" s="129"/>
      <c r="U54" s="129"/>
      <c r="V54" s="129"/>
    </row>
    <row r="55" spans="1:22" x14ac:dyDescent="0.2">
      <c r="A55" s="129"/>
      <c r="B55" s="129"/>
      <c r="C55" s="137"/>
      <c r="D55" s="138"/>
      <c r="E55" s="138"/>
      <c r="F55" s="138"/>
      <c r="G55" s="138"/>
      <c r="H55" s="129"/>
      <c r="I55" s="129"/>
      <c r="J55" s="129"/>
      <c r="K55" s="129"/>
      <c r="L55" s="129"/>
      <c r="M55" s="129"/>
      <c r="N55" s="129"/>
      <c r="O55" s="129"/>
      <c r="P55" s="129"/>
      <c r="Q55" s="129"/>
      <c r="R55" s="129"/>
      <c r="S55" s="129"/>
      <c r="T55" s="129"/>
      <c r="U55" s="129"/>
      <c r="V55" s="129"/>
    </row>
    <row r="56" spans="1:22" x14ac:dyDescent="0.2">
      <c r="A56" s="129"/>
      <c r="B56" s="129"/>
      <c r="C56" s="137"/>
      <c r="D56" s="138"/>
      <c r="E56" s="138"/>
      <c r="F56" s="138"/>
      <c r="G56" s="138"/>
      <c r="H56" s="129"/>
      <c r="I56" s="127"/>
      <c r="J56" s="127"/>
      <c r="K56" s="127"/>
      <c r="L56" s="127"/>
      <c r="M56" s="127"/>
      <c r="N56" s="127"/>
      <c r="O56" s="127"/>
      <c r="P56" s="127"/>
      <c r="Q56" s="127"/>
      <c r="R56" s="127"/>
      <c r="S56" s="127"/>
      <c r="T56" s="127"/>
      <c r="U56" s="127"/>
      <c r="V56" s="127"/>
    </row>
    <row r="57" spans="1:22" x14ac:dyDescent="0.2">
      <c r="A57" s="129"/>
      <c r="B57" s="129"/>
      <c r="C57" s="137"/>
      <c r="D57" s="138"/>
      <c r="E57" s="138"/>
      <c r="F57" s="138"/>
      <c r="G57" s="138"/>
      <c r="H57" s="127"/>
      <c r="I57" s="127"/>
      <c r="J57" s="127"/>
      <c r="K57" s="127"/>
      <c r="L57" s="127"/>
      <c r="M57" s="127"/>
      <c r="N57" s="127"/>
      <c r="O57" s="127"/>
      <c r="P57" s="127"/>
      <c r="Q57" s="127"/>
      <c r="R57" s="127"/>
      <c r="S57" s="127"/>
      <c r="T57" s="127"/>
      <c r="U57" s="127"/>
      <c r="V57" s="127"/>
    </row>
    <row r="58" spans="1:22" x14ac:dyDescent="0.2">
      <c r="A58" s="129"/>
      <c r="B58" s="129"/>
      <c r="C58" s="137"/>
      <c r="D58" s="138"/>
      <c r="E58" s="138"/>
      <c r="F58" s="138"/>
      <c r="G58" s="138"/>
      <c r="H58" s="127"/>
      <c r="I58" s="127"/>
      <c r="J58" s="127"/>
      <c r="K58" s="127"/>
      <c r="L58" s="127"/>
      <c r="M58" s="127"/>
      <c r="N58" s="127"/>
      <c r="O58" s="127"/>
      <c r="P58" s="127"/>
      <c r="Q58" s="127"/>
      <c r="R58" s="127"/>
      <c r="S58" s="127"/>
      <c r="T58" s="127"/>
      <c r="U58" s="127"/>
      <c r="V58" s="127"/>
    </row>
    <row r="59" spans="1:22" x14ac:dyDescent="0.2">
      <c r="A59" s="129"/>
      <c r="B59" s="129"/>
      <c r="C59" s="137"/>
      <c r="D59" s="138"/>
      <c r="E59" s="138"/>
      <c r="F59" s="138"/>
      <c r="G59" s="138"/>
      <c r="H59" s="127"/>
      <c r="I59" s="127"/>
      <c r="J59" s="127"/>
      <c r="K59" s="127"/>
      <c r="L59" s="127"/>
      <c r="M59" s="127"/>
      <c r="N59" s="127"/>
      <c r="O59" s="127"/>
      <c r="P59" s="127"/>
      <c r="Q59" s="127"/>
      <c r="R59" s="127"/>
      <c r="S59" s="127"/>
      <c r="T59" s="127"/>
      <c r="U59" s="127"/>
      <c r="V59" s="127"/>
    </row>
    <row r="60" spans="1:22" x14ac:dyDescent="0.2">
      <c r="A60" s="129"/>
      <c r="B60" s="129"/>
      <c r="C60" s="137"/>
      <c r="D60" s="138"/>
      <c r="E60" s="138"/>
      <c r="F60" s="138"/>
      <c r="G60" s="138"/>
      <c r="H60" s="127"/>
      <c r="I60" s="127"/>
      <c r="J60" s="127"/>
      <c r="K60" s="127"/>
      <c r="L60" s="127"/>
      <c r="M60" s="127"/>
      <c r="N60" s="127"/>
      <c r="O60" s="127"/>
      <c r="P60" s="127"/>
      <c r="Q60" s="127"/>
      <c r="R60" s="127"/>
      <c r="S60" s="127"/>
      <c r="T60" s="127"/>
      <c r="U60" s="127"/>
      <c r="V60" s="127"/>
    </row>
    <row r="61" spans="1:22" x14ac:dyDescent="0.2">
      <c r="A61" s="129"/>
      <c r="B61" s="129"/>
      <c r="C61" s="137"/>
      <c r="D61" s="138"/>
      <c r="E61" s="138"/>
      <c r="F61" s="138"/>
      <c r="G61" s="138"/>
      <c r="H61" s="127"/>
      <c r="I61" s="127"/>
      <c r="J61" s="127"/>
      <c r="K61" s="127"/>
      <c r="L61" s="127"/>
      <c r="M61" s="127"/>
      <c r="N61" s="127"/>
      <c r="O61" s="127"/>
      <c r="P61" s="127"/>
      <c r="Q61" s="127"/>
      <c r="R61" s="127"/>
      <c r="S61" s="127"/>
      <c r="T61" s="127"/>
      <c r="U61" s="127"/>
      <c r="V61" s="127"/>
    </row>
    <row r="62" spans="1:22" x14ac:dyDescent="0.2">
      <c r="A62" s="129"/>
      <c r="B62" s="129"/>
      <c r="C62" s="137"/>
      <c r="D62" s="138"/>
      <c r="E62" s="138"/>
      <c r="F62" s="138"/>
      <c r="G62" s="138"/>
      <c r="H62" s="127"/>
      <c r="I62" s="127"/>
      <c r="J62" s="127"/>
      <c r="K62" s="127"/>
      <c r="L62" s="127"/>
      <c r="M62" s="127"/>
      <c r="N62" s="127"/>
      <c r="O62" s="127"/>
      <c r="P62" s="127"/>
      <c r="Q62" s="127"/>
      <c r="R62" s="127"/>
      <c r="S62" s="127"/>
      <c r="T62" s="127"/>
      <c r="U62" s="127"/>
      <c r="V62" s="127"/>
    </row>
    <row r="63" spans="1:22" x14ac:dyDescent="0.2">
      <c r="A63" s="129"/>
      <c r="B63" s="129"/>
      <c r="C63" s="137"/>
      <c r="D63" s="138"/>
      <c r="E63" s="138"/>
      <c r="F63" s="138"/>
      <c r="G63" s="138"/>
      <c r="H63" s="127"/>
      <c r="I63" s="127"/>
      <c r="J63" s="127"/>
      <c r="K63" s="127"/>
      <c r="L63" s="127"/>
      <c r="M63" s="127"/>
      <c r="N63" s="127"/>
      <c r="O63" s="127"/>
      <c r="P63" s="127"/>
      <c r="Q63" s="127"/>
      <c r="R63" s="127"/>
      <c r="S63" s="127"/>
      <c r="T63" s="127"/>
      <c r="U63" s="127"/>
      <c r="V63" s="127"/>
    </row>
    <row r="64" spans="1:22" x14ac:dyDescent="0.2">
      <c r="A64" s="129"/>
      <c r="B64" s="129"/>
      <c r="C64" s="137"/>
      <c r="D64" s="138"/>
      <c r="E64" s="138"/>
      <c r="F64" s="138"/>
      <c r="G64" s="138"/>
      <c r="H64" s="127"/>
      <c r="I64" s="127"/>
      <c r="J64" s="127"/>
      <c r="K64" s="127"/>
      <c r="L64" s="127"/>
      <c r="M64" s="127"/>
      <c r="N64" s="127"/>
      <c r="O64" s="127"/>
      <c r="P64" s="127"/>
      <c r="Q64" s="127"/>
      <c r="R64" s="127"/>
      <c r="S64" s="127"/>
      <c r="T64" s="127"/>
      <c r="U64" s="127"/>
      <c r="V64" s="127"/>
    </row>
    <row r="65" spans="1:7" x14ac:dyDescent="0.2">
      <c r="A65" s="129"/>
      <c r="B65" s="129"/>
      <c r="C65" s="137"/>
      <c r="D65" s="138"/>
      <c r="E65" s="138"/>
      <c r="F65" s="138"/>
      <c r="G65" s="138"/>
    </row>
    <row r="66" spans="1:7" x14ac:dyDescent="0.2">
      <c r="A66" s="129"/>
      <c r="B66" s="129"/>
      <c r="C66" s="137"/>
      <c r="D66" s="138"/>
      <c r="E66" s="138"/>
      <c r="F66" s="138"/>
      <c r="G66" s="138"/>
    </row>
    <row r="67" spans="1:7" x14ac:dyDescent="0.2">
      <c r="A67" s="129"/>
      <c r="B67" s="129"/>
      <c r="C67" s="137"/>
      <c r="D67" s="138"/>
      <c r="E67" s="138"/>
      <c r="F67" s="138"/>
      <c r="G67" s="138"/>
    </row>
    <row r="68" spans="1:7" x14ac:dyDescent="0.2">
      <c r="A68" s="129"/>
      <c r="B68" s="129"/>
      <c r="C68" s="137"/>
      <c r="D68" s="138"/>
      <c r="E68" s="138"/>
      <c r="F68" s="138"/>
      <c r="G68" s="138"/>
    </row>
    <row r="69" spans="1:7" x14ac:dyDescent="0.2">
      <c r="A69" s="129"/>
      <c r="B69" s="129"/>
      <c r="C69" s="137"/>
      <c r="D69" s="138"/>
      <c r="E69" s="138"/>
      <c r="F69" s="138"/>
      <c r="G69" s="138"/>
    </row>
    <row r="70" spans="1:7" x14ac:dyDescent="0.2">
      <c r="A70" s="129"/>
      <c r="B70" s="129"/>
      <c r="C70" s="127"/>
      <c r="D70" s="127"/>
      <c r="E70" s="127"/>
      <c r="F70" s="127"/>
      <c r="G70" s="127"/>
    </row>
  </sheetData>
  <mergeCells count="3">
    <mergeCell ref="C2:E2"/>
    <mergeCell ref="N5:P5"/>
    <mergeCell ref="R5:T5"/>
  </mergeCell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Y61"/>
  <sheetViews>
    <sheetView topLeftCell="A21" zoomScale="85" zoomScaleNormal="85" workbookViewId="0">
      <selection activeCell="M21" sqref="M21"/>
    </sheetView>
  </sheetViews>
  <sheetFormatPr defaultRowHeight="12.75" x14ac:dyDescent="0.2"/>
  <cols>
    <col min="4" max="4" width="37.42578125" customWidth="1"/>
    <col min="5" max="5" width="15.7109375" customWidth="1"/>
    <col min="9" max="9" width="13.28515625" customWidth="1"/>
    <col min="10" max="10" width="11.7109375" customWidth="1"/>
    <col min="11" max="11" width="11.42578125" customWidth="1"/>
    <col min="12" max="12" width="15" customWidth="1"/>
    <col min="13" max="13" width="13.7109375" customWidth="1"/>
  </cols>
  <sheetData>
    <row r="5" spans="3:4" x14ac:dyDescent="0.2">
      <c r="C5" s="118" t="s">
        <v>279</v>
      </c>
      <c r="D5" s="115"/>
    </row>
    <row r="7" spans="3:4" x14ac:dyDescent="0.2">
      <c r="C7" s="118" t="s">
        <v>280</v>
      </c>
      <c r="D7" s="115"/>
    </row>
    <row r="8" spans="3:4" x14ac:dyDescent="0.2">
      <c r="C8" s="118" t="s">
        <v>281</v>
      </c>
      <c r="D8" s="115"/>
    </row>
    <row r="10" spans="3:4" x14ac:dyDescent="0.2">
      <c r="C10" s="118" t="s">
        <v>282</v>
      </c>
      <c r="D10" s="115"/>
    </row>
    <row r="11" spans="3:4" x14ac:dyDescent="0.2">
      <c r="C11" s="118" t="s">
        <v>348</v>
      </c>
      <c r="D11" s="115"/>
    </row>
    <row r="12" spans="3:4" x14ac:dyDescent="0.2">
      <c r="C12" s="118" t="s">
        <v>349</v>
      </c>
      <c r="D12" s="115"/>
    </row>
    <row r="13" spans="3:4" x14ac:dyDescent="0.2">
      <c r="C13" s="118" t="s">
        <v>350</v>
      </c>
      <c r="D13" s="115"/>
    </row>
    <row r="14" spans="3:4" x14ac:dyDescent="0.2">
      <c r="C14" s="118" t="s">
        <v>293</v>
      </c>
      <c r="D14" s="118" t="s">
        <v>294</v>
      </c>
    </row>
    <row r="15" spans="3:4" ht="12" customHeight="1" x14ac:dyDescent="0.2">
      <c r="C15" s="118"/>
      <c r="D15" s="118" t="s">
        <v>296</v>
      </c>
    </row>
    <row r="16" spans="3:4" ht="12" customHeight="1" x14ac:dyDescent="0.2">
      <c r="C16" s="118"/>
      <c r="D16" s="118"/>
    </row>
    <row r="17" spans="3:13" ht="12" customHeight="1" x14ac:dyDescent="0.2">
      <c r="C17" s="118"/>
      <c r="D17" s="118"/>
      <c r="E17" s="115"/>
      <c r="F17" s="115"/>
      <c r="G17" s="115"/>
      <c r="H17" s="115"/>
      <c r="I17" s="115"/>
      <c r="J17" s="115"/>
      <c r="K17" s="115"/>
      <c r="L17" s="115"/>
      <c r="M17" s="115"/>
    </row>
    <row r="18" spans="3:13" ht="12" customHeight="1" x14ac:dyDescent="0.2">
      <c r="C18" s="118"/>
      <c r="D18" s="122" t="s">
        <v>311</v>
      </c>
      <c r="E18" s="115"/>
      <c r="F18" s="115"/>
      <c r="G18" s="115"/>
      <c r="H18" s="115"/>
      <c r="I18" s="115"/>
      <c r="J18" s="115"/>
      <c r="K18" s="115"/>
      <c r="L18" s="115"/>
      <c r="M18" s="115"/>
    </row>
    <row r="19" spans="3:13" x14ac:dyDescent="0.2">
      <c r="C19" s="118"/>
      <c r="D19" s="118" t="s">
        <v>309</v>
      </c>
      <c r="E19" s="115">
        <f>SOA!H25</f>
        <v>71</v>
      </c>
      <c r="F19" s="115"/>
      <c r="G19" s="115"/>
      <c r="H19" s="115"/>
      <c r="I19" s="115"/>
      <c r="J19" s="115"/>
      <c r="K19" s="115"/>
      <c r="L19" s="115"/>
      <c r="M19" s="115"/>
    </row>
    <row r="20" spans="3:13" x14ac:dyDescent="0.2">
      <c r="C20" s="115"/>
      <c r="D20" s="118" t="s">
        <v>291</v>
      </c>
      <c r="E20" s="115">
        <v>1.3</v>
      </c>
      <c r="F20" s="115"/>
      <c r="G20" s="115"/>
      <c r="H20" s="115"/>
      <c r="I20" s="123" t="s">
        <v>300</v>
      </c>
      <c r="J20" s="115"/>
      <c r="K20" s="121"/>
      <c r="L20" s="121"/>
      <c r="M20" s="121"/>
    </row>
    <row r="21" spans="3:13" x14ac:dyDescent="0.2">
      <c r="C21" s="115"/>
      <c r="D21" s="118" t="s">
        <v>283</v>
      </c>
      <c r="E21" s="115">
        <f>1/2*COUTMAX*VINMAX^2*0.000001</f>
        <v>0.27224999999999999</v>
      </c>
      <c r="F21" s="115"/>
      <c r="G21" s="115"/>
      <c r="H21" s="115"/>
      <c r="I21" s="115"/>
      <c r="J21" s="122" t="s">
        <v>301</v>
      </c>
      <c r="K21" s="126" t="s">
        <v>302</v>
      </c>
      <c r="L21" s="126" t="s">
        <v>303</v>
      </c>
      <c r="M21" s="126" t="s">
        <v>304</v>
      </c>
    </row>
    <row r="22" spans="3:13" x14ac:dyDescent="0.2">
      <c r="C22" s="115"/>
      <c r="D22" s="118" t="s">
        <v>285</v>
      </c>
      <c r="E22" s="115">
        <f>MAX(Equations!F68-E21,0)</f>
        <v>0</v>
      </c>
      <c r="F22" s="115"/>
      <c r="G22" s="115"/>
      <c r="H22" s="115"/>
      <c r="I22" s="123" t="s">
        <v>305</v>
      </c>
      <c r="J22" s="119">
        <v>0.1</v>
      </c>
      <c r="K22" s="116">
        <v>1</v>
      </c>
      <c r="L22" s="121">
        <v>10</v>
      </c>
      <c r="M22" s="120">
        <v>100</v>
      </c>
    </row>
    <row r="23" spans="3:13" x14ac:dyDescent="0.2">
      <c r="C23" s="115"/>
      <c r="D23" s="118" t="s">
        <v>286</v>
      </c>
      <c r="E23" s="115">
        <f>Equations!F67</f>
        <v>66</v>
      </c>
      <c r="F23" s="115"/>
      <c r="G23" s="115"/>
      <c r="H23" s="115"/>
      <c r="I23" s="119" t="s">
        <v>306</v>
      </c>
      <c r="J23" s="116">
        <v>1</v>
      </c>
      <c r="K23" s="116">
        <v>10</v>
      </c>
      <c r="L23" s="121">
        <v>100</v>
      </c>
      <c r="M23" s="120">
        <v>1000</v>
      </c>
    </row>
    <row r="24" spans="3:13" x14ac:dyDescent="0.2">
      <c r="C24" s="115"/>
      <c r="D24" s="115"/>
      <c r="E24" s="115"/>
      <c r="F24" s="115"/>
      <c r="G24" s="115"/>
      <c r="H24" s="115"/>
      <c r="I24" s="119" t="s">
        <v>132</v>
      </c>
      <c r="J24" s="116">
        <f>SOA!C33</f>
        <v>17</v>
      </c>
      <c r="K24" s="116">
        <f>SOA!D33</f>
        <v>17</v>
      </c>
      <c r="L24" s="116">
        <f>SOA!E33</f>
        <v>6.125</v>
      </c>
      <c r="M24" s="116">
        <f>SOA!F33</f>
        <v>3.5555555555555554</v>
      </c>
    </row>
    <row r="25" spans="3:13" x14ac:dyDescent="0.2">
      <c r="C25" s="115"/>
      <c r="D25" s="115" t="s">
        <v>139</v>
      </c>
      <c r="E25" s="115">
        <f>'Design Calculator'!F50</f>
        <v>0</v>
      </c>
      <c r="F25" s="115"/>
      <c r="G25" s="115"/>
      <c r="H25" s="115"/>
      <c r="I25" s="119" t="s">
        <v>133</v>
      </c>
      <c r="J25" s="114">
        <f>SOA!C34</f>
        <v>-1</v>
      </c>
      <c r="K25" s="114">
        <f>SOA!D34</f>
        <v>-0.68638087702799822</v>
      </c>
      <c r="L25" s="114">
        <f>SOA!E34</f>
        <v>-0.24303804868629444</v>
      </c>
      <c r="M25" s="114">
        <f>SOA!F34</f>
        <v>-0.12493873660829993</v>
      </c>
    </row>
    <row r="26" spans="3:13" x14ac:dyDescent="0.2">
      <c r="C26" s="115"/>
      <c r="D26" s="115" t="s">
        <v>85</v>
      </c>
      <c r="E26" s="115" t="str">
        <f>'Design Calculator'!F51</f>
        <v>Constant Current</v>
      </c>
      <c r="F26" s="115"/>
      <c r="G26" s="115"/>
      <c r="H26" s="115"/>
      <c r="I26" s="115"/>
      <c r="J26" s="115"/>
      <c r="K26" s="115"/>
      <c r="L26" s="115"/>
      <c r="M26" s="115"/>
    </row>
    <row r="27" spans="3:13" x14ac:dyDescent="0.2">
      <c r="C27" s="127"/>
      <c r="D27" s="115" t="s">
        <v>86</v>
      </c>
      <c r="E27" s="115">
        <f>'Design Calculator'!F52</f>
        <v>0</v>
      </c>
      <c r="F27" s="127"/>
      <c r="G27" s="127"/>
      <c r="H27" s="127"/>
      <c r="I27" s="127"/>
      <c r="J27" s="127"/>
      <c r="K27" s="127"/>
      <c r="L27" s="127"/>
      <c r="M27" s="127"/>
    </row>
    <row r="28" spans="3:13" x14ac:dyDescent="0.2">
      <c r="C28" s="115"/>
      <c r="F28" s="115"/>
      <c r="I28" s="115"/>
      <c r="J28" s="115"/>
      <c r="K28" s="124" t="s">
        <v>322</v>
      </c>
      <c r="L28" s="122" t="s">
        <v>99</v>
      </c>
      <c r="M28" s="115"/>
    </row>
    <row r="29" spans="3:13" x14ac:dyDescent="0.2">
      <c r="C29" s="115"/>
      <c r="D29" s="115" t="s">
        <v>374</v>
      </c>
      <c r="E29" s="115">
        <f>'Design Calculator'!F49/VINMAX/3</f>
        <v>1.097935880544576</v>
      </c>
      <c r="F29" s="115"/>
      <c r="I29" s="115" t="s">
        <v>320</v>
      </c>
      <c r="J29" s="115"/>
      <c r="K29" s="117">
        <f>SUM(E60:X60)</f>
        <v>2.1958717610891521</v>
      </c>
      <c r="L29" s="117">
        <f>IF(K29=0, "NA", K29/AVERAGE(1, E33))</f>
        <v>2.3739903069027539</v>
      </c>
      <c r="M29" s="115"/>
    </row>
    <row r="30" spans="3:13" x14ac:dyDescent="0.2">
      <c r="C30" s="115"/>
      <c r="D30" s="118" t="s">
        <v>346</v>
      </c>
      <c r="E30" s="115">
        <f>dv_dt_recommendations!E29/(0.001*COUTMAX)</f>
        <v>2.1958717610891521</v>
      </c>
      <c r="F30" s="115"/>
      <c r="I30" s="115" t="s">
        <v>321</v>
      </c>
      <c r="J30" s="115"/>
      <c r="K30" s="117">
        <f>SUM(E61:X61)</f>
        <v>0.1</v>
      </c>
      <c r="L30" s="117">
        <f>IF(K30=0, "NA", K30*AVERAGE(1,E33))</f>
        <v>9.2497082010162657E-2</v>
      </c>
      <c r="M30" s="115"/>
    </row>
    <row r="31" spans="3:13" x14ac:dyDescent="0.2">
      <c r="C31" s="115"/>
      <c r="D31" s="118" t="s">
        <v>347</v>
      </c>
      <c r="E31" s="115">
        <v>0.1</v>
      </c>
      <c r="F31" s="115"/>
      <c r="G31" s="115"/>
      <c r="H31" s="115"/>
      <c r="I31" s="115"/>
      <c r="J31" s="115"/>
      <c r="K31" s="115"/>
      <c r="L31" s="115"/>
      <c r="M31" s="115"/>
    </row>
    <row r="32" spans="3:13" x14ac:dyDescent="0.2">
      <c r="C32" s="115"/>
      <c r="D32" s="118" t="s">
        <v>312</v>
      </c>
      <c r="E32" s="115">
        <v>20</v>
      </c>
      <c r="F32" s="115"/>
      <c r="G32" s="115"/>
      <c r="H32" s="115"/>
      <c r="I32" s="115"/>
      <c r="J32" s="115"/>
      <c r="K32" s="115"/>
      <c r="L32" s="115"/>
      <c r="M32" s="115"/>
    </row>
    <row r="33" spans="3:24" x14ac:dyDescent="0.2">
      <c r="C33" s="115"/>
      <c r="D33" s="118" t="s">
        <v>313</v>
      </c>
      <c r="E33" s="115">
        <f>(E31/E30)^(1/(E32-1))</f>
        <v>0.84994164020325291</v>
      </c>
      <c r="F33" s="115"/>
      <c r="G33" s="115"/>
      <c r="H33" s="115"/>
      <c r="I33" s="115"/>
      <c r="J33" s="115"/>
      <c r="K33" s="115"/>
      <c r="L33" s="115"/>
      <c r="M33" s="115"/>
    </row>
    <row r="34" spans="3:24" x14ac:dyDescent="0.2">
      <c r="C34" s="127"/>
      <c r="D34" s="131"/>
      <c r="E34" s="127"/>
      <c r="F34" s="127"/>
      <c r="G34" s="127"/>
      <c r="H34" s="127"/>
      <c r="I34" s="127"/>
      <c r="J34" s="127"/>
      <c r="K34" s="127"/>
      <c r="L34" s="127"/>
      <c r="M34" s="127"/>
    </row>
    <row r="35" spans="3:24" x14ac:dyDescent="0.2">
      <c r="D35" s="118" t="s">
        <v>373</v>
      </c>
      <c r="E35" s="115"/>
      <c r="F35" s="115"/>
      <c r="G35" s="115"/>
      <c r="H35" s="115"/>
      <c r="I35" s="115"/>
      <c r="J35" s="115"/>
      <c r="K35" s="115"/>
      <c r="L35" s="115"/>
      <c r="M35" s="115"/>
      <c r="N35" s="115"/>
      <c r="O35" s="115"/>
      <c r="P35" s="115"/>
      <c r="Q35" s="115"/>
      <c r="R35" s="115"/>
      <c r="S35" s="115"/>
      <c r="T35" s="115"/>
      <c r="U35" s="115"/>
      <c r="V35" s="115"/>
      <c r="W35" s="115"/>
      <c r="X35" s="115"/>
    </row>
    <row r="36" spans="3:24" x14ac:dyDescent="0.2">
      <c r="D36" s="115"/>
      <c r="E36" s="115">
        <v>1</v>
      </c>
      <c r="F36" s="115">
        <v>2</v>
      </c>
      <c r="G36" s="115">
        <v>3</v>
      </c>
      <c r="H36" s="115">
        <v>4</v>
      </c>
      <c r="I36" s="115">
        <v>5</v>
      </c>
      <c r="J36" s="115">
        <v>6</v>
      </c>
      <c r="K36" s="115">
        <v>7</v>
      </c>
      <c r="L36" s="115">
        <v>8</v>
      </c>
      <c r="M36" s="115">
        <v>9</v>
      </c>
      <c r="N36" s="115">
        <v>10</v>
      </c>
      <c r="O36" s="115">
        <v>11</v>
      </c>
      <c r="P36" s="115">
        <v>12</v>
      </c>
      <c r="Q36" s="115">
        <v>13</v>
      </c>
      <c r="R36" s="115">
        <v>14</v>
      </c>
      <c r="S36" s="115">
        <v>15</v>
      </c>
      <c r="T36" s="115">
        <v>16</v>
      </c>
      <c r="U36" s="115">
        <v>17</v>
      </c>
      <c r="V36" s="115">
        <v>18</v>
      </c>
      <c r="W36" s="115">
        <v>19</v>
      </c>
      <c r="X36" s="115">
        <v>20</v>
      </c>
    </row>
    <row r="37" spans="3:24" x14ac:dyDescent="0.2">
      <c r="D37" s="125" t="s">
        <v>284</v>
      </c>
      <c r="E37" s="125">
        <f>E30</f>
        <v>2.1958717610891521</v>
      </c>
      <c r="F37" s="125">
        <f t="shared" ref="F37:X37" si="0">E37*$E$33</f>
        <v>1.8663628462961195</v>
      </c>
      <c r="G37" s="125">
        <f t="shared" si="0"/>
        <v>1.5862994987953354</v>
      </c>
      <c r="H37" s="125">
        <f t="shared" si="0"/>
        <v>1.3482619978597055</v>
      </c>
      <c r="I37" s="125">
        <f t="shared" si="0"/>
        <v>1.1459440138845927</v>
      </c>
      <c r="J37" s="125">
        <f t="shared" si="0"/>
        <v>0.97398553474216987</v>
      </c>
      <c r="K37" s="125">
        <f t="shared" si="0"/>
        <v>0.82783086293300223</v>
      </c>
      <c r="L37" s="125">
        <f t="shared" si="0"/>
        <v>0.70360792145215012</v>
      </c>
      <c r="M37" s="125">
        <f t="shared" si="0"/>
        <v>0.59802567081904201</v>
      </c>
      <c r="N37" s="125">
        <f t="shared" si="0"/>
        <v>0.50828691953958716</v>
      </c>
      <c r="O37" s="125">
        <f t="shared" si="0"/>
        <v>0.43201421808733553</v>
      </c>
      <c r="P37" s="125">
        <f t="shared" si="0"/>
        <v>0.36718687311227577</v>
      </c>
      <c r="Q37" s="125">
        <f t="shared" si="0"/>
        <v>0.3120874131941514</v>
      </c>
      <c r="R37" s="125">
        <f t="shared" si="0"/>
        <v>0.26525608785702737</v>
      </c>
      <c r="S37" s="125">
        <f t="shared" si="0"/>
        <v>0.22545219438709999</v>
      </c>
      <c r="T37" s="125">
        <f t="shared" si="0"/>
        <v>0.19162120788479436</v>
      </c>
      <c r="U37" s="125">
        <f t="shared" si="0"/>
        <v>0.16286684372733062</v>
      </c>
      <c r="V37" s="125">
        <f t="shared" si="0"/>
        <v>0.13842731229233426</v>
      </c>
      <c r="W37" s="125">
        <f t="shared" si="0"/>
        <v>0.1176551368586745</v>
      </c>
      <c r="X37" s="125">
        <f t="shared" si="0"/>
        <v>0.1</v>
      </c>
    </row>
    <row r="38" spans="3:24" x14ac:dyDescent="0.2">
      <c r="D38" s="118" t="s">
        <v>287</v>
      </c>
      <c r="E38" s="115">
        <f t="shared" ref="E38:X38" si="1">VINMAX/E37</f>
        <v>15.028200000000002</v>
      </c>
      <c r="F38" s="115">
        <f t="shared" si="1"/>
        <v>17.681449277395323</v>
      </c>
      <c r="G38" s="115">
        <f t="shared" si="1"/>
        <v>20.803133345916581</v>
      </c>
      <c r="H38" s="115">
        <f t="shared" si="1"/>
        <v>24.475955009030702</v>
      </c>
      <c r="I38" s="115">
        <f t="shared" si="1"/>
        <v>28.797218363342669</v>
      </c>
      <c r="J38" s="115">
        <f t="shared" si="1"/>
        <v>33.881406676882165</v>
      </c>
      <c r="K38" s="115">
        <f t="shared" si="1"/>
        <v>39.863215395329789</v>
      </c>
      <c r="L38" s="115">
        <f t="shared" si="1"/>
        <v>46.901120629643472</v>
      </c>
      <c r="M38" s="115">
        <f t="shared" si="1"/>
        <v>55.181577665059045</v>
      </c>
      <c r="N38" s="115">
        <f t="shared" si="1"/>
        <v>64.923960722600981</v>
      </c>
      <c r="O38" s="115">
        <f t="shared" si="1"/>
        <v>76.386374842248259</v>
      </c>
      <c r="P38" s="115">
        <f t="shared" si="1"/>
        <v>89.872493862027298</v>
      </c>
      <c r="Q38" s="115">
        <f t="shared" si="1"/>
        <v>105.73960565167205</v>
      </c>
      <c r="R38" s="115">
        <f t="shared" si="1"/>
        <v>124.40807774329745</v>
      </c>
      <c r="S38" s="115">
        <f t="shared" si="1"/>
        <v>146.3724941321228</v>
      </c>
      <c r="T38" s="115">
        <f t="shared" si="1"/>
        <v>172.21475829460437</v>
      </c>
      <c r="U38" s="115">
        <f t="shared" si="1"/>
        <v>202.61950956235228</v>
      </c>
      <c r="V38" s="115">
        <f t="shared" si="1"/>
        <v>238.39226127796061</v>
      </c>
      <c r="W38" s="115">
        <f t="shared" si="1"/>
        <v>280.48074126707348</v>
      </c>
      <c r="X38" s="115">
        <f t="shared" si="1"/>
        <v>330</v>
      </c>
    </row>
    <row r="39" spans="3:24" x14ac:dyDescent="0.2">
      <c r="D39" s="118" t="s">
        <v>288</v>
      </c>
      <c r="E39" s="115">
        <f t="shared" ref="E39:X39" si="2">E37*COUTMAX/1000</f>
        <v>1.097935880544576</v>
      </c>
      <c r="F39" s="115">
        <f t="shared" si="2"/>
        <v>0.93318142314805974</v>
      </c>
      <c r="G39" s="115">
        <f t="shared" si="2"/>
        <v>0.79314974939766769</v>
      </c>
      <c r="H39" s="115">
        <f t="shared" si="2"/>
        <v>0.67413099892985273</v>
      </c>
      <c r="I39" s="115">
        <f t="shared" si="2"/>
        <v>0.57297200694229633</v>
      </c>
      <c r="J39" s="115">
        <f t="shared" si="2"/>
        <v>0.48699276737108493</v>
      </c>
      <c r="K39" s="115">
        <f t="shared" si="2"/>
        <v>0.41391543146650112</v>
      </c>
      <c r="L39" s="115">
        <f t="shared" si="2"/>
        <v>0.35180396072607506</v>
      </c>
      <c r="M39" s="115">
        <f t="shared" si="2"/>
        <v>0.29901283540952101</v>
      </c>
      <c r="N39" s="115">
        <f t="shared" si="2"/>
        <v>0.25414345976979358</v>
      </c>
      <c r="O39" s="115">
        <f t="shared" si="2"/>
        <v>0.21600710904366777</v>
      </c>
      <c r="P39" s="115">
        <f t="shared" si="2"/>
        <v>0.18359343655613788</v>
      </c>
      <c r="Q39" s="115">
        <f t="shared" si="2"/>
        <v>0.1560437065970757</v>
      </c>
      <c r="R39" s="115">
        <f t="shared" si="2"/>
        <v>0.13262804392851368</v>
      </c>
      <c r="S39" s="115">
        <f t="shared" si="2"/>
        <v>0.11272609719354999</v>
      </c>
      <c r="T39" s="115">
        <f t="shared" si="2"/>
        <v>9.5810603942397182E-2</v>
      </c>
      <c r="U39" s="115">
        <f t="shared" si="2"/>
        <v>8.1433421863665312E-2</v>
      </c>
      <c r="V39" s="115">
        <f t="shared" si="2"/>
        <v>6.9213656146167132E-2</v>
      </c>
      <c r="W39" s="115">
        <f t="shared" si="2"/>
        <v>5.882756842933725E-2</v>
      </c>
      <c r="X39" s="115">
        <f t="shared" si="2"/>
        <v>0.05</v>
      </c>
    </row>
    <row r="40" spans="3:24" x14ac:dyDescent="0.2">
      <c r="D40" s="118" t="s">
        <v>289</v>
      </c>
      <c r="E40" s="115">
        <f t="shared" ref="E40:X40" si="3">$E$21+$E$22*E38/$E$23</f>
        <v>0.27224999999999999</v>
      </c>
      <c r="F40" s="115">
        <f t="shared" si="3"/>
        <v>0.27224999999999999</v>
      </c>
      <c r="G40" s="115">
        <f t="shared" si="3"/>
        <v>0.27224999999999999</v>
      </c>
      <c r="H40" s="115">
        <f t="shared" si="3"/>
        <v>0.27224999999999999</v>
      </c>
      <c r="I40" s="115">
        <f t="shared" si="3"/>
        <v>0.27224999999999999</v>
      </c>
      <c r="J40" s="115">
        <f t="shared" si="3"/>
        <v>0.27224999999999999</v>
      </c>
      <c r="K40" s="115">
        <f t="shared" si="3"/>
        <v>0.27224999999999999</v>
      </c>
      <c r="L40" s="115">
        <f t="shared" si="3"/>
        <v>0.27224999999999999</v>
      </c>
      <c r="M40" s="115">
        <f t="shared" si="3"/>
        <v>0.27224999999999999</v>
      </c>
      <c r="N40" s="115">
        <f t="shared" si="3"/>
        <v>0.27224999999999999</v>
      </c>
      <c r="O40" s="115">
        <f t="shared" si="3"/>
        <v>0.27224999999999999</v>
      </c>
      <c r="P40" s="115">
        <f t="shared" si="3"/>
        <v>0.27224999999999999</v>
      </c>
      <c r="Q40" s="115">
        <f t="shared" si="3"/>
        <v>0.27224999999999999</v>
      </c>
      <c r="R40" s="115">
        <f t="shared" si="3"/>
        <v>0.27224999999999999</v>
      </c>
      <c r="S40" s="115">
        <f t="shared" si="3"/>
        <v>0.27224999999999999</v>
      </c>
      <c r="T40" s="115">
        <f t="shared" si="3"/>
        <v>0.27224999999999999</v>
      </c>
      <c r="U40" s="115">
        <f t="shared" si="3"/>
        <v>0.27224999999999999</v>
      </c>
      <c r="V40" s="115">
        <f t="shared" si="3"/>
        <v>0.27224999999999999</v>
      </c>
      <c r="W40" s="115">
        <f t="shared" si="3"/>
        <v>0.27224999999999999</v>
      </c>
      <c r="X40" s="115">
        <f t="shared" si="3"/>
        <v>0.27224999999999999</v>
      </c>
    </row>
    <row r="41" spans="3:24" x14ac:dyDescent="0.2">
      <c r="D41" s="118" t="s">
        <v>292</v>
      </c>
      <c r="E41" s="115">
        <f t="shared" ref="E41:X41" si="4">(E39+IF($E$26="Resistive",0,IF($E$25=0,$E$27,0)))*VINMAX</f>
        <v>36.231884057971008</v>
      </c>
      <c r="F41" s="115">
        <f t="shared" si="4"/>
        <v>30.794986963885972</v>
      </c>
      <c r="G41" s="115">
        <f t="shared" si="4"/>
        <v>26.173941730123033</v>
      </c>
      <c r="H41" s="115">
        <f t="shared" si="4"/>
        <v>22.246322964685142</v>
      </c>
      <c r="I41" s="115">
        <f t="shared" si="4"/>
        <v>18.90807622909578</v>
      </c>
      <c r="J41" s="115">
        <f t="shared" si="4"/>
        <v>16.070761323245804</v>
      </c>
      <c r="K41" s="115">
        <f t="shared" si="4"/>
        <v>13.659209238394537</v>
      </c>
      <c r="L41" s="115">
        <f t="shared" si="4"/>
        <v>11.609530703960477</v>
      </c>
      <c r="M41" s="115">
        <f t="shared" si="4"/>
        <v>9.8674235685141927</v>
      </c>
      <c r="N41" s="115">
        <f t="shared" si="4"/>
        <v>8.3867341724031874</v>
      </c>
      <c r="O41" s="115">
        <f t="shared" si="4"/>
        <v>7.1282345984410362</v>
      </c>
      <c r="P41" s="115">
        <f t="shared" si="4"/>
        <v>6.0585834063525503</v>
      </c>
      <c r="Q41" s="115">
        <f t="shared" si="4"/>
        <v>5.1494423177034978</v>
      </c>
      <c r="R41" s="115">
        <f t="shared" si="4"/>
        <v>4.3767254496409516</v>
      </c>
      <c r="S41" s="115">
        <f t="shared" si="4"/>
        <v>3.7199612073871497</v>
      </c>
      <c r="T41" s="115">
        <f t="shared" si="4"/>
        <v>3.161749930099107</v>
      </c>
      <c r="U41" s="115">
        <f t="shared" si="4"/>
        <v>2.6873029215009554</v>
      </c>
      <c r="V41" s="115">
        <f t="shared" si="4"/>
        <v>2.2840506528235154</v>
      </c>
      <c r="W41" s="115">
        <f t="shared" si="4"/>
        <v>1.9413097581681293</v>
      </c>
      <c r="X41" s="115">
        <f t="shared" si="4"/>
        <v>1.6500000000000001</v>
      </c>
    </row>
    <row r="42" spans="3:24" x14ac:dyDescent="0.2">
      <c r="D42" s="118" t="s">
        <v>290</v>
      </c>
      <c r="E42" s="115">
        <f t="shared" ref="E42:X42" si="5">(E39+IF($E$26="Resistive", $E$25/$E$27,$E$27)) *(VINMAX-$E$25)</f>
        <v>36.231884057971008</v>
      </c>
      <c r="F42" s="115">
        <f t="shared" si="5"/>
        <v>30.794986963885972</v>
      </c>
      <c r="G42" s="115">
        <f t="shared" si="5"/>
        <v>26.173941730123033</v>
      </c>
      <c r="H42" s="115">
        <f t="shared" si="5"/>
        <v>22.246322964685142</v>
      </c>
      <c r="I42" s="115">
        <f t="shared" si="5"/>
        <v>18.90807622909578</v>
      </c>
      <c r="J42" s="115">
        <f t="shared" si="5"/>
        <v>16.070761323245804</v>
      </c>
      <c r="K42" s="115">
        <f t="shared" si="5"/>
        <v>13.659209238394537</v>
      </c>
      <c r="L42" s="115">
        <f t="shared" si="5"/>
        <v>11.609530703960477</v>
      </c>
      <c r="M42" s="115">
        <f t="shared" si="5"/>
        <v>9.8674235685141927</v>
      </c>
      <c r="N42" s="115">
        <f t="shared" si="5"/>
        <v>8.3867341724031874</v>
      </c>
      <c r="O42" s="115">
        <f t="shared" si="5"/>
        <v>7.1282345984410362</v>
      </c>
      <c r="P42" s="115">
        <f t="shared" si="5"/>
        <v>6.0585834063525503</v>
      </c>
      <c r="Q42" s="115">
        <f t="shared" si="5"/>
        <v>5.1494423177034978</v>
      </c>
      <c r="R42" s="115">
        <f t="shared" si="5"/>
        <v>4.3767254496409516</v>
      </c>
      <c r="S42" s="115">
        <f t="shared" si="5"/>
        <v>3.7199612073871497</v>
      </c>
      <c r="T42" s="115">
        <f t="shared" si="5"/>
        <v>3.161749930099107</v>
      </c>
      <c r="U42" s="115">
        <f t="shared" si="5"/>
        <v>2.6873029215009554</v>
      </c>
      <c r="V42" s="115">
        <f t="shared" si="5"/>
        <v>2.2840506528235154</v>
      </c>
      <c r="W42" s="115">
        <f t="shared" si="5"/>
        <v>1.9413097581681293</v>
      </c>
      <c r="X42" s="115">
        <f t="shared" si="5"/>
        <v>1.6500000000000001</v>
      </c>
    </row>
    <row r="43" spans="3:24" x14ac:dyDescent="0.2">
      <c r="D43" s="118" t="s">
        <v>295</v>
      </c>
      <c r="E43" s="115">
        <f t="shared" ref="E43:X43" si="6">IF($E$26="Resistive", -$E$27*E39/2 + VINMAX/2, -1)</f>
        <v>-1</v>
      </c>
      <c r="F43" s="115">
        <f t="shared" si="6"/>
        <v>-1</v>
      </c>
      <c r="G43" s="115">
        <f t="shared" si="6"/>
        <v>-1</v>
      </c>
      <c r="H43" s="115">
        <f t="shared" si="6"/>
        <v>-1</v>
      </c>
      <c r="I43" s="115">
        <f t="shared" si="6"/>
        <v>-1</v>
      </c>
      <c r="J43" s="115">
        <f t="shared" si="6"/>
        <v>-1</v>
      </c>
      <c r="K43" s="115">
        <f t="shared" si="6"/>
        <v>-1</v>
      </c>
      <c r="L43" s="115">
        <f t="shared" si="6"/>
        <v>-1</v>
      </c>
      <c r="M43" s="115">
        <f t="shared" si="6"/>
        <v>-1</v>
      </c>
      <c r="N43" s="115">
        <f t="shared" si="6"/>
        <v>-1</v>
      </c>
      <c r="O43" s="115">
        <f t="shared" si="6"/>
        <v>-1</v>
      </c>
      <c r="P43" s="115">
        <f t="shared" si="6"/>
        <v>-1</v>
      </c>
      <c r="Q43" s="115">
        <f t="shared" si="6"/>
        <v>-1</v>
      </c>
      <c r="R43" s="115">
        <f t="shared" si="6"/>
        <v>-1</v>
      </c>
      <c r="S43" s="115">
        <f t="shared" si="6"/>
        <v>-1</v>
      </c>
      <c r="T43" s="115">
        <f t="shared" si="6"/>
        <v>-1</v>
      </c>
      <c r="U43" s="115">
        <f t="shared" si="6"/>
        <v>-1</v>
      </c>
      <c r="V43" s="115">
        <f t="shared" si="6"/>
        <v>-1</v>
      </c>
      <c r="W43" s="115">
        <f t="shared" si="6"/>
        <v>-1</v>
      </c>
      <c r="X43" s="115">
        <f t="shared" si="6"/>
        <v>-1</v>
      </c>
    </row>
    <row r="44" spans="3:24" x14ac:dyDescent="0.2">
      <c r="D44" s="118" t="s">
        <v>297</v>
      </c>
      <c r="E44" s="115">
        <f t="shared" ref="E44:X44" si="7">IF(AND(E43&lt;VINMAX, E43&gt;$E$25), (VINMAX-E43)*(E39+E43/$E$27), 0)</f>
        <v>0</v>
      </c>
      <c r="F44" s="115">
        <f t="shared" si="7"/>
        <v>0</v>
      </c>
      <c r="G44" s="115">
        <f t="shared" si="7"/>
        <v>0</v>
      </c>
      <c r="H44" s="115">
        <f t="shared" si="7"/>
        <v>0</v>
      </c>
      <c r="I44" s="115">
        <f t="shared" si="7"/>
        <v>0</v>
      </c>
      <c r="J44" s="115">
        <f t="shared" si="7"/>
        <v>0</v>
      </c>
      <c r="K44" s="115">
        <f t="shared" si="7"/>
        <v>0</v>
      </c>
      <c r="L44" s="115">
        <f t="shared" si="7"/>
        <v>0</v>
      </c>
      <c r="M44" s="115">
        <f t="shared" si="7"/>
        <v>0</v>
      </c>
      <c r="N44" s="115">
        <f t="shared" si="7"/>
        <v>0</v>
      </c>
      <c r="O44" s="115">
        <f t="shared" si="7"/>
        <v>0</v>
      </c>
      <c r="P44" s="115">
        <f t="shared" si="7"/>
        <v>0</v>
      </c>
      <c r="Q44" s="115">
        <f t="shared" si="7"/>
        <v>0</v>
      </c>
      <c r="R44" s="115">
        <f t="shared" si="7"/>
        <v>0</v>
      </c>
      <c r="S44" s="115">
        <f t="shared" si="7"/>
        <v>0</v>
      </c>
      <c r="T44" s="115">
        <f t="shared" si="7"/>
        <v>0</v>
      </c>
      <c r="U44" s="115">
        <f t="shared" si="7"/>
        <v>0</v>
      </c>
      <c r="V44" s="115">
        <f t="shared" si="7"/>
        <v>0</v>
      </c>
      <c r="W44" s="115">
        <f t="shared" si="7"/>
        <v>0</v>
      </c>
      <c r="X44" s="115">
        <f t="shared" si="7"/>
        <v>0</v>
      </c>
    </row>
    <row r="46" spans="3:24" x14ac:dyDescent="0.2">
      <c r="D46" s="118" t="s">
        <v>298</v>
      </c>
      <c r="E46" s="115">
        <f t="shared" ref="E46:X46" si="8">MAX(E41,E42,E44)</f>
        <v>36.231884057971008</v>
      </c>
      <c r="F46" s="115">
        <f t="shared" si="8"/>
        <v>30.794986963885972</v>
      </c>
      <c r="G46" s="115">
        <f t="shared" si="8"/>
        <v>26.173941730123033</v>
      </c>
      <c r="H46" s="115">
        <f t="shared" si="8"/>
        <v>22.246322964685142</v>
      </c>
      <c r="I46" s="115">
        <f t="shared" si="8"/>
        <v>18.90807622909578</v>
      </c>
      <c r="J46" s="115">
        <f t="shared" si="8"/>
        <v>16.070761323245804</v>
      </c>
      <c r="K46" s="115">
        <f t="shared" si="8"/>
        <v>13.659209238394537</v>
      </c>
      <c r="L46" s="115">
        <f t="shared" si="8"/>
        <v>11.609530703960477</v>
      </c>
      <c r="M46" s="115">
        <f t="shared" si="8"/>
        <v>9.8674235685141927</v>
      </c>
      <c r="N46" s="115">
        <f t="shared" si="8"/>
        <v>8.3867341724031874</v>
      </c>
      <c r="O46" s="115">
        <f t="shared" si="8"/>
        <v>7.1282345984410362</v>
      </c>
      <c r="P46" s="115">
        <f t="shared" si="8"/>
        <v>6.0585834063525503</v>
      </c>
      <c r="Q46" s="115">
        <f t="shared" si="8"/>
        <v>5.1494423177034978</v>
      </c>
      <c r="R46" s="115">
        <f t="shared" si="8"/>
        <v>4.3767254496409516</v>
      </c>
      <c r="S46" s="115">
        <f t="shared" si="8"/>
        <v>3.7199612073871497</v>
      </c>
      <c r="T46" s="115">
        <f t="shared" si="8"/>
        <v>3.161749930099107</v>
      </c>
      <c r="U46" s="115">
        <f t="shared" si="8"/>
        <v>2.6873029215009554</v>
      </c>
      <c r="V46" s="115">
        <f t="shared" si="8"/>
        <v>2.2840506528235154</v>
      </c>
      <c r="W46" s="115">
        <f t="shared" si="8"/>
        <v>1.9413097581681293</v>
      </c>
      <c r="X46" s="115">
        <f t="shared" si="8"/>
        <v>1.6500000000000001</v>
      </c>
    </row>
    <row r="47" spans="3:24" x14ac:dyDescent="0.2">
      <c r="D47" s="118" t="s">
        <v>299</v>
      </c>
      <c r="E47" s="115">
        <f t="shared" ref="E47:X47" si="9">E40/E46*1000</f>
        <v>7.5141000000000009</v>
      </c>
      <c r="F47" s="115">
        <f t="shared" si="9"/>
        <v>8.8407246386976617</v>
      </c>
      <c r="G47" s="115">
        <f t="shared" si="9"/>
        <v>10.401566672958291</v>
      </c>
      <c r="H47" s="115">
        <f t="shared" si="9"/>
        <v>12.237977504515349</v>
      </c>
      <c r="I47" s="115">
        <f t="shared" si="9"/>
        <v>14.398609181671334</v>
      </c>
      <c r="J47" s="115">
        <f t="shared" si="9"/>
        <v>16.940703338441079</v>
      </c>
      <c r="K47" s="115">
        <f t="shared" si="9"/>
        <v>19.931607697664894</v>
      </c>
      <c r="L47" s="115">
        <f t="shared" si="9"/>
        <v>23.450560314821733</v>
      </c>
      <c r="M47" s="115">
        <f t="shared" si="9"/>
        <v>27.590788832529523</v>
      </c>
      <c r="N47" s="115">
        <f t="shared" si="9"/>
        <v>32.46198036130049</v>
      </c>
      <c r="O47" s="115">
        <f t="shared" si="9"/>
        <v>38.193187421124129</v>
      </c>
      <c r="P47" s="115">
        <f t="shared" si="9"/>
        <v>44.936246931013649</v>
      </c>
      <c r="Q47" s="115">
        <f t="shared" si="9"/>
        <v>52.869802825836025</v>
      </c>
      <c r="R47" s="115">
        <f t="shared" si="9"/>
        <v>62.20403887164872</v>
      </c>
      <c r="S47" s="115">
        <f t="shared" si="9"/>
        <v>73.186247066061384</v>
      </c>
      <c r="T47" s="115">
        <f t="shared" si="9"/>
        <v>86.107379147302183</v>
      </c>
      <c r="U47" s="115">
        <f t="shared" si="9"/>
        <v>101.30975478117612</v>
      </c>
      <c r="V47" s="115">
        <f t="shared" si="9"/>
        <v>119.19613063898031</v>
      </c>
      <c r="W47" s="115">
        <f t="shared" si="9"/>
        <v>140.24037063353671</v>
      </c>
      <c r="X47" s="115">
        <f t="shared" si="9"/>
        <v>164.99999999999997</v>
      </c>
    </row>
    <row r="49" spans="4:25" x14ac:dyDescent="0.2">
      <c r="D49" s="118" t="s">
        <v>132</v>
      </c>
      <c r="E49" s="115">
        <f t="shared" ref="E49:X49" si="10">IF(E47&lt;$J$23,$J$24,IF(E47&lt;$K$23,$K$24,IF(E47&lt;$L$23,$L$24,$M$24)))</f>
        <v>17</v>
      </c>
      <c r="F49" s="115">
        <f t="shared" si="10"/>
        <v>17</v>
      </c>
      <c r="G49" s="115">
        <f t="shared" si="10"/>
        <v>6.125</v>
      </c>
      <c r="H49" s="115">
        <f t="shared" si="10"/>
        <v>6.125</v>
      </c>
      <c r="I49" s="115">
        <f t="shared" si="10"/>
        <v>6.125</v>
      </c>
      <c r="J49" s="115">
        <f t="shared" si="10"/>
        <v>6.125</v>
      </c>
      <c r="K49" s="115">
        <f t="shared" si="10"/>
        <v>6.125</v>
      </c>
      <c r="L49" s="115">
        <f t="shared" si="10"/>
        <v>6.125</v>
      </c>
      <c r="M49" s="115">
        <f t="shared" si="10"/>
        <v>6.125</v>
      </c>
      <c r="N49" s="115">
        <f t="shared" si="10"/>
        <v>6.125</v>
      </c>
      <c r="O49" s="115">
        <f t="shared" si="10"/>
        <v>6.125</v>
      </c>
      <c r="P49" s="115">
        <f t="shared" si="10"/>
        <v>6.125</v>
      </c>
      <c r="Q49" s="115">
        <f t="shared" si="10"/>
        <v>6.125</v>
      </c>
      <c r="R49" s="115">
        <f t="shared" si="10"/>
        <v>6.125</v>
      </c>
      <c r="S49" s="115">
        <f t="shared" si="10"/>
        <v>6.125</v>
      </c>
      <c r="T49" s="115">
        <f t="shared" si="10"/>
        <v>6.125</v>
      </c>
      <c r="U49" s="115">
        <f t="shared" si="10"/>
        <v>3.5555555555555554</v>
      </c>
      <c r="V49" s="115">
        <f t="shared" si="10"/>
        <v>3.5555555555555554</v>
      </c>
      <c r="W49" s="115">
        <f t="shared" si="10"/>
        <v>3.5555555555555554</v>
      </c>
      <c r="X49" s="115">
        <f t="shared" si="10"/>
        <v>3.5555555555555554</v>
      </c>
    </row>
    <row r="50" spans="4:25" x14ac:dyDescent="0.2">
      <c r="D50" s="118" t="s">
        <v>133</v>
      </c>
      <c r="E50" s="115">
        <f t="shared" ref="E50:X50" si="11">IF(E47&lt;$J$23,$J$25,IF(E47&lt;$K$23,$K$25,IF(E47&lt;$L$23,$L$25,$M$25)))</f>
        <v>-0.68638087702799822</v>
      </c>
      <c r="F50" s="115">
        <f t="shared" si="11"/>
        <v>-0.68638087702799822</v>
      </c>
      <c r="G50" s="115">
        <f t="shared" si="11"/>
        <v>-0.24303804868629444</v>
      </c>
      <c r="H50" s="115">
        <f t="shared" si="11"/>
        <v>-0.24303804868629444</v>
      </c>
      <c r="I50" s="115">
        <f t="shared" si="11"/>
        <v>-0.24303804868629444</v>
      </c>
      <c r="J50" s="115">
        <f t="shared" si="11"/>
        <v>-0.24303804868629444</v>
      </c>
      <c r="K50" s="115">
        <f t="shared" si="11"/>
        <v>-0.24303804868629444</v>
      </c>
      <c r="L50" s="115">
        <f t="shared" si="11"/>
        <v>-0.24303804868629444</v>
      </c>
      <c r="M50" s="115">
        <f t="shared" si="11"/>
        <v>-0.24303804868629444</v>
      </c>
      <c r="N50" s="115">
        <f t="shared" si="11"/>
        <v>-0.24303804868629444</v>
      </c>
      <c r="O50" s="115">
        <f t="shared" si="11"/>
        <v>-0.24303804868629444</v>
      </c>
      <c r="P50" s="115">
        <f t="shared" si="11"/>
        <v>-0.24303804868629444</v>
      </c>
      <c r="Q50" s="115">
        <f t="shared" si="11"/>
        <v>-0.24303804868629444</v>
      </c>
      <c r="R50" s="115">
        <f t="shared" si="11"/>
        <v>-0.24303804868629444</v>
      </c>
      <c r="S50" s="115">
        <f t="shared" si="11"/>
        <v>-0.24303804868629444</v>
      </c>
      <c r="T50" s="115">
        <f t="shared" si="11"/>
        <v>-0.24303804868629444</v>
      </c>
      <c r="U50" s="115">
        <f t="shared" si="11"/>
        <v>-0.12493873660829993</v>
      </c>
      <c r="V50" s="115">
        <f t="shared" si="11"/>
        <v>-0.12493873660829993</v>
      </c>
      <c r="W50" s="115">
        <f t="shared" si="11"/>
        <v>-0.12493873660829993</v>
      </c>
      <c r="X50" s="115">
        <f t="shared" si="11"/>
        <v>-0.12493873660829993</v>
      </c>
    </row>
    <row r="52" spans="4:25" x14ac:dyDescent="0.2">
      <c r="D52" s="118" t="s">
        <v>307</v>
      </c>
      <c r="E52" s="115">
        <f t="shared" ref="E52:X52" si="12">E49*E47^E50*VINMAX</f>
        <v>140.53278666012989</v>
      </c>
      <c r="F52" s="115">
        <f t="shared" si="12"/>
        <v>125.69317342417159</v>
      </c>
      <c r="G52" s="115">
        <f t="shared" si="12"/>
        <v>114.40008197136812</v>
      </c>
      <c r="H52" s="115">
        <f t="shared" si="12"/>
        <v>109.96771522483397</v>
      </c>
      <c r="I52" s="115">
        <f t="shared" si="12"/>
        <v>105.70707803161167</v>
      </c>
      <c r="J52" s="115">
        <f t="shared" si="12"/>
        <v>101.6115168268752</v>
      </c>
      <c r="K52" s="115">
        <f t="shared" si="12"/>
        <v>97.674635834420528</v>
      </c>
      <c r="L52" s="115">
        <f t="shared" si="12"/>
        <v>93.890287078790521</v>
      </c>
      <c r="M52" s="115">
        <f t="shared" si="12"/>
        <v>90.252560784374651</v>
      </c>
      <c r="N52" s="115">
        <f t="shared" si="12"/>
        <v>86.755776146490092</v>
      </c>
      <c r="O52" s="115">
        <f t="shared" si="12"/>
        <v>83.394472460032048</v>
      </c>
      <c r="P52" s="115">
        <f t="shared" si="12"/>
        <v>80.163400591839519</v>
      </c>
      <c r="Q52" s="115">
        <f t="shared" si="12"/>
        <v>77.057514783459666</v>
      </c>
      <c r="R52" s="115">
        <f t="shared" si="12"/>
        <v>74.071964771509059</v>
      </c>
      <c r="S52" s="115">
        <f t="shared" si="12"/>
        <v>71.202088213327414</v>
      </c>
      <c r="T52" s="115">
        <f t="shared" si="12"/>
        <v>68.443403406095115</v>
      </c>
      <c r="U52" s="115">
        <f t="shared" si="12"/>
        <v>65.892786528391355</v>
      </c>
      <c r="V52" s="115">
        <f t="shared" si="12"/>
        <v>64.567777530258127</v>
      </c>
      <c r="W52" s="115">
        <f t="shared" si="12"/>
        <v>63.269412553991828</v>
      </c>
      <c r="X52" s="115">
        <f t="shared" si="12"/>
        <v>61.99715582670165</v>
      </c>
      <c r="Y52" s="115"/>
    </row>
    <row r="53" spans="4:25" x14ac:dyDescent="0.2">
      <c r="D53" s="118" t="s">
        <v>308</v>
      </c>
      <c r="E53" s="115">
        <f t="shared" ref="E53:X53" si="13">E52*(TJMAX-$E$19)/(TJMAX - 25)</f>
        <v>88.816721169202097</v>
      </c>
      <c r="F53" s="115">
        <f t="shared" si="13"/>
        <v>79.438085604076448</v>
      </c>
      <c r="G53" s="115">
        <f t="shared" si="13"/>
        <v>72.300851805904642</v>
      </c>
      <c r="H53" s="115">
        <f t="shared" si="13"/>
        <v>69.499596022095062</v>
      </c>
      <c r="I53" s="115">
        <f t="shared" si="13"/>
        <v>66.806873315978578</v>
      </c>
      <c r="J53" s="115">
        <f t="shared" si="13"/>
        <v>64.218478634585125</v>
      </c>
      <c r="K53" s="115">
        <f t="shared" si="13"/>
        <v>61.730369847353771</v>
      </c>
      <c r="L53" s="115">
        <f t="shared" si="13"/>
        <v>59.338661433795615</v>
      </c>
      <c r="M53" s="115">
        <f t="shared" si="13"/>
        <v>57.039618415724775</v>
      </c>
      <c r="N53" s="115">
        <f t="shared" si="13"/>
        <v>54.829650524581737</v>
      </c>
      <c r="O53" s="115">
        <f t="shared" si="13"/>
        <v>52.705306594740257</v>
      </c>
      <c r="P53" s="115">
        <f t="shared" si="13"/>
        <v>50.663269174042576</v>
      </c>
      <c r="Q53" s="115">
        <f t="shared" si="13"/>
        <v>48.700349343146513</v>
      </c>
      <c r="R53" s="115">
        <f t="shared" si="13"/>
        <v>46.813481735593726</v>
      </c>
      <c r="S53" s="115">
        <f t="shared" si="13"/>
        <v>44.999719750822926</v>
      </c>
      <c r="T53" s="115">
        <f t="shared" si="13"/>
        <v>43.25623095265211</v>
      </c>
      <c r="U53" s="115">
        <f t="shared" si="13"/>
        <v>41.644241085943335</v>
      </c>
      <c r="V53" s="115">
        <f t="shared" si="13"/>
        <v>40.806835399123138</v>
      </c>
      <c r="W53" s="115">
        <f t="shared" si="13"/>
        <v>39.986268734122838</v>
      </c>
      <c r="X53" s="115">
        <f t="shared" si="13"/>
        <v>39.182202482475439</v>
      </c>
      <c r="Y53" s="115"/>
    </row>
    <row r="54" spans="4:25" x14ac:dyDescent="0.2">
      <c r="D54" s="118" t="s">
        <v>310</v>
      </c>
      <c r="E54" s="115">
        <f t="shared" ref="E54:X54" si="14">E53/E46</f>
        <v>2.4513415042699784</v>
      </c>
      <c r="F54" s="115">
        <f t="shared" si="14"/>
        <v>2.5795784780566855</v>
      </c>
      <c r="G54" s="115">
        <f t="shared" si="14"/>
        <v>2.7623218753748171</v>
      </c>
      <c r="H54" s="115">
        <f t="shared" si="14"/>
        <v>3.1240936370663137</v>
      </c>
      <c r="I54" s="115">
        <f t="shared" si="14"/>
        <v>3.5332453977087339</v>
      </c>
      <c r="J54" s="115">
        <f t="shared" si="14"/>
        <v>3.9959823522296545</v>
      </c>
      <c r="K54" s="115">
        <f t="shared" si="14"/>
        <v>4.5193223685187052</v>
      </c>
      <c r="L54" s="115">
        <f t="shared" si="14"/>
        <v>5.1112024204004056</v>
      </c>
      <c r="M54" s="115">
        <f t="shared" si="14"/>
        <v>5.7805989597661132</v>
      </c>
      <c r="N54" s="115">
        <f t="shared" si="14"/>
        <v>6.5376640534286192</v>
      </c>
      <c r="O54" s="115">
        <f t="shared" si="14"/>
        <v>7.3938793493506862</v>
      </c>
      <c r="P54" s="115">
        <f t="shared" si="14"/>
        <v>8.3622302072991328</v>
      </c>
      <c r="Q54" s="115">
        <f t="shared" si="14"/>
        <v>9.4574026347896751</v>
      </c>
      <c r="R54" s="115">
        <f t="shared" si="14"/>
        <v>10.696006015052671</v>
      </c>
      <c r="S54" s="115">
        <f t="shared" si="14"/>
        <v>12.096825004911844</v>
      </c>
      <c r="T54" s="115">
        <f t="shared" si="14"/>
        <v>13.681104422858711</v>
      </c>
      <c r="U54" s="115">
        <f t="shared" si="14"/>
        <v>15.496667961304313</v>
      </c>
      <c r="V54" s="115">
        <f t="shared" si="14"/>
        <v>17.865994061330571</v>
      </c>
      <c r="W54" s="115">
        <f t="shared" si="14"/>
        <v>20.597572626356612</v>
      </c>
      <c r="X54" s="115">
        <f t="shared" si="14"/>
        <v>23.746789383318447</v>
      </c>
      <c r="Y54" s="115"/>
    </row>
    <row r="56" spans="4:25" x14ac:dyDescent="0.2">
      <c r="D56" s="118" t="s">
        <v>314</v>
      </c>
      <c r="E56" s="115" t="str">
        <f t="shared" ref="E56:X56" si="15">IF(E54&gt;$E$20, "Y", "N")</f>
        <v>Y</v>
      </c>
      <c r="F56" s="115" t="str">
        <f t="shared" si="15"/>
        <v>Y</v>
      </c>
      <c r="G56" s="115" t="str">
        <f t="shared" si="15"/>
        <v>Y</v>
      </c>
      <c r="H56" s="115" t="str">
        <f t="shared" si="15"/>
        <v>Y</v>
      </c>
      <c r="I56" s="115" t="str">
        <f t="shared" si="15"/>
        <v>Y</v>
      </c>
      <c r="J56" s="115" t="str">
        <f t="shared" si="15"/>
        <v>Y</v>
      </c>
      <c r="K56" s="115" t="str">
        <f t="shared" si="15"/>
        <v>Y</v>
      </c>
      <c r="L56" s="115" t="str">
        <f t="shared" si="15"/>
        <v>Y</v>
      </c>
      <c r="M56" s="115" t="str">
        <f t="shared" si="15"/>
        <v>Y</v>
      </c>
      <c r="N56" s="115" t="str">
        <f t="shared" si="15"/>
        <v>Y</v>
      </c>
      <c r="O56" s="115" t="str">
        <f t="shared" si="15"/>
        <v>Y</v>
      </c>
      <c r="P56" s="115" t="str">
        <f t="shared" si="15"/>
        <v>Y</v>
      </c>
      <c r="Q56" s="115" t="str">
        <f t="shared" si="15"/>
        <v>Y</v>
      </c>
      <c r="R56" s="115" t="str">
        <f t="shared" si="15"/>
        <v>Y</v>
      </c>
      <c r="S56" s="115" t="str">
        <f t="shared" si="15"/>
        <v>Y</v>
      </c>
      <c r="T56" s="115" t="str">
        <f t="shared" si="15"/>
        <v>Y</v>
      </c>
      <c r="U56" s="115" t="str">
        <f t="shared" si="15"/>
        <v>Y</v>
      </c>
      <c r="V56" s="115" t="str">
        <f t="shared" si="15"/>
        <v>Y</v>
      </c>
      <c r="W56" s="115" t="str">
        <f t="shared" si="15"/>
        <v>Y</v>
      </c>
      <c r="X56" s="115" t="str">
        <f t="shared" si="15"/>
        <v>Y</v>
      </c>
      <c r="Y56" s="115" t="s">
        <v>317</v>
      </c>
    </row>
    <row r="57" spans="4:25" x14ac:dyDescent="0.2">
      <c r="D57" s="118" t="s">
        <v>315</v>
      </c>
      <c r="E57" s="115">
        <f>IF(E56="Y", 1, 0)</f>
        <v>1</v>
      </c>
      <c r="F57" s="115">
        <f t="shared" ref="F57:X57" si="16">IF(AND(F56="Y", E56="N"),  1, 0)</f>
        <v>0</v>
      </c>
      <c r="G57" s="115">
        <f t="shared" si="16"/>
        <v>0</v>
      </c>
      <c r="H57" s="115">
        <f t="shared" si="16"/>
        <v>0</v>
      </c>
      <c r="I57" s="115">
        <f t="shared" si="16"/>
        <v>0</v>
      </c>
      <c r="J57" s="115">
        <f t="shared" si="16"/>
        <v>0</v>
      </c>
      <c r="K57" s="115">
        <f t="shared" si="16"/>
        <v>0</v>
      </c>
      <c r="L57" s="115">
        <f t="shared" si="16"/>
        <v>0</v>
      </c>
      <c r="M57" s="115">
        <f t="shared" si="16"/>
        <v>0</v>
      </c>
      <c r="N57" s="115">
        <f t="shared" si="16"/>
        <v>0</v>
      </c>
      <c r="O57" s="115">
        <f t="shared" si="16"/>
        <v>0</v>
      </c>
      <c r="P57" s="115">
        <f t="shared" si="16"/>
        <v>0</v>
      </c>
      <c r="Q57" s="115">
        <f t="shared" si="16"/>
        <v>0</v>
      </c>
      <c r="R57" s="115">
        <f t="shared" si="16"/>
        <v>0</v>
      </c>
      <c r="S57" s="115">
        <f t="shared" si="16"/>
        <v>0</v>
      </c>
      <c r="T57" s="115">
        <f t="shared" si="16"/>
        <v>0</v>
      </c>
      <c r="U57" s="115">
        <f t="shared" si="16"/>
        <v>0</v>
      </c>
      <c r="V57" s="115">
        <f t="shared" si="16"/>
        <v>0</v>
      </c>
      <c r="W57" s="115">
        <f t="shared" si="16"/>
        <v>0</v>
      </c>
      <c r="X57" s="115">
        <f t="shared" si="16"/>
        <v>0</v>
      </c>
      <c r="Y57" s="115"/>
    </row>
    <row r="58" spans="4:25" x14ac:dyDescent="0.2">
      <c r="D58" s="118" t="s">
        <v>316</v>
      </c>
      <c r="E58" s="115">
        <v>0</v>
      </c>
      <c r="F58" s="115">
        <f t="shared" ref="F58:X58" si="17">IF(AND(F56="Y", G56="N"),  1, 0)</f>
        <v>0</v>
      </c>
      <c r="G58" s="115">
        <f t="shared" si="17"/>
        <v>0</v>
      </c>
      <c r="H58" s="115">
        <f t="shared" si="17"/>
        <v>0</v>
      </c>
      <c r="I58" s="115">
        <f t="shared" si="17"/>
        <v>0</v>
      </c>
      <c r="J58" s="115">
        <f t="shared" si="17"/>
        <v>0</v>
      </c>
      <c r="K58" s="115">
        <f t="shared" si="17"/>
        <v>0</v>
      </c>
      <c r="L58" s="115">
        <f t="shared" si="17"/>
        <v>0</v>
      </c>
      <c r="M58" s="115">
        <f t="shared" si="17"/>
        <v>0</v>
      </c>
      <c r="N58" s="115">
        <f t="shared" si="17"/>
        <v>0</v>
      </c>
      <c r="O58" s="115">
        <f t="shared" si="17"/>
        <v>0</v>
      </c>
      <c r="P58" s="115">
        <f t="shared" si="17"/>
        <v>0</v>
      </c>
      <c r="Q58" s="115">
        <f t="shared" si="17"/>
        <v>0</v>
      </c>
      <c r="R58" s="115">
        <f t="shared" si="17"/>
        <v>0</v>
      </c>
      <c r="S58" s="115">
        <f t="shared" si="17"/>
        <v>0</v>
      </c>
      <c r="T58" s="115">
        <f t="shared" si="17"/>
        <v>0</v>
      </c>
      <c r="U58" s="115">
        <f t="shared" si="17"/>
        <v>0</v>
      </c>
      <c r="V58" s="115">
        <f t="shared" si="17"/>
        <v>0</v>
      </c>
      <c r="W58" s="115">
        <f t="shared" si="17"/>
        <v>0</v>
      </c>
      <c r="X58" s="115">
        <f t="shared" si="17"/>
        <v>1</v>
      </c>
      <c r="Y58" s="115"/>
    </row>
    <row r="60" spans="4:25" x14ac:dyDescent="0.2">
      <c r="D60" s="115" t="s">
        <v>318</v>
      </c>
      <c r="E60" s="115">
        <f t="shared" ref="E60:X60" si="18">E57*E37</f>
        <v>2.1958717610891521</v>
      </c>
      <c r="F60" s="115">
        <f t="shared" si="18"/>
        <v>0</v>
      </c>
      <c r="G60" s="115">
        <f t="shared" si="18"/>
        <v>0</v>
      </c>
      <c r="H60" s="115">
        <f t="shared" si="18"/>
        <v>0</v>
      </c>
      <c r="I60" s="115">
        <f t="shared" si="18"/>
        <v>0</v>
      </c>
      <c r="J60" s="115">
        <f t="shared" si="18"/>
        <v>0</v>
      </c>
      <c r="K60" s="115">
        <f t="shared" si="18"/>
        <v>0</v>
      </c>
      <c r="L60" s="115">
        <f t="shared" si="18"/>
        <v>0</v>
      </c>
      <c r="M60" s="115">
        <f t="shared" si="18"/>
        <v>0</v>
      </c>
      <c r="N60" s="115">
        <f t="shared" si="18"/>
        <v>0</v>
      </c>
      <c r="O60" s="115">
        <f t="shared" si="18"/>
        <v>0</v>
      </c>
      <c r="P60" s="115">
        <f t="shared" si="18"/>
        <v>0</v>
      </c>
      <c r="Q60" s="115">
        <f t="shared" si="18"/>
        <v>0</v>
      </c>
      <c r="R60" s="115">
        <f t="shared" si="18"/>
        <v>0</v>
      </c>
      <c r="S60" s="115">
        <f t="shared" si="18"/>
        <v>0</v>
      </c>
      <c r="T60" s="115">
        <f t="shared" si="18"/>
        <v>0</v>
      </c>
      <c r="U60" s="115">
        <f t="shared" si="18"/>
        <v>0</v>
      </c>
      <c r="V60" s="115">
        <f t="shared" si="18"/>
        <v>0</v>
      </c>
      <c r="W60" s="115">
        <f t="shared" si="18"/>
        <v>0</v>
      </c>
      <c r="X60" s="115">
        <f t="shared" si="18"/>
        <v>0</v>
      </c>
      <c r="Y60" s="115"/>
    </row>
    <row r="61" spans="4:25" x14ac:dyDescent="0.2">
      <c r="D61" s="115" t="s">
        <v>319</v>
      </c>
      <c r="E61" s="115">
        <f t="shared" ref="E61:X61" si="19">E37*E58</f>
        <v>0</v>
      </c>
      <c r="F61" s="115">
        <f t="shared" si="19"/>
        <v>0</v>
      </c>
      <c r="G61" s="115">
        <f t="shared" si="19"/>
        <v>0</v>
      </c>
      <c r="H61" s="115">
        <f t="shared" si="19"/>
        <v>0</v>
      </c>
      <c r="I61" s="115">
        <f t="shared" si="19"/>
        <v>0</v>
      </c>
      <c r="J61" s="115">
        <f t="shared" si="19"/>
        <v>0</v>
      </c>
      <c r="K61" s="115">
        <f t="shared" si="19"/>
        <v>0</v>
      </c>
      <c r="L61" s="115">
        <f t="shared" si="19"/>
        <v>0</v>
      </c>
      <c r="M61" s="115">
        <f t="shared" si="19"/>
        <v>0</v>
      </c>
      <c r="N61" s="115">
        <f t="shared" si="19"/>
        <v>0</v>
      </c>
      <c r="O61" s="115">
        <f t="shared" si="19"/>
        <v>0</v>
      </c>
      <c r="P61" s="115">
        <f t="shared" si="19"/>
        <v>0</v>
      </c>
      <c r="Q61" s="115">
        <f t="shared" si="19"/>
        <v>0</v>
      </c>
      <c r="R61" s="115">
        <f t="shared" si="19"/>
        <v>0</v>
      </c>
      <c r="S61" s="115">
        <f t="shared" si="19"/>
        <v>0</v>
      </c>
      <c r="T61" s="115">
        <f t="shared" si="19"/>
        <v>0</v>
      </c>
      <c r="U61" s="115">
        <f t="shared" si="19"/>
        <v>0</v>
      </c>
      <c r="V61" s="115">
        <f t="shared" si="19"/>
        <v>0</v>
      </c>
      <c r="W61" s="115">
        <f t="shared" si="19"/>
        <v>0</v>
      </c>
      <c r="X61" s="115">
        <f t="shared" si="19"/>
        <v>0.1</v>
      </c>
      <c r="Y61" s="115"/>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96B0A9-E706-44C7-A8F1-19DE24283961}">
  <ds:schemaRefs>
    <ds:schemaRef ds:uri="http://schemas.microsoft.com/sharepoint/v3/contenttype/forms"/>
  </ds:schemaRefs>
</ds:datastoreItem>
</file>

<file path=customXml/itemProps2.xml><?xml version="1.0" encoding="utf-8"?>
<ds:datastoreItem xmlns:ds="http://schemas.openxmlformats.org/officeDocument/2006/customXml" ds:itemID="{0918B9AA-0A0B-42F6-9D7E-CDEF53C1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0E7213C-EB81-44CF-9757-6BC109954BC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28</vt:i4>
      </vt:variant>
    </vt:vector>
  </HeadingPairs>
  <TitlesOfParts>
    <vt:vector size="35" baseType="lpstr">
      <vt:lpstr>Instructions</vt:lpstr>
      <vt:lpstr>Design Calculator</vt:lpstr>
      <vt:lpstr>Device Parmaters</vt:lpstr>
      <vt:lpstr>Equations</vt:lpstr>
      <vt:lpstr>Start_up</vt:lpstr>
      <vt:lpstr>SOA</vt:lpstr>
      <vt:lpstr>dv_dt_recommendations</vt:lpstr>
      <vt:lpstr>CLMAX</vt:lpstr>
      <vt:lpstr>CLMAX_Threshold</vt:lpstr>
      <vt:lpstr>CLMIN</vt:lpstr>
      <vt:lpstr>CLMIN_Threshold</vt:lpstr>
      <vt:lpstr>CLNOM</vt:lpstr>
      <vt:lpstr>CLNOM_Threshold</vt:lpstr>
      <vt:lpstr>COUTMAX</vt:lpstr>
      <vt:lpstr>FETPDISS</vt:lpstr>
      <vt:lpstr>I_Cout_ss</vt:lpstr>
      <vt:lpstr>IOUTMAX</vt:lpstr>
      <vt:lpstr>NUMFETS</vt:lpstr>
      <vt:lpstr>'Design Calculator'!Print_Area</vt:lpstr>
      <vt:lpstr>RDIV1</vt:lpstr>
      <vt:lpstr>RDIV2</vt:lpstr>
      <vt:lpstr>RDSON</vt:lpstr>
      <vt:lpstr>RPWR</vt:lpstr>
      <vt:lpstr>Rs</vt:lpstr>
      <vt:lpstr>RsEFF</vt:lpstr>
      <vt:lpstr>RsMAX</vt:lpstr>
      <vt:lpstr>ss_rate</vt:lpstr>
      <vt:lpstr>TAMB</vt:lpstr>
      <vt:lpstr>Tfault</vt:lpstr>
      <vt:lpstr>ThetaJA</vt:lpstr>
      <vt:lpstr>TJ</vt:lpstr>
      <vt:lpstr>TJMAX</vt:lpstr>
      <vt:lpstr>VINMAX</vt:lpstr>
      <vt:lpstr>VINMIN</vt:lpstr>
      <vt:lpstr>VINNOM</vt:lpstr>
    </vt:vector>
  </TitlesOfParts>
  <Company>NSC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TPS249x/8x Design Calculator</dc:title>
  <dc:creator>Timothy Hegarty</dc:creator>
  <cp:lastModifiedBy>Microsoft</cp:lastModifiedBy>
  <cp:lastPrinted>2017-06-27T13:32:36Z</cp:lastPrinted>
  <dcterms:created xsi:type="dcterms:W3CDTF">2009-04-21T16:00:33Z</dcterms:created>
  <dcterms:modified xsi:type="dcterms:W3CDTF">2017-07-11T15:13:36Z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